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ANEXA 1 BUGET DEFINITIV " sheetId="13" r:id="rId1"/>
  </sheets>
  <definedNames>
    <definedName name="_xlnm.Print_Titles" localSheetId="0">'ANEXA 1 BUGET DEFINITIV '!$8:$10</definedName>
  </definedNames>
  <calcPr calcId="125725"/>
</workbook>
</file>

<file path=xl/calcChain.xml><?xml version="1.0" encoding="utf-8"?>
<calcChain xmlns="http://schemas.openxmlformats.org/spreadsheetml/2006/main">
  <c r="S737" i="13"/>
  <c r="R737"/>
  <c r="Q737"/>
  <c r="O1051"/>
  <c r="N1051"/>
  <c r="M1051"/>
  <c r="O40"/>
  <c r="N40"/>
  <c r="M40"/>
  <c r="P1051"/>
  <c r="P16"/>
  <c r="O16"/>
  <c r="P15"/>
  <c r="O15"/>
  <c r="N15"/>
  <c r="M15"/>
  <c r="P264"/>
  <c r="O264"/>
  <c r="M264"/>
  <c r="P265"/>
  <c r="O265"/>
  <c r="N16"/>
  <c r="M265"/>
  <c r="P35"/>
  <c r="O35"/>
  <c r="N35"/>
  <c r="M35"/>
  <c r="P34"/>
  <c r="O34"/>
  <c r="N34"/>
  <c r="M34"/>
  <c r="J1118"/>
  <c r="J1120"/>
  <c r="J1335"/>
  <c r="J1326"/>
  <c r="J1325" s="1"/>
  <c r="J1321" s="1"/>
  <c r="J1322"/>
  <c r="J1316"/>
  <c r="J1289"/>
  <c r="J1285"/>
  <c r="J1284" s="1"/>
  <c r="J1278"/>
  <c r="J1277" s="1"/>
  <c r="J1274"/>
  <c r="J1264"/>
  <c r="J1261" s="1"/>
  <c r="J1258"/>
  <c r="J1221"/>
  <c r="J1222"/>
  <c r="J1214"/>
  <c r="J1213" s="1"/>
  <c r="J1207"/>
  <c r="J1208"/>
  <c r="J1193"/>
  <c r="J1192" s="1"/>
  <c r="J1150"/>
  <c r="J1257" l="1"/>
  <c r="J1149" l="1"/>
  <c r="J1148" s="1"/>
  <c r="J1130"/>
  <c r="M1054"/>
  <c r="J1054"/>
  <c r="J1051"/>
  <c r="J1107"/>
  <c r="J1094"/>
  <c r="M1068"/>
  <c r="J1068"/>
  <c r="M285"/>
  <c r="J285"/>
  <c r="S1051"/>
  <c r="R1051"/>
  <c r="Q1051"/>
  <c r="S264"/>
  <c r="R264"/>
  <c r="Q264"/>
  <c r="N264"/>
  <c r="M508"/>
  <c r="N508"/>
  <c r="O508"/>
  <c r="M493"/>
  <c r="N493"/>
  <c r="O493"/>
  <c r="M518"/>
  <c r="N518"/>
  <c r="O518"/>
  <c r="P527"/>
  <c r="O527"/>
  <c r="N527"/>
  <c r="M527"/>
  <c r="J528"/>
  <c r="J527"/>
  <c r="O528"/>
  <c r="M528"/>
  <c r="N528"/>
  <c r="J538"/>
  <c r="J537"/>
  <c r="O538"/>
  <c r="N538"/>
  <c r="M538"/>
  <c r="O537"/>
  <c r="N537"/>
  <c r="M537"/>
  <c r="J518"/>
  <c r="J517"/>
  <c r="O517"/>
  <c r="N517"/>
  <c r="M517"/>
  <c r="J508"/>
  <c r="J507"/>
  <c r="O507"/>
  <c r="N507"/>
  <c r="M507"/>
  <c r="J493"/>
  <c r="J492"/>
  <c r="O492"/>
  <c r="N492"/>
  <c r="M492"/>
  <c r="M650"/>
  <c r="J650"/>
  <c r="J1113"/>
  <c r="J1301"/>
  <c r="O737"/>
  <c r="N737"/>
  <c r="N687"/>
  <c r="J1300" l="1"/>
  <c r="J1282"/>
  <c r="J1281" s="1"/>
  <c r="J1093"/>
  <c r="J1105"/>
  <c r="P121"/>
  <c r="P122"/>
  <c r="M122"/>
  <c r="N122"/>
  <c r="O122"/>
  <c r="M121"/>
  <c r="N121"/>
  <c r="O121"/>
  <c r="P701"/>
  <c r="O701"/>
  <c r="N701"/>
  <c r="M701"/>
  <c r="J1352" l="1"/>
  <c r="M763"/>
  <c r="M762" s="1"/>
  <c r="M761" s="1"/>
  <c r="M809"/>
  <c r="M802" s="1"/>
  <c r="M737"/>
  <c r="O1049"/>
  <c r="O1038" s="1"/>
  <c r="N1040"/>
  <c r="I888"/>
  <c r="J888"/>
  <c r="I887"/>
  <c r="J887"/>
  <c r="J737"/>
  <c r="P581"/>
  <c r="O581"/>
  <c r="O580" s="1"/>
  <c r="O579" s="1"/>
  <c r="N581"/>
  <c r="N580" s="1"/>
  <c r="M581"/>
  <c r="M580" s="1"/>
  <c r="M579" s="1"/>
  <c r="M578" s="1"/>
  <c r="M577" s="1"/>
  <c r="J581"/>
  <c r="J265"/>
  <c r="L575"/>
  <c r="K575" s="1"/>
  <c r="P388"/>
  <c r="O388"/>
  <c r="O387" s="1"/>
  <c r="N388"/>
  <c r="M388"/>
  <c r="M387" s="1"/>
  <c r="M386" s="1"/>
  <c r="M385" s="1"/>
  <c r="M1040"/>
  <c r="L13"/>
  <c r="K13" s="1"/>
  <c r="L15"/>
  <c r="K15" s="1"/>
  <c r="L16"/>
  <c r="K16" s="1"/>
  <c r="L19"/>
  <c r="K19" s="1"/>
  <c r="L20"/>
  <c r="K20" s="1"/>
  <c r="L21"/>
  <c r="K21" s="1"/>
  <c r="L23"/>
  <c r="K23" s="1"/>
  <c r="L25"/>
  <c r="K25" s="1"/>
  <c r="L26"/>
  <c r="K26" s="1"/>
  <c r="L27"/>
  <c r="K27" s="1"/>
  <c r="L28"/>
  <c r="K28" s="1"/>
  <c r="L30"/>
  <c r="K30" s="1"/>
  <c r="L31"/>
  <c r="K31" s="1"/>
  <c r="L32"/>
  <c r="K32" s="1"/>
  <c r="L33"/>
  <c r="K33" s="1"/>
  <c r="L34"/>
  <c r="L35"/>
  <c r="K35" s="1"/>
  <c r="L36"/>
  <c r="K36" s="1"/>
  <c r="L39"/>
  <c r="K39" s="1"/>
  <c r="L40"/>
  <c r="K40" s="1"/>
  <c r="L41"/>
  <c r="K41" s="1"/>
  <c r="L43"/>
  <c r="K43" s="1"/>
  <c r="L44"/>
  <c r="K44" s="1"/>
  <c r="L45"/>
  <c r="K45" s="1"/>
  <c r="L46"/>
  <c r="K46" s="1"/>
  <c r="L48"/>
  <c r="K48" s="1"/>
  <c r="L50"/>
  <c r="K50" s="1"/>
  <c r="L51"/>
  <c r="K51" s="1"/>
  <c r="L52"/>
  <c r="K52" s="1"/>
  <c r="L53"/>
  <c r="K53" s="1"/>
  <c r="L55"/>
  <c r="K55" s="1"/>
  <c r="L57"/>
  <c r="K57" s="1"/>
  <c r="L58"/>
  <c r="K58" s="1"/>
  <c r="L60"/>
  <c r="K60" s="1"/>
  <c r="L63"/>
  <c r="K63" s="1"/>
  <c r="L65"/>
  <c r="K65" s="1"/>
  <c r="L66"/>
  <c r="K66" s="1"/>
  <c r="L68"/>
  <c r="K68" s="1"/>
  <c r="L69"/>
  <c r="K69" s="1"/>
  <c r="L72"/>
  <c r="K72" s="1"/>
  <c r="L74"/>
  <c r="K74" s="1"/>
  <c r="L75"/>
  <c r="K75" s="1"/>
  <c r="L76"/>
  <c r="K76" s="1"/>
  <c r="L77"/>
  <c r="K77" s="1"/>
  <c r="L78"/>
  <c r="K78" s="1"/>
  <c r="L79"/>
  <c r="L81"/>
  <c r="K81" s="1"/>
  <c r="L82"/>
  <c r="K82" s="1"/>
  <c r="L83"/>
  <c r="K83" s="1"/>
  <c r="L84"/>
  <c r="K84" s="1"/>
  <c r="L85"/>
  <c r="K85" s="1"/>
  <c r="L86"/>
  <c r="K86" s="1"/>
  <c r="L87"/>
  <c r="K87" s="1"/>
  <c r="L88"/>
  <c r="K88" s="1"/>
  <c r="L89"/>
  <c r="K89" s="1"/>
  <c r="L90"/>
  <c r="K90" s="1"/>
  <c r="L91"/>
  <c r="K91" s="1"/>
  <c r="L93"/>
  <c r="K93" s="1"/>
  <c r="L95"/>
  <c r="K95" s="1"/>
  <c r="L99"/>
  <c r="K99" s="1"/>
  <c r="L100"/>
  <c r="K100" s="1"/>
  <c r="L103"/>
  <c r="K103" s="1"/>
  <c r="L104"/>
  <c r="K104" s="1"/>
  <c r="L107"/>
  <c r="K107" s="1"/>
  <c r="L108"/>
  <c r="K108" s="1"/>
  <c r="L109"/>
  <c r="K109" s="1"/>
  <c r="L110"/>
  <c r="K110" s="1"/>
  <c r="L111"/>
  <c r="K111" s="1"/>
  <c r="L112"/>
  <c r="K112" s="1"/>
  <c r="L114"/>
  <c r="K114" s="1"/>
  <c r="L115"/>
  <c r="K115" s="1"/>
  <c r="L116"/>
  <c r="K116" s="1"/>
  <c r="L121"/>
  <c r="L122"/>
  <c r="L129"/>
  <c r="K129" s="1"/>
  <c r="L135"/>
  <c r="K135" s="1"/>
  <c r="L144"/>
  <c r="K144" s="1"/>
  <c r="L145"/>
  <c r="K145" s="1"/>
  <c r="L147"/>
  <c r="K147" s="1"/>
  <c r="L153"/>
  <c r="K153" s="1"/>
  <c r="L163"/>
  <c r="K163" s="1"/>
  <c r="L164"/>
  <c r="K164" s="1"/>
  <c r="L165"/>
  <c r="K165" s="1"/>
  <c r="L166"/>
  <c r="K166" s="1"/>
  <c r="L169"/>
  <c r="K169" s="1"/>
  <c r="L170"/>
  <c r="K170" s="1"/>
  <c r="L171"/>
  <c r="K171" s="1"/>
  <c r="L175"/>
  <c r="K175" s="1"/>
  <c r="L176"/>
  <c r="K176" s="1"/>
  <c r="L177"/>
  <c r="K177" s="1"/>
  <c r="L178"/>
  <c r="K178" s="1"/>
  <c r="L179"/>
  <c r="K179" s="1"/>
  <c r="L184"/>
  <c r="K184" s="1"/>
  <c r="L185"/>
  <c r="K185" s="1"/>
  <c r="L186"/>
  <c r="K186" s="1"/>
  <c r="L188"/>
  <c r="K188" s="1"/>
  <c r="L189"/>
  <c r="K189" s="1"/>
  <c r="L190"/>
  <c r="K190" s="1"/>
  <c r="L191"/>
  <c r="K191" s="1"/>
  <c r="L193"/>
  <c r="K193" s="1"/>
  <c r="L194"/>
  <c r="K194" s="1"/>
  <c r="L196"/>
  <c r="K196" s="1"/>
  <c r="L200"/>
  <c r="K200" s="1"/>
  <c r="L201"/>
  <c r="K201" s="1"/>
  <c r="L205"/>
  <c r="K205" s="1"/>
  <c r="L206"/>
  <c r="K206" s="1"/>
  <c r="L209"/>
  <c r="K209" s="1"/>
  <c r="L210"/>
  <c r="K210" s="1"/>
  <c r="L213"/>
  <c r="K213" s="1"/>
  <c r="L214"/>
  <c r="K214" s="1"/>
  <c r="L215"/>
  <c r="K215" s="1"/>
  <c r="L216"/>
  <c r="K216" s="1"/>
  <c r="L240"/>
  <c r="K240" s="1"/>
  <c r="L264"/>
  <c r="K264" s="1"/>
  <c r="L265"/>
  <c r="L266"/>
  <c r="K266" s="1"/>
  <c r="L267"/>
  <c r="K267" s="1"/>
  <c r="L268"/>
  <c r="K268" s="1"/>
  <c r="L269"/>
  <c r="K269" s="1"/>
  <c r="L271"/>
  <c r="K271" s="1"/>
  <c r="L272"/>
  <c r="K272" s="1"/>
  <c r="L273"/>
  <c r="K273" s="1"/>
  <c r="L274"/>
  <c r="K274" s="1"/>
  <c r="L275"/>
  <c r="K275" s="1"/>
  <c r="L285"/>
  <c r="K285" s="1"/>
  <c r="L286"/>
  <c r="K286" s="1"/>
  <c r="L287"/>
  <c r="K287" s="1"/>
  <c r="L288"/>
  <c r="K288" s="1"/>
  <c r="L289"/>
  <c r="K289" s="1"/>
  <c r="L290"/>
  <c r="K290" s="1"/>
  <c r="L291"/>
  <c r="K291" s="1"/>
  <c r="L292"/>
  <c r="K292" s="1"/>
  <c r="L293"/>
  <c r="K293" s="1"/>
  <c r="L294"/>
  <c r="K294" s="1"/>
  <c r="L295"/>
  <c r="K295" s="1"/>
  <c r="L296"/>
  <c r="K296" s="1"/>
  <c r="L297"/>
  <c r="K297" s="1"/>
  <c r="L298"/>
  <c r="K298" s="1"/>
  <c r="L299"/>
  <c r="K299" s="1"/>
  <c r="L300"/>
  <c r="K300" s="1"/>
  <c r="L304"/>
  <c r="K304" s="1"/>
  <c r="L305"/>
  <c r="K305" s="1"/>
  <c r="L306"/>
  <c r="K306" s="1"/>
  <c r="L310"/>
  <c r="K310" s="1"/>
  <c r="L311"/>
  <c r="K311" s="1"/>
  <c r="L312"/>
  <c r="K312" s="1"/>
  <c r="L316"/>
  <c r="K316" s="1"/>
  <c r="L317"/>
  <c r="K317" s="1"/>
  <c r="L318"/>
  <c r="K318" s="1"/>
  <c r="L322"/>
  <c r="K322" s="1"/>
  <c r="L323"/>
  <c r="K323" s="1"/>
  <c r="L324"/>
  <c r="K324" s="1"/>
  <c r="L328"/>
  <c r="K328" s="1"/>
  <c r="L329"/>
  <c r="K329" s="1"/>
  <c r="L330"/>
  <c r="K330" s="1"/>
  <c r="L334"/>
  <c r="K334" s="1"/>
  <c r="L335"/>
  <c r="K335" s="1"/>
  <c r="L336"/>
  <c r="K336" s="1"/>
  <c r="L340"/>
  <c r="K340" s="1"/>
  <c r="L341"/>
  <c r="K341" s="1"/>
  <c r="L342"/>
  <c r="K342" s="1"/>
  <c r="L346"/>
  <c r="K346" s="1"/>
  <c r="L347"/>
  <c r="K347" s="1"/>
  <c r="L348"/>
  <c r="K348" s="1"/>
  <c r="L352"/>
  <c r="K352" s="1"/>
  <c r="L353"/>
  <c r="K353" s="1"/>
  <c r="L354"/>
  <c r="K354" s="1"/>
  <c r="L358"/>
  <c r="K358" s="1"/>
  <c r="L359"/>
  <c r="K359" s="1"/>
  <c r="L360"/>
  <c r="K360" s="1"/>
  <c r="L364"/>
  <c r="K364" s="1"/>
  <c r="L365"/>
  <c r="K365" s="1"/>
  <c r="L366"/>
  <c r="K366" s="1"/>
  <c r="L370"/>
  <c r="K370" s="1"/>
  <c r="L371"/>
  <c r="K371" s="1"/>
  <c r="L372"/>
  <c r="K372" s="1"/>
  <c r="L376"/>
  <c r="K376" s="1"/>
  <c r="L377"/>
  <c r="K377" s="1"/>
  <c r="L378"/>
  <c r="K378" s="1"/>
  <c r="L383"/>
  <c r="K383" s="1"/>
  <c r="L389"/>
  <c r="K389" s="1"/>
  <c r="L390"/>
  <c r="K390" s="1"/>
  <c r="L392"/>
  <c r="K392" s="1"/>
  <c r="L397"/>
  <c r="K397" s="1"/>
  <c r="L398"/>
  <c r="K398" s="1"/>
  <c r="L399"/>
  <c r="K399" s="1"/>
  <c r="L400"/>
  <c r="K400" s="1"/>
  <c r="L401"/>
  <c r="K401" s="1"/>
  <c r="L402"/>
  <c r="K402" s="1"/>
  <c r="L403"/>
  <c r="K403" s="1"/>
  <c r="L404"/>
  <c r="K404" s="1"/>
  <c r="L405"/>
  <c r="K405" s="1"/>
  <c r="L406"/>
  <c r="K406" s="1"/>
  <c r="L410"/>
  <c r="K410" s="1"/>
  <c r="L412"/>
  <c r="K412" s="1"/>
  <c r="L413"/>
  <c r="K413" s="1"/>
  <c r="L426"/>
  <c r="K426" s="1"/>
  <c r="L429"/>
  <c r="K429" s="1"/>
  <c r="L430"/>
  <c r="K430" s="1"/>
  <c r="L431"/>
  <c r="K431" s="1"/>
  <c r="L435"/>
  <c r="K435" s="1"/>
  <c r="L437"/>
  <c r="K437" s="1"/>
  <c r="L442"/>
  <c r="K442" s="1"/>
  <c r="L443"/>
  <c r="K443" s="1"/>
  <c r="L444"/>
  <c r="K444" s="1"/>
  <c r="L446"/>
  <c r="K446" s="1"/>
  <c r="L447"/>
  <c r="K447" s="1"/>
  <c r="L448"/>
  <c r="K448" s="1"/>
  <c r="L490"/>
  <c r="K490" s="1"/>
  <c r="L491"/>
  <c r="K491" s="1"/>
  <c r="L492"/>
  <c r="K492" s="1"/>
  <c r="L493"/>
  <c r="K493" s="1"/>
  <c r="L494"/>
  <c r="K494" s="1"/>
  <c r="L495"/>
  <c r="K495" s="1"/>
  <c r="L498"/>
  <c r="K498" s="1"/>
  <c r="L499"/>
  <c r="K499" s="1"/>
  <c r="L500"/>
  <c r="K500" s="1"/>
  <c r="L501"/>
  <c r="K501" s="1"/>
  <c r="L505"/>
  <c r="K505" s="1"/>
  <c r="L506"/>
  <c r="K506" s="1"/>
  <c r="L507"/>
  <c r="K507" s="1"/>
  <c r="L508"/>
  <c r="K508" s="1"/>
  <c r="L509"/>
  <c r="K509" s="1"/>
  <c r="L511"/>
  <c r="K511" s="1"/>
  <c r="L515"/>
  <c r="K515" s="1"/>
  <c r="L516"/>
  <c r="K516" s="1"/>
  <c r="L517"/>
  <c r="K517" s="1"/>
  <c r="L518"/>
  <c r="K518" s="1"/>
  <c r="L519"/>
  <c r="K519" s="1"/>
  <c r="L521"/>
  <c r="K521" s="1"/>
  <c r="L525"/>
  <c r="K525" s="1"/>
  <c r="L526"/>
  <c r="K526" s="1"/>
  <c r="L527"/>
  <c r="K527" s="1"/>
  <c r="L528"/>
  <c r="K528" s="1"/>
  <c r="L529"/>
  <c r="K529" s="1"/>
  <c r="L531"/>
  <c r="K531" s="1"/>
  <c r="L535"/>
  <c r="K535" s="1"/>
  <c r="L536"/>
  <c r="K536" s="1"/>
  <c r="L537"/>
  <c r="K537" s="1"/>
  <c r="L538"/>
  <c r="K538" s="1"/>
  <c r="L539"/>
  <c r="K539" s="1"/>
  <c r="L541"/>
  <c r="K541" s="1"/>
  <c r="L545"/>
  <c r="K545" s="1"/>
  <c r="L546"/>
  <c r="K546" s="1"/>
  <c r="L547"/>
  <c r="K547" s="1"/>
  <c r="L551"/>
  <c r="K551" s="1"/>
  <c r="L552"/>
  <c r="K552" s="1"/>
  <c r="L553"/>
  <c r="K553" s="1"/>
  <c r="L554"/>
  <c r="K554" s="1"/>
  <c r="L555"/>
  <c r="K555" s="1"/>
  <c r="L557"/>
  <c r="K557" s="1"/>
  <c r="L563"/>
  <c r="K563" s="1"/>
  <c r="L565"/>
  <c r="L566"/>
  <c r="K566" s="1"/>
  <c r="L576"/>
  <c r="K576" s="1"/>
  <c r="L582"/>
  <c r="K582" s="1"/>
  <c r="L587"/>
  <c r="K587" s="1"/>
  <c r="L588"/>
  <c r="K588" s="1"/>
  <c r="L593"/>
  <c r="K593" s="1"/>
  <c r="L594"/>
  <c r="K594" s="1"/>
  <c r="L599"/>
  <c r="K599" s="1"/>
  <c r="L600"/>
  <c r="K600" s="1"/>
  <c r="L604"/>
  <c r="K604" s="1"/>
  <c r="L607"/>
  <c r="K607" s="1"/>
  <c r="L610"/>
  <c r="K610" s="1"/>
  <c r="L613"/>
  <c r="K613" s="1"/>
  <c r="L616"/>
  <c r="K616" s="1"/>
  <c r="L619"/>
  <c r="K619" s="1"/>
  <c r="L635"/>
  <c r="K635" s="1"/>
  <c r="L636"/>
  <c r="K636" s="1"/>
  <c r="L637"/>
  <c r="K637" s="1"/>
  <c r="L638"/>
  <c r="K638" s="1"/>
  <c r="L640"/>
  <c r="K640" s="1"/>
  <c r="L641"/>
  <c r="K641" s="1"/>
  <c r="L646"/>
  <c r="K646" s="1"/>
  <c r="L647"/>
  <c r="K647" s="1"/>
  <c r="L648"/>
  <c r="K648" s="1"/>
  <c r="L650"/>
  <c r="K650" s="1"/>
  <c r="L654"/>
  <c r="K654" s="1"/>
  <c r="L655"/>
  <c r="K655" s="1"/>
  <c r="L656"/>
  <c r="K656" s="1"/>
  <c r="L660"/>
  <c r="K660" s="1"/>
  <c r="L661"/>
  <c r="K661" s="1"/>
  <c r="L662"/>
  <c r="K662" s="1"/>
  <c r="L667"/>
  <c r="K667" s="1"/>
  <c r="L668"/>
  <c r="K668" s="1"/>
  <c r="L669"/>
  <c r="K669" s="1"/>
  <c r="L671"/>
  <c r="K671" s="1"/>
  <c r="L672"/>
  <c r="K672" s="1"/>
  <c r="L677"/>
  <c r="K677" s="1"/>
  <c r="L678"/>
  <c r="K678" s="1"/>
  <c r="L679"/>
  <c r="K679" s="1"/>
  <c r="L681"/>
  <c r="K681" s="1"/>
  <c r="L686"/>
  <c r="K686" s="1"/>
  <c r="L687"/>
  <c r="K687" s="1"/>
  <c r="L689"/>
  <c r="K689" s="1"/>
  <c r="L694"/>
  <c r="K694" s="1"/>
  <c r="L695"/>
  <c r="K695" s="1"/>
  <c r="L697"/>
  <c r="L701"/>
  <c r="L702"/>
  <c r="K702" s="1"/>
  <c r="L707"/>
  <c r="K707" s="1"/>
  <c r="L708"/>
  <c r="K708" s="1"/>
  <c r="L709"/>
  <c r="K709" s="1"/>
  <c r="L711"/>
  <c r="K711" s="1"/>
  <c r="L712"/>
  <c r="K712" s="1"/>
  <c r="L716"/>
  <c r="K716" s="1"/>
  <c r="L719"/>
  <c r="K719" s="1"/>
  <c r="L731"/>
  <c r="K731" s="1"/>
  <c r="L738"/>
  <c r="K738" s="1"/>
  <c r="L740"/>
  <c r="K740" s="1"/>
  <c r="L741"/>
  <c r="K741" s="1"/>
  <c r="L742"/>
  <c r="K742" s="1"/>
  <c r="L743"/>
  <c r="K743" s="1"/>
  <c r="L745"/>
  <c r="K745" s="1"/>
  <c r="L747"/>
  <c r="K747" s="1"/>
  <c r="L748"/>
  <c r="K748" s="1"/>
  <c r="L751"/>
  <c r="K751" s="1"/>
  <c r="L752"/>
  <c r="K752" s="1"/>
  <c r="L753"/>
  <c r="K753" s="1"/>
  <c r="L754"/>
  <c r="K754" s="1"/>
  <c r="L755"/>
  <c r="K755" s="1"/>
  <c r="L756"/>
  <c r="K756" s="1"/>
  <c r="L757"/>
  <c r="K757" s="1"/>
  <c r="L758"/>
  <c r="K758" s="1"/>
  <c r="L759"/>
  <c r="K759" s="1"/>
  <c r="L760"/>
  <c r="K760" s="1"/>
  <c r="L765"/>
  <c r="K765" s="1"/>
  <c r="L766"/>
  <c r="K766" s="1"/>
  <c r="L770"/>
  <c r="K770" s="1"/>
  <c r="L771"/>
  <c r="K771" s="1"/>
  <c r="L772"/>
  <c r="K772" s="1"/>
  <c r="L775"/>
  <c r="K775" s="1"/>
  <c r="L776"/>
  <c r="K776" s="1"/>
  <c r="L777"/>
  <c r="K777" s="1"/>
  <c r="L780"/>
  <c r="K780" s="1"/>
  <c r="L781"/>
  <c r="K781" s="1"/>
  <c r="L782"/>
  <c r="K782" s="1"/>
  <c r="L785"/>
  <c r="K785" s="1"/>
  <c r="L786"/>
  <c r="K786" s="1"/>
  <c r="L787"/>
  <c r="K787" s="1"/>
  <c r="L790"/>
  <c r="K790" s="1"/>
  <c r="L791"/>
  <c r="K791" s="1"/>
  <c r="L792"/>
  <c r="K792" s="1"/>
  <c r="L796"/>
  <c r="K796" s="1"/>
  <c r="L797"/>
  <c r="K797" s="1"/>
  <c r="L798"/>
  <c r="K798" s="1"/>
  <c r="L810"/>
  <c r="K810" s="1"/>
  <c r="L812"/>
  <c r="K812" s="1"/>
  <c r="L816"/>
  <c r="K816" s="1"/>
  <c r="L817"/>
  <c r="K817" s="1"/>
  <c r="L819"/>
  <c r="K819" s="1"/>
  <c r="L823"/>
  <c r="K823" s="1"/>
  <c r="L824"/>
  <c r="K824" s="1"/>
  <c r="L826"/>
  <c r="K826" s="1"/>
  <c r="L830"/>
  <c r="K830" s="1"/>
  <c r="L831"/>
  <c r="K831" s="1"/>
  <c r="L833"/>
  <c r="K833" s="1"/>
  <c r="L837"/>
  <c r="K837" s="1"/>
  <c r="L838"/>
  <c r="K838" s="1"/>
  <c r="L840"/>
  <c r="K840" s="1"/>
  <c r="L844"/>
  <c r="K844" s="1"/>
  <c r="L845"/>
  <c r="K845" s="1"/>
  <c r="L847"/>
  <c r="K847" s="1"/>
  <c r="L848"/>
  <c r="K848" s="1"/>
  <c r="L849"/>
  <c r="K849" s="1"/>
  <c r="L850"/>
  <c r="K850" s="1"/>
  <c r="L851"/>
  <c r="K851" s="1"/>
  <c r="L852"/>
  <c r="K852" s="1"/>
  <c r="L856"/>
  <c r="K856" s="1"/>
  <c r="L857"/>
  <c r="K857" s="1"/>
  <c r="L859"/>
  <c r="K859" s="1"/>
  <c r="L863"/>
  <c r="K863" s="1"/>
  <c r="L864"/>
  <c r="K864" s="1"/>
  <c r="L866"/>
  <c r="K866" s="1"/>
  <c r="L878"/>
  <c r="K878" s="1"/>
  <c r="L879"/>
  <c r="K879" s="1"/>
  <c r="L880"/>
  <c r="K880" s="1"/>
  <c r="L882"/>
  <c r="K882" s="1"/>
  <c r="L887"/>
  <c r="K887" s="1"/>
  <c r="L888"/>
  <c r="L889"/>
  <c r="K889" s="1"/>
  <c r="L891"/>
  <c r="K891" s="1"/>
  <c r="L896"/>
  <c r="K896" s="1"/>
  <c r="L897"/>
  <c r="K897" s="1"/>
  <c r="L898"/>
  <c r="K898" s="1"/>
  <c r="L899"/>
  <c r="K899" s="1"/>
  <c r="L901"/>
  <c r="K901" s="1"/>
  <c r="L906"/>
  <c r="K906" s="1"/>
  <c r="L907"/>
  <c r="K907" s="1"/>
  <c r="L908"/>
  <c r="K908" s="1"/>
  <c r="L910"/>
  <c r="K910" s="1"/>
  <c r="L915"/>
  <c r="K915" s="1"/>
  <c r="L916"/>
  <c r="K916" s="1"/>
  <c r="L918"/>
  <c r="K918" s="1"/>
  <c r="L922"/>
  <c r="L929"/>
  <c r="K929" s="1"/>
  <c r="L945"/>
  <c r="K945" s="1"/>
  <c r="L946"/>
  <c r="K946" s="1"/>
  <c r="L947"/>
  <c r="K947" s="1"/>
  <c r="L949"/>
  <c r="K949" s="1"/>
  <c r="L953"/>
  <c r="K953" s="1"/>
  <c r="L954"/>
  <c r="K954" s="1"/>
  <c r="L955"/>
  <c r="K955" s="1"/>
  <c r="L959"/>
  <c r="K959" s="1"/>
  <c r="L960"/>
  <c r="K960" s="1"/>
  <c r="L961"/>
  <c r="K961" s="1"/>
  <c r="L962"/>
  <c r="K962" s="1"/>
  <c r="L963"/>
  <c r="K963" s="1"/>
  <c r="L964"/>
  <c r="K964" s="1"/>
  <c r="L965"/>
  <c r="K965" s="1"/>
  <c r="L969"/>
  <c r="K969" s="1"/>
  <c r="L974"/>
  <c r="K974" s="1"/>
  <c r="L975"/>
  <c r="K975" s="1"/>
  <c r="L976"/>
  <c r="K976" s="1"/>
  <c r="L977"/>
  <c r="K977" s="1"/>
  <c r="L978"/>
  <c r="K978" s="1"/>
  <c r="L979"/>
  <c r="K979" s="1"/>
  <c r="L980"/>
  <c r="K980" s="1"/>
  <c r="L981"/>
  <c r="K981" s="1"/>
  <c r="L982"/>
  <c r="K982" s="1"/>
  <c r="L983"/>
  <c r="K983" s="1"/>
  <c r="L984"/>
  <c r="K984" s="1"/>
  <c r="L985"/>
  <c r="K985" s="1"/>
  <c r="L989"/>
  <c r="K989" s="1"/>
  <c r="L1014"/>
  <c r="K1014" s="1"/>
  <c r="L1018"/>
  <c r="K1018" s="1"/>
  <c r="L1019"/>
  <c r="K1019" s="1"/>
  <c r="L1020"/>
  <c r="K1020" s="1"/>
  <c r="L1021"/>
  <c r="K1021" s="1"/>
  <c r="L1022"/>
  <c r="K1022" s="1"/>
  <c r="L1027"/>
  <c r="K1027" s="1"/>
  <c r="L1028"/>
  <c r="K1028" s="1"/>
  <c r="L1029"/>
  <c r="K1029" s="1"/>
  <c r="L1030"/>
  <c r="K1030" s="1"/>
  <c r="L1031"/>
  <c r="K1031" s="1"/>
  <c r="L1032"/>
  <c r="K1032" s="1"/>
  <c r="L1033"/>
  <c r="K1033" s="1"/>
  <c r="L1034"/>
  <c r="K1034" s="1"/>
  <c r="L1035"/>
  <c r="K1035" s="1"/>
  <c r="L1039"/>
  <c r="K1039" s="1"/>
  <c r="L1043"/>
  <c r="K1043" s="1"/>
  <c r="L1046"/>
  <c r="K1046" s="1"/>
  <c r="L1050"/>
  <c r="K1050" s="1"/>
  <c r="L1052"/>
  <c r="K1052" s="1"/>
  <c r="L1053"/>
  <c r="K1053" s="1"/>
  <c r="L1054"/>
  <c r="K1054" s="1"/>
  <c r="L1058"/>
  <c r="K1058" s="1"/>
  <c r="L1059"/>
  <c r="K1059" s="1"/>
  <c r="L1060"/>
  <c r="K1060" s="1"/>
  <c r="L1061"/>
  <c r="K1061" s="1"/>
  <c r="L1062"/>
  <c r="K1062" s="1"/>
  <c r="L1063"/>
  <c r="K1063" s="1"/>
  <c r="L1064"/>
  <c r="K1064" s="1"/>
  <c r="L1065"/>
  <c r="K1065" s="1"/>
  <c r="L1066"/>
  <c r="K1066" s="1"/>
  <c r="L1067"/>
  <c r="K1067" s="1"/>
  <c r="L1068"/>
  <c r="K1068" s="1"/>
  <c r="L1072"/>
  <c r="K1072" s="1"/>
  <c r="L1073"/>
  <c r="K1073" s="1"/>
  <c r="L1074"/>
  <c r="K1074" s="1"/>
  <c r="L1078"/>
  <c r="K1078" s="1"/>
  <c r="L1079"/>
  <c r="K1079" s="1"/>
  <c r="L1080"/>
  <c r="K1080" s="1"/>
  <c r="L1081"/>
  <c r="K1081" s="1"/>
  <c r="L1085"/>
  <c r="K1085" s="1"/>
  <c r="L1086"/>
  <c r="K1086" s="1"/>
  <c r="M1084"/>
  <c r="M1083" s="1"/>
  <c r="M1082" s="1"/>
  <c r="M1077"/>
  <c r="M1076" s="1"/>
  <c r="M1075" s="1"/>
  <c r="M1071"/>
  <c r="M1057"/>
  <c r="M1056" s="1"/>
  <c r="M1041"/>
  <c r="M997" s="1"/>
  <c r="M223" s="1"/>
  <c r="M1026"/>
  <c r="M1025"/>
  <c r="M1024" s="1"/>
  <c r="M1023" s="1"/>
  <c r="M1017"/>
  <c r="M1016" s="1"/>
  <c r="M1013"/>
  <c r="M1010" s="1"/>
  <c r="M1011"/>
  <c r="M1009"/>
  <c r="M996" s="1"/>
  <c r="M1008"/>
  <c r="M1004"/>
  <c r="M1001"/>
  <c r="M1000"/>
  <c r="M995"/>
  <c r="M993"/>
  <c r="M988"/>
  <c r="M972" s="1"/>
  <c r="M973"/>
  <c r="M968"/>
  <c r="M967" s="1"/>
  <c r="M966" s="1"/>
  <c r="M958"/>
  <c r="M957" s="1"/>
  <c r="M952"/>
  <c r="M951" s="1"/>
  <c r="M950" s="1"/>
  <c r="M948"/>
  <c r="M944"/>
  <c r="M941"/>
  <c r="M932" s="1"/>
  <c r="M940"/>
  <c r="M931" s="1"/>
  <c r="M937"/>
  <c r="M936"/>
  <c r="M926" s="1"/>
  <c r="M921"/>
  <c r="M920" s="1"/>
  <c r="M919" s="1"/>
  <c r="M917"/>
  <c r="M914"/>
  <c r="M913" s="1"/>
  <c r="M912" s="1"/>
  <c r="M909"/>
  <c r="M905"/>
  <c r="M900"/>
  <c r="M895"/>
  <c r="M894" s="1"/>
  <c r="M893" s="1"/>
  <c r="M890"/>
  <c r="M886"/>
  <c r="M885" s="1"/>
  <c r="M884" s="1"/>
  <c r="M881"/>
  <c r="M877"/>
  <c r="M876" s="1"/>
  <c r="M871"/>
  <c r="M865"/>
  <c r="M862"/>
  <c r="M861" s="1"/>
  <c r="M858"/>
  <c r="M855"/>
  <c r="M854" s="1"/>
  <c r="M846"/>
  <c r="M843"/>
  <c r="M842" s="1"/>
  <c r="M839"/>
  <c r="M836"/>
  <c r="M835" s="1"/>
  <c r="M832"/>
  <c r="M829"/>
  <c r="M828" s="1"/>
  <c r="M825"/>
  <c r="M822"/>
  <c r="M821" s="1"/>
  <c r="M818"/>
  <c r="M815"/>
  <c r="M814" s="1"/>
  <c r="M811"/>
  <c r="M805"/>
  <c r="M733" s="1"/>
  <c r="M803"/>
  <c r="M724" s="1"/>
  <c r="M795"/>
  <c r="M794" s="1"/>
  <c r="M793" s="1"/>
  <c r="M789"/>
  <c r="M788" s="1"/>
  <c r="M784"/>
  <c r="M783" s="1"/>
  <c r="M779"/>
  <c r="M774"/>
  <c r="M773" s="1"/>
  <c r="M769"/>
  <c r="M768" s="1"/>
  <c r="M767" s="1"/>
  <c r="M746"/>
  <c r="M744" s="1"/>
  <c r="M80" s="1"/>
  <c r="M739"/>
  <c r="M727"/>
  <c r="M718"/>
  <c r="M717" s="1"/>
  <c r="M715"/>
  <c r="M714"/>
  <c r="M713" s="1"/>
  <c r="M710"/>
  <c r="M706"/>
  <c r="M700"/>
  <c r="M699" s="1"/>
  <c r="M698" s="1"/>
  <c r="M696"/>
  <c r="M693"/>
  <c r="M692" s="1"/>
  <c r="M688"/>
  <c r="M685"/>
  <c r="M684" s="1"/>
  <c r="M683" s="1"/>
  <c r="M680"/>
  <c r="M676"/>
  <c r="M675" s="1"/>
  <c r="M674" s="1"/>
  <c r="M670"/>
  <c r="M666"/>
  <c r="M665" s="1"/>
  <c r="M659"/>
  <c r="M658" s="1"/>
  <c r="M657" s="1"/>
  <c r="M653"/>
  <c r="M652" s="1"/>
  <c r="M651" s="1"/>
  <c r="M649"/>
  <c r="M645"/>
  <c r="M644" s="1"/>
  <c r="M643" s="1"/>
  <c r="M639"/>
  <c r="M634"/>
  <c r="M633" s="1"/>
  <c r="M629"/>
  <c r="M628"/>
  <c r="M626"/>
  <c r="M625"/>
  <c r="M456" s="1"/>
  <c r="M623"/>
  <c r="M618"/>
  <c r="M617" s="1"/>
  <c r="M615"/>
  <c r="M614" s="1"/>
  <c r="M612"/>
  <c r="M611" s="1"/>
  <c r="M609"/>
  <c r="M608" s="1"/>
  <c r="M606"/>
  <c r="M605" s="1"/>
  <c r="M603"/>
  <c r="M602" s="1"/>
  <c r="M598"/>
  <c r="M597" s="1"/>
  <c r="M596" s="1"/>
  <c r="M595" s="1"/>
  <c r="M592"/>
  <c r="M591" s="1"/>
  <c r="M586"/>
  <c r="M585" s="1"/>
  <c r="M584" s="1"/>
  <c r="M583" s="1"/>
  <c r="M574"/>
  <c r="M573" s="1"/>
  <c r="M564"/>
  <c r="M562"/>
  <c r="M561" s="1"/>
  <c r="M560" s="1"/>
  <c r="M556"/>
  <c r="M550"/>
  <c r="M549" s="1"/>
  <c r="M544"/>
  <c r="M543" s="1"/>
  <c r="M540"/>
  <c r="M534"/>
  <c r="M533" s="1"/>
  <c r="M530"/>
  <c r="M524"/>
  <c r="M523" s="1"/>
  <c r="M520"/>
  <c r="M514"/>
  <c r="M513" s="1"/>
  <c r="M510"/>
  <c r="M504"/>
  <c r="M497"/>
  <c r="M496" s="1"/>
  <c r="M489"/>
  <c r="M488" s="1"/>
  <c r="M486"/>
  <c r="M476" s="1"/>
  <c r="M483"/>
  <c r="M472" s="1"/>
  <c r="M482"/>
  <c r="M470" s="1"/>
  <c r="M481"/>
  <c r="M480"/>
  <c r="M469" s="1"/>
  <c r="M473"/>
  <c r="M457" s="1"/>
  <c r="M471"/>
  <c r="M462"/>
  <c r="M460"/>
  <c r="M234" s="1"/>
  <c r="M459"/>
  <c r="M233" s="1"/>
  <c r="M445"/>
  <c r="M441"/>
  <c r="M440" s="1"/>
  <c r="M436"/>
  <c r="M434"/>
  <c r="M428"/>
  <c r="M427" s="1"/>
  <c r="M425"/>
  <c r="M419"/>
  <c r="M418"/>
  <c r="M417"/>
  <c r="M411"/>
  <c r="M409" s="1"/>
  <c r="M396"/>
  <c r="M395" s="1"/>
  <c r="M391"/>
  <c r="M382"/>
  <c r="M381" s="1"/>
  <c r="M380" s="1"/>
  <c r="M375"/>
  <c r="M369"/>
  <c r="M368" s="1"/>
  <c r="M367" s="1"/>
  <c r="M363"/>
  <c r="M362" s="1"/>
  <c r="M357"/>
  <c r="M351"/>
  <c r="M350" s="1"/>
  <c r="M345"/>
  <c r="M344" s="1"/>
  <c r="M343" s="1"/>
  <c r="M339"/>
  <c r="M338" s="1"/>
  <c r="M337" s="1"/>
  <c r="M333"/>
  <c r="M332" s="1"/>
  <c r="M327"/>
  <c r="M321"/>
  <c r="M320" s="1"/>
  <c r="M319" s="1"/>
  <c r="M315"/>
  <c r="M314" s="1"/>
  <c r="M309"/>
  <c r="M308" s="1"/>
  <c r="M303"/>
  <c r="M284"/>
  <c r="M283"/>
  <c r="M102" s="1"/>
  <c r="M101" s="1"/>
  <c r="M282"/>
  <c r="M280"/>
  <c r="M279"/>
  <c r="M98" s="1"/>
  <c r="M97" s="1"/>
  <c r="M278"/>
  <c r="M263"/>
  <c r="M260"/>
  <c r="M258"/>
  <c r="M257"/>
  <c r="M256"/>
  <c r="M255"/>
  <c r="M253"/>
  <c r="M251"/>
  <c r="M250"/>
  <c r="M249"/>
  <c r="M226" s="1"/>
  <c r="M247"/>
  <c r="M245"/>
  <c r="M244"/>
  <c r="M199"/>
  <c r="M197"/>
  <c r="M195"/>
  <c r="M192"/>
  <c r="M180"/>
  <c r="M174"/>
  <c r="M173"/>
  <c r="M161"/>
  <c r="M159"/>
  <c r="M158"/>
  <c r="M156"/>
  <c r="M155" s="1"/>
  <c r="M154"/>
  <c r="M152"/>
  <c r="M151"/>
  <c r="M149"/>
  <c r="M148" s="1"/>
  <c r="M146"/>
  <c r="M142"/>
  <c r="M141"/>
  <c r="M140"/>
  <c r="M137"/>
  <c r="M136"/>
  <c r="M134"/>
  <c r="M133"/>
  <c r="M132"/>
  <c r="M127"/>
  <c r="M126"/>
  <c r="M125"/>
  <c r="M120"/>
  <c r="M113"/>
  <c r="M106"/>
  <c r="M105" s="1"/>
  <c r="M211" s="1"/>
  <c r="M94"/>
  <c r="M73"/>
  <c r="M67"/>
  <c r="M64"/>
  <c r="M59"/>
  <c r="M56"/>
  <c r="M54"/>
  <c r="M49"/>
  <c r="M47"/>
  <c r="M38"/>
  <c r="M29"/>
  <c r="M131" s="1"/>
  <c r="M24"/>
  <c r="M130" s="1"/>
  <c r="M14"/>
  <c r="M12"/>
  <c r="M119" s="1"/>
  <c r="M118" s="1"/>
  <c r="N1084"/>
  <c r="N1083" s="1"/>
  <c r="N1082" s="1"/>
  <c r="N1077"/>
  <c r="N1076" s="1"/>
  <c r="N1075" s="1"/>
  <c r="N1071"/>
  <c r="N1057"/>
  <c r="N1056" s="1"/>
  <c r="N1041"/>
  <c r="N997" s="1"/>
  <c r="N223" s="1"/>
  <c r="N1026"/>
  <c r="N1025"/>
  <c r="N1024" s="1"/>
  <c r="N1023" s="1"/>
  <c r="N1017"/>
  <c r="N1016" s="1"/>
  <c r="N1013"/>
  <c r="N1010" s="1"/>
  <c r="N1011"/>
  <c r="N999" s="1"/>
  <c r="N1009"/>
  <c r="N996" s="1"/>
  <c r="N1008"/>
  <c r="N1004"/>
  <c r="N1001"/>
  <c r="N1000"/>
  <c r="N995"/>
  <c r="N993"/>
  <c r="N988"/>
  <c r="N972" s="1"/>
  <c r="N973"/>
  <c r="N968"/>
  <c r="N967" s="1"/>
  <c r="N966" s="1"/>
  <c r="N958"/>
  <c r="N957" s="1"/>
  <c r="N952"/>
  <c r="N951" s="1"/>
  <c r="N950" s="1"/>
  <c r="N948"/>
  <c r="N944"/>
  <c r="N943" s="1"/>
  <c r="N941"/>
  <c r="N932" s="1"/>
  <c r="N940"/>
  <c r="N931" s="1"/>
  <c r="N937"/>
  <c r="N936"/>
  <c r="N926" s="1"/>
  <c r="N921"/>
  <c r="N920" s="1"/>
  <c r="N919" s="1"/>
  <c r="N917"/>
  <c r="N914"/>
  <c r="N913" s="1"/>
  <c r="N912" s="1"/>
  <c r="N909"/>
  <c r="N905"/>
  <c r="N904" s="1"/>
  <c r="N903" s="1"/>
  <c r="N900"/>
  <c r="N895"/>
  <c r="N894" s="1"/>
  <c r="N893" s="1"/>
  <c r="N890"/>
  <c r="N886"/>
  <c r="N885" s="1"/>
  <c r="N884" s="1"/>
  <c r="N881"/>
  <c r="N877"/>
  <c r="N876" s="1"/>
  <c r="N871"/>
  <c r="N728" s="1"/>
  <c r="N865"/>
  <c r="N862"/>
  <c r="N861" s="1"/>
  <c r="N858"/>
  <c r="N855"/>
  <c r="N854" s="1"/>
  <c r="N846"/>
  <c r="N843"/>
  <c r="N842" s="1"/>
  <c r="N839"/>
  <c r="N836"/>
  <c r="N835" s="1"/>
  <c r="N832"/>
  <c r="N829"/>
  <c r="N828" s="1"/>
  <c r="N825"/>
  <c r="N822"/>
  <c r="N821" s="1"/>
  <c r="N818"/>
  <c r="N815"/>
  <c r="N814" s="1"/>
  <c r="N811"/>
  <c r="N808"/>
  <c r="N805"/>
  <c r="N733" s="1"/>
  <c r="N803"/>
  <c r="N724" s="1"/>
  <c r="N802"/>
  <c r="N795"/>
  <c r="N794" s="1"/>
  <c r="N793" s="1"/>
  <c r="N789"/>
  <c r="N788" s="1"/>
  <c r="N784"/>
  <c r="N783" s="1"/>
  <c r="N779"/>
  <c r="N778" s="1"/>
  <c r="N774"/>
  <c r="N773" s="1"/>
  <c r="N769"/>
  <c r="N768" s="1"/>
  <c r="N767" s="1"/>
  <c r="N763"/>
  <c r="N762" s="1"/>
  <c r="N761" s="1"/>
  <c r="N746"/>
  <c r="N744" s="1"/>
  <c r="N80" s="1"/>
  <c r="N739"/>
  <c r="N727"/>
  <c r="N718"/>
  <c r="N717" s="1"/>
  <c r="N715"/>
  <c r="N714"/>
  <c r="N713" s="1"/>
  <c r="N710"/>
  <c r="N706"/>
  <c r="N705" s="1"/>
  <c r="N704" s="1"/>
  <c r="N700"/>
  <c r="N699" s="1"/>
  <c r="N698" s="1"/>
  <c r="N696"/>
  <c r="N693"/>
  <c r="N692" s="1"/>
  <c r="N691" s="1"/>
  <c r="N688"/>
  <c r="N685"/>
  <c r="N684" s="1"/>
  <c r="N683" s="1"/>
  <c r="N680"/>
  <c r="N676"/>
  <c r="N675" s="1"/>
  <c r="N674" s="1"/>
  <c r="N670"/>
  <c r="N666"/>
  <c r="N665" s="1"/>
  <c r="N664" s="1"/>
  <c r="N659"/>
  <c r="N658" s="1"/>
  <c r="N657" s="1"/>
  <c r="N653"/>
  <c r="N652" s="1"/>
  <c r="N651" s="1"/>
  <c r="N649"/>
  <c r="N645"/>
  <c r="N644" s="1"/>
  <c r="N643" s="1"/>
  <c r="N639"/>
  <c r="N634"/>
  <c r="N633" s="1"/>
  <c r="N629"/>
  <c r="N628"/>
  <c r="N626"/>
  <c r="N625"/>
  <c r="N456" s="1"/>
  <c r="N623"/>
  <c r="N618"/>
  <c r="N617" s="1"/>
  <c r="N615"/>
  <c r="N614" s="1"/>
  <c r="N612"/>
  <c r="N611" s="1"/>
  <c r="N609"/>
  <c r="N606"/>
  <c r="N605" s="1"/>
  <c r="N603"/>
  <c r="N602" s="1"/>
  <c r="N598"/>
  <c r="N597" s="1"/>
  <c r="N596" s="1"/>
  <c r="N595" s="1"/>
  <c r="N592"/>
  <c r="N591" s="1"/>
  <c r="N590" s="1"/>
  <c r="N589" s="1"/>
  <c r="N586"/>
  <c r="N585" s="1"/>
  <c r="N584" s="1"/>
  <c r="N583" s="1"/>
  <c r="N574"/>
  <c r="N564"/>
  <c r="N562"/>
  <c r="N556"/>
  <c r="N550"/>
  <c r="N549" s="1"/>
  <c r="N544"/>
  <c r="N543" s="1"/>
  <c r="N542" s="1"/>
  <c r="N22" s="1"/>
  <c r="N540"/>
  <c r="N534"/>
  <c r="N533" s="1"/>
  <c r="N530"/>
  <c r="N524"/>
  <c r="N523" s="1"/>
  <c r="N520"/>
  <c r="N514"/>
  <c r="N513" s="1"/>
  <c r="N510"/>
  <c r="N504"/>
  <c r="N497"/>
  <c r="N485" s="1"/>
  <c r="N475" s="1"/>
  <c r="N489"/>
  <c r="N488" s="1"/>
  <c r="N486"/>
  <c r="N476" s="1"/>
  <c r="N483"/>
  <c r="N472" s="1"/>
  <c r="N482"/>
  <c r="N470" s="1"/>
  <c r="N481"/>
  <c r="N480"/>
  <c r="N469" s="1"/>
  <c r="N473"/>
  <c r="N457" s="1"/>
  <c r="N471"/>
  <c r="N462"/>
  <c r="N460"/>
  <c r="N234" s="1"/>
  <c r="N459"/>
  <c r="N233" s="1"/>
  <c r="N445"/>
  <c r="N441"/>
  <c r="N440" s="1"/>
  <c r="N436"/>
  <c r="N434"/>
  <c r="N428"/>
  <c r="N427" s="1"/>
  <c r="N425"/>
  <c r="N424" s="1"/>
  <c r="N419"/>
  <c r="N418"/>
  <c r="N417"/>
  <c r="N411"/>
  <c r="N409" s="1"/>
  <c r="N396"/>
  <c r="N395" s="1"/>
  <c r="N391"/>
  <c r="N387"/>
  <c r="N386" s="1"/>
  <c r="N385" s="1"/>
  <c r="N382"/>
  <c r="N381" s="1"/>
  <c r="N380" s="1"/>
  <c r="N375"/>
  <c r="N374" s="1"/>
  <c r="N373" s="1"/>
  <c r="N369"/>
  <c r="N368" s="1"/>
  <c r="N367" s="1"/>
  <c r="N363"/>
  <c r="N362" s="1"/>
  <c r="N361" s="1"/>
  <c r="N357"/>
  <c r="N356" s="1"/>
  <c r="N355" s="1"/>
  <c r="N351"/>
  <c r="N350" s="1"/>
  <c r="N349" s="1"/>
  <c r="N345"/>
  <c r="N344" s="1"/>
  <c r="N343" s="1"/>
  <c r="N339"/>
  <c r="N338" s="1"/>
  <c r="N337" s="1"/>
  <c r="N333"/>
  <c r="N332" s="1"/>
  <c r="N331" s="1"/>
  <c r="N327"/>
  <c r="N326" s="1"/>
  <c r="N325" s="1"/>
  <c r="N321"/>
  <c r="N320" s="1"/>
  <c r="N319" s="1"/>
  <c r="N315"/>
  <c r="N314" s="1"/>
  <c r="N313" s="1"/>
  <c r="N309"/>
  <c r="N308" s="1"/>
  <c r="N307" s="1"/>
  <c r="N303"/>
  <c r="N302" s="1"/>
  <c r="N301" s="1"/>
  <c r="N284"/>
  <c r="N283"/>
  <c r="N102" s="1"/>
  <c r="N101" s="1"/>
  <c r="N282"/>
  <c r="N280"/>
  <c r="N279"/>
  <c r="N98" s="1"/>
  <c r="N97" s="1"/>
  <c r="N278"/>
  <c r="N263"/>
  <c r="N262" s="1"/>
  <c r="N260"/>
  <c r="N258"/>
  <c r="N257"/>
  <c r="N256"/>
  <c r="N255"/>
  <c r="N253"/>
  <c r="N251"/>
  <c r="N250"/>
  <c r="N249"/>
  <c r="N226" s="1"/>
  <c r="N247"/>
  <c r="N224" s="1"/>
  <c r="N245"/>
  <c r="N244"/>
  <c r="N199"/>
  <c r="N197"/>
  <c r="N195"/>
  <c r="N192"/>
  <c r="N180"/>
  <c r="N174"/>
  <c r="N173"/>
  <c r="N161"/>
  <c r="N159"/>
  <c r="N158"/>
  <c r="N156"/>
  <c r="N155" s="1"/>
  <c r="N154"/>
  <c r="N152"/>
  <c r="N151"/>
  <c r="N149"/>
  <c r="N148" s="1"/>
  <c r="N146"/>
  <c r="N142"/>
  <c r="N141"/>
  <c r="N140"/>
  <c r="N137"/>
  <c r="N136"/>
  <c r="N134"/>
  <c r="N133"/>
  <c r="N132"/>
  <c r="N127"/>
  <c r="N126"/>
  <c r="N125"/>
  <c r="N120"/>
  <c r="N113"/>
  <c r="N106"/>
  <c r="N212" s="1"/>
  <c r="N94"/>
  <c r="N73"/>
  <c r="N67"/>
  <c r="N64"/>
  <c r="N59"/>
  <c r="N56"/>
  <c r="N54"/>
  <c r="N49"/>
  <c r="N47"/>
  <c r="N42" s="1"/>
  <c r="N143" s="1"/>
  <c r="N38"/>
  <c r="N29"/>
  <c r="N131" s="1"/>
  <c r="N24"/>
  <c r="N130" s="1"/>
  <c r="N14"/>
  <c r="N12"/>
  <c r="N119" s="1"/>
  <c r="N118" s="1"/>
  <c r="O1084"/>
  <c r="O1083" s="1"/>
  <c r="O1082" s="1"/>
  <c r="O1077"/>
  <c r="O1076" s="1"/>
  <c r="O1075" s="1"/>
  <c r="O1071"/>
  <c r="O1057"/>
  <c r="O1056" s="1"/>
  <c r="O1041"/>
  <c r="O997" s="1"/>
  <c r="O223" s="1"/>
  <c r="O1026"/>
  <c r="O1025"/>
  <c r="O1017"/>
  <c r="O1016" s="1"/>
  <c r="O1013"/>
  <c r="O1010" s="1"/>
  <c r="O1011"/>
  <c r="O999" s="1"/>
  <c r="O1009"/>
  <c r="O996" s="1"/>
  <c r="O1008"/>
  <c r="O1004"/>
  <c r="O1001"/>
  <c r="O1000"/>
  <c r="O995"/>
  <c r="O993"/>
  <c r="O988"/>
  <c r="O972" s="1"/>
  <c r="O973"/>
  <c r="O968"/>
  <c r="O967" s="1"/>
  <c r="O966" s="1"/>
  <c r="O958"/>
  <c r="O956" s="1"/>
  <c r="O952"/>
  <c r="O951" s="1"/>
  <c r="O950" s="1"/>
  <c r="O948"/>
  <c r="O944"/>
  <c r="O943" s="1"/>
  <c r="O941"/>
  <c r="O932" s="1"/>
  <c r="O940"/>
  <c r="O931" s="1"/>
  <c r="O937"/>
  <c r="O936"/>
  <c r="O926" s="1"/>
  <c r="O921"/>
  <c r="O920" s="1"/>
  <c r="O919" s="1"/>
  <c r="O917"/>
  <c r="O914"/>
  <c r="O913" s="1"/>
  <c r="O912" s="1"/>
  <c r="O909"/>
  <c r="O905"/>
  <c r="O904" s="1"/>
  <c r="O903" s="1"/>
  <c r="O900"/>
  <c r="O895"/>
  <c r="O894" s="1"/>
  <c r="O893" s="1"/>
  <c r="O890"/>
  <c r="O886"/>
  <c r="O885" s="1"/>
  <c r="O884" s="1"/>
  <c r="O881"/>
  <c r="O877"/>
  <c r="O871"/>
  <c r="O728" s="1"/>
  <c r="O865"/>
  <c r="O862"/>
  <c r="O861" s="1"/>
  <c r="O858"/>
  <c r="O855"/>
  <c r="O854" s="1"/>
  <c r="O846"/>
  <c r="O843"/>
  <c r="O842" s="1"/>
  <c r="O839"/>
  <c r="O836"/>
  <c r="O835" s="1"/>
  <c r="O832"/>
  <c r="O829"/>
  <c r="O828" s="1"/>
  <c r="O825"/>
  <c r="O822"/>
  <c r="O821" s="1"/>
  <c r="O818"/>
  <c r="O815"/>
  <c r="O814" s="1"/>
  <c r="O811"/>
  <c r="O808"/>
  <c r="O805"/>
  <c r="O733" s="1"/>
  <c r="O803"/>
  <c r="O724" s="1"/>
  <c r="O802"/>
  <c r="O795"/>
  <c r="O794" s="1"/>
  <c r="O793" s="1"/>
  <c r="O789"/>
  <c r="O788" s="1"/>
  <c r="O784"/>
  <c r="O783" s="1"/>
  <c r="O779"/>
  <c r="O778" s="1"/>
  <c r="O774"/>
  <c r="O773" s="1"/>
  <c r="O769"/>
  <c r="O768" s="1"/>
  <c r="O767" s="1"/>
  <c r="O763"/>
  <c r="O762" s="1"/>
  <c r="O761" s="1"/>
  <c r="O746"/>
  <c r="O744" s="1"/>
  <c r="O80" s="1"/>
  <c r="O739"/>
  <c r="O727"/>
  <c r="O718"/>
  <c r="O717" s="1"/>
  <c r="O715"/>
  <c r="O714"/>
  <c r="O713" s="1"/>
  <c r="O710"/>
  <c r="O706"/>
  <c r="O705" s="1"/>
  <c r="O704" s="1"/>
  <c r="O700"/>
  <c r="O699" s="1"/>
  <c r="O698" s="1"/>
  <c r="O696"/>
  <c r="O693"/>
  <c r="O692" s="1"/>
  <c r="O691" s="1"/>
  <c r="O688"/>
  <c r="O685"/>
  <c r="O684" s="1"/>
  <c r="O683" s="1"/>
  <c r="O680"/>
  <c r="O676"/>
  <c r="O675" s="1"/>
  <c r="O674" s="1"/>
  <c r="O670"/>
  <c r="O666"/>
  <c r="O665" s="1"/>
  <c r="O664" s="1"/>
  <c r="O659"/>
  <c r="O658" s="1"/>
  <c r="O657" s="1"/>
  <c r="O653"/>
  <c r="O652" s="1"/>
  <c r="O651" s="1"/>
  <c r="O649"/>
  <c r="O645"/>
  <c r="O644" s="1"/>
  <c r="O643" s="1"/>
  <c r="O639"/>
  <c r="O634"/>
  <c r="O629"/>
  <c r="O628"/>
  <c r="O626"/>
  <c r="O625"/>
  <c r="O623"/>
  <c r="O618"/>
  <c r="O617" s="1"/>
  <c r="O615"/>
  <c r="O614" s="1"/>
  <c r="O612"/>
  <c r="O611" s="1"/>
  <c r="O609"/>
  <c r="O608" s="1"/>
  <c r="O606"/>
  <c r="O605" s="1"/>
  <c r="O603"/>
  <c r="O602" s="1"/>
  <c r="O598"/>
  <c r="O597" s="1"/>
  <c r="O596" s="1"/>
  <c r="O595" s="1"/>
  <c r="O592"/>
  <c r="O591" s="1"/>
  <c r="O590" s="1"/>
  <c r="O589" s="1"/>
  <c r="O586"/>
  <c r="O574"/>
  <c r="O573" s="1"/>
  <c r="O572" s="1"/>
  <c r="O571" s="1"/>
  <c r="O564"/>
  <c r="O562"/>
  <c r="O561" s="1"/>
  <c r="O560" s="1"/>
  <c r="O556"/>
  <c r="O550"/>
  <c r="O549" s="1"/>
  <c r="O544"/>
  <c r="O543" s="1"/>
  <c r="O542" s="1"/>
  <c r="O22" s="1"/>
  <c r="O540"/>
  <c r="O534"/>
  <c r="O533" s="1"/>
  <c r="O530"/>
  <c r="O524"/>
  <c r="O523" s="1"/>
  <c r="O520"/>
  <c r="O514"/>
  <c r="O513" s="1"/>
  <c r="O510"/>
  <c r="O504"/>
  <c r="O503" s="1"/>
  <c r="O497"/>
  <c r="O485" s="1"/>
  <c r="O475" s="1"/>
  <c r="O489"/>
  <c r="O488" s="1"/>
  <c r="O486"/>
  <c r="O476" s="1"/>
  <c r="O483"/>
  <c r="O472" s="1"/>
  <c r="O482"/>
  <c r="O470" s="1"/>
  <c r="O481"/>
  <c r="O480"/>
  <c r="O469" s="1"/>
  <c r="O473"/>
  <c r="O457" s="1"/>
  <c r="O471"/>
  <c r="O462"/>
  <c r="O460"/>
  <c r="O234" s="1"/>
  <c r="O459"/>
  <c r="O233" s="1"/>
  <c r="O445"/>
  <c r="O441"/>
  <c r="O440" s="1"/>
  <c r="O436"/>
  <c r="O434"/>
  <c r="O433" s="1"/>
  <c r="O428"/>
  <c r="O421" s="1"/>
  <c r="O425"/>
  <c r="O419"/>
  <c r="O418"/>
  <c r="O417"/>
  <c r="O411"/>
  <c r="O246" s="1"/>
  <c r="O222" s="1"/>
  <c r="O396"/>
  <c r="O395" s="1"/>
  <c r="O391"/>
  <c r="O382"/>
  <c r="O381" s="1"/>
  <c r="O380" s="1"/>
  <c r="O375"/>
  <c r="O374" s="1"/>
  <c r="O373" s="1"/>
  <c r="O369"/>
  <c r="O368" s="1"/>
  <c r="O367" s="1"/>
  <c r="O363"/>
  <c r="O362" s="1"/>
  <c r="O361" s="1"/>
  <c r="O357"/>
  <c r="O356" s="1"/>
  <c r="O355" s="1"/>
  <c r="O351"/>
  <c r="O350" s="1"/>
  <c r="O349" s="1"/>
  <c r="O345"/>
  <c r="O344" s="1"/>
  <c r="O343" s="1"/>
  <c r="O339"/>
  <c r="O338" s="1"/>
  <c r="O337" s="1"/>
  <c r="O333"/>
  <c r="O332" s="1"/>
  <c r="O331" s="1"/>
  <c r="O327"/>
  <c r="O326" s="1"/>
  <c r="O325" s="1"/>
  <c r="O321"/>
  <c r="O315"/>
  <c r="O314" s="1"/>
  <c r="O313" s="1"/>
  <c r="O309"/>
  <c r="O308" s="1"/>
  <c r="O307" s="1"/>
  <c r="O303"/>
  <c r="O302" s="1"/>
  <c r="O301" s="1"/>
  <c r="O284"/>
  <c r="O283"/>
  <c r="O102" s="1"/>
  <c r="O208" s="1"/>
  <c r="O207" s="1"/>
  <c r="O282"/>
  <c r="O280"/>
  <c r="O279"/>
  <c r="O98" s="1"/>
  <c r="O97" s="1"/>
  <c r="O278"/>
  <c r="O263"/>
  <c r="O262" s="1"/>
  <c r="O260"/>
  <c r="O258"/>
  <c r="O257"/>
  <c r="O256"/>
  <c r="O255"/>
  <c r="O253"/>
  <c r="O251"/>
  <c r="O250"/>
  <c r="O249"/>
  <c r="O226" s="1"/>
  <c r="O247"/>
  <c r="O224" s="1"/>
  <c r="O245"/>
  <c r="O244"/>
  <c r="O199"/>
  <c r="O197"/>
  <c r="O195"/>
  <c r="O192"/>
  <c r="O180"/>
  <c r="O174"/>
  <c r="O173"/>
  <c r="O161"/>
  <c r="O159"/>
  <c r="O158"/>
  <c r="O156"/>
  <c r="O155" s="1"/>
  <c r="O154"/>
  <c r="O152"/>
  <c r="O151"/>
  <c r="O149"/>
  <c r="O148" s="1"/>
  <c r="O146"/>
  <c r="O142"/>
  <c r="O141"/>
  <c r="O140"/>
  <c r="O137"/>
  <c r="O136"/>
  <c r="O134"/>
  <c r="O133"/>
  <c r="O132"/>
  <c r="O127"/>
  <c r="O126"/>
  <c r="O125"/>
  <c r="O120"/>
  <c r="O113"/>
  <c r="O106"/>
  <c r="O212" s="1"/>
  <c r="O94"/>
  <c r="O73"/>
  <c r="O67"/>
  <c r="O64"/>
  <c r="O59"/>
  <c r="O56"/>
  <c r="O54"/>
  <c r="O49"/>
  <c r="O47"/>
  <c r="O42" s="1"/>
  <c r="O143" s="1"/>
  <c r="O38"/>
  <c r="O29"/>
  <c r="O131" s="1"/>
  <c r="O24"/>
  <c r="O130" s="1"/>
  <c r="O14"/>
  <c r="O12"/>
  <c r="O119" s="1"/>
  <c r="O118" s="1"/>
  <c r="K79" l="1"/>
  <c r="N883"/>
  <c r="O820"/>
  <c r="N420"/>
  <c r="N512"/>
  <c r="O690"/>
  <c r="O987"/>
  <c r="O971" s="1"/>
  <c r="N942"/>
  <c r="M673"/>
  <c r="N157"/>
  <c r="O883"/>
  <c r="M956"/>
  <c r="M432"/>
  <c r="N150"/>
  <c r="O512"/>
  <c r="N522"/>
  <c r="N690"/>
  <c r="M853"/>
  <c r="M1012"/>
  <c r="N682"/>
  <c r="N873"/>
  <c r="N730" s="1"/>
  <c r="N461" s="1"/>
  <c r="N235" s="1"/>
  <c r="O642"/>
  <c r="O522"/>
  <c r="N532"/>
  <c r="N927"/>
  <c r="N421"/>
  <c r="M911"/>
  <c r="O236"/>
  <c r="N439"/>
  <c r="N438" s="1"/>
  <c r="N663"/>
  <c r="M820"/>
  <c r="O663"/>
  <c r="M157"/>
  <c r="O230"/>
  <c r="O957"/>
  <c r="O938" s="1"/>
  <c r="O928" s="1"/>
  <c r="N813"/>
  <c r="N911"/>
  <c r="N853"/>
  <c r="N902"/>
  <c r="M532"/>
  <c r="N673"/>
  <c r="M827"/>
  <c r="O502"/>
  <c r="O559"/>
  <c r="N841"/>
  <c r="M331"/>
  <c r="O548"/>
  <c r="O911"/>
  <c r="O1024"/>
  <c r="O1023" s="1"/>
  <c r="O853"/>
  <c r="O673"/>
  <c r="O601"/>
  <c r="O456"/>
  <c r="O228" s="1"/>
  <c r="O841"/>
  <c r="O1012"/>
  <c r="N384"/>
  <c r="N608"/>
  <c r="N601" s="1"/>
  <c r="N627"/>
  <c r="N804"/>
  <c r="N1007"/>
  <c r="M485"/>
  <c r="O496"/>
  <c r="O484" s="1"/>
  <c r="O474" s="1"/>
  <c r="O939"/>
  <c r="O930" s="1"/>
  <c r="N432"/>
  <c r="N956"/>
  <c r="M873"/>
  <c r="M730" s="1"/>
  <c r="M461" s="1"/>
  <c r="O703"/>
  <c r="O827"/>
  <c r="N465"/>
  <c r="N938"/>
  <c r="N928" s="1"/>
  <c r="M421"/>
  <c r="N230"/>
  <c r="O860"/>
  <c r="N987"/>
  <c r="N986" s="1"/>
  <c r="N970" s="1"/>
  <c r="N1012"/>
  <c r="M559"/>
  <c r="N496"/>
  <c r="N484" s="1"/>
  <c r="N474" s="1"/>
  <c r="N827"/>
  <c r="O873"/>
  <c r="O730" s="1"/>
  <c r="O461" s="1"/>
  <c r="O235" s="1"/>
  <c r="N548"/>
  <c r="N703"/>
  <c r="O682"/>
  <c r="O439"/>
  <c r="O438" s="1"/>
  <c r="O105"/>
  <c r="O211" s="1"/>
  <c r="O532"/>
  <c r="O902"/>
  <c r="N92"/>
  <c r="N198" s="1"/>
  <c r="N187" s="1"/>
  <c r="N642"/>
  <c r="N820"/>
  <c r="M224"/>
  <c r="N872"/>
  <c r="M892"/>
  <c r="O892"/>
  <c r="O872"/>
  <c r="N892"/>
  <c r="M804"/>
  <c r="N834"/>
  <c r="M834"/>
  <c r="O834"/>
  <c r="N236"/>
  <c r="O409"/>
  <c r="O394"/>
  <c r="O393" s="1"/>
  <c r="O252"/>
  <c r="O229" s="1"/>
  <c r="O157"/>
  <c r="M150"/>
  <c r="O150"/>
  <c r="N37"/>
  <c r="M42"/>
  <c r="M143" s="1"/>
  <c r="M139"/>
  <c r="O139"/>
  <c r="N139"/>
  <c r="O37"/>
  <c r="O726"/>
  <c r="O455" s="1"/>
  <c r="O227" s="1"/>
  <c r="M172"/>
  <c r="O736"/>
  <c r="O735" s="1"/>
  <c r="M705"/>
  <c r="M691"/>
  <c r="M682"/>
  <c r="M664"/>
  <c r="M642"/>
  <c r="M627"/>
  <c r="O624"/>
  <c r="N624"/>
  <c r="M624"/>
  <c r="M548"/>
  <c r="M374"/>
  <c r="O281"/>
  <c r="M361"/>
  <c r="M281"/>
  <c r="M356"/>
  <c r="M349"/>
  <c r="M326"/>
  <c r="M313"/>
  <c r="M307"/>
  <c r="O92"/>
  <c r="O198" s="1"/>
  <c r="O187" s="1"/>
  <c r="O277"/>
  <c r="M277"/>
  <c r="M302"/>
  <c r="K265"/>
  <c r="M262"/>
  <c r="M778"/>
  <c r="M92"/>
  <c r="M71" s="1"/>
  <c r="M70" s="1"/>
  <c r="L764"/>
  <c r="K764" s="1"/>
  <c r="N208"/>
  <c r="N207" s="1"/>
  <c r="M208"/>
  <c r="M808"/>
  <c r="M807" s="1"/>
  <c r="M806" s="1"/>
  <c r="L809"/>
  <c r="K809" s="1"/>
  <c r="O723"/>
  <c r="O452" s="1"/>
  <c r="O220" s="1"/>
  <c r="L737"/>
  <c r="K737" s="1"/>
  <c r="N736"/>
  <c r="N735" s="1"/>
  <c r="N723"/>
  <c r="N452" s="1"/>
  <c r="N220" s="1"/>
  <c r="M736"/>
  <c r="M735" s="1"/>
  <c r="M723"/>
  <c r="M452" s="1"/>
  <c r="M220" s="1"/>
  <c r="N801"/>
  <c r="O807"/>
  <c r="O806" s="1"/>
  <c r="O801"/>
  <c r="O453"/>
  <c r="N453"/>
  <c r="O1044"/>
  <c r="N1044"/>
  <c r="M1044"/>
  <c r="O1070"/>
  <c r="O1069" s="1"/>
  <c r="O1002" s="1"/>
  <c r="N1070"/>
  <c r="N1069" s="1"/>
  <c r="N1002" s="1"/>
  <c r="M1070"/>
  <c r="O1040"/>
  <c r="O994" s="1"/>
  <c r="N1049"/>
  <c r="N1038" s="1"/>
  <c r="N994"/>
  <c r="M999"/>
  <c r="M987"/>
  <c r="M971" s="1"/>
  <c r="O927"/>
  <c r="M927"/>
  <c r="O935"/>
  <c r="O925" s="1"/>
  <c r="N935"/>
  <c r="N925" s="1"/>
  <c r="M943"/>
  <c r="M934" s="1"/>
  <c r="M935"/>
  <c r="M904"/>
  <c r="M869" s="1"/>
  <c r="O870"/>
  <c r="O725" s="1"/>
  <c r="M883"/>
  <c r="M872"/>
  <c r="M728"/>
  <c r="K888"/>
  <c r="N870"/>
  <c r="N725" s="1"/>
  <c r="O876"/>
  <c r="O869" s="1"/>
  <c r="M870"/>
  <c r="N860"/>
  <c r="O804"/>
  <c r="M860"/>
  <c r="M841"/>
  <c r="M813"/>
  <c r="L581"/>
  <c r="K581" s="1"/>
  <c r="M590"/>
  <c r="N579"/>
  <c r="N578" s="1"/>
  <c r="N577" s="1"/>
  <c r="N570"/>
  <c r="N573"/>
  <c r="N572" s="1"/>
  <c r="N571" s="1"/>
  <c r="O570"/>
  <c r="M569"/>
  <c r="M572"/>
  <c r="N561"/>
  <c r="N560" s="1"/>
  <c r="N559" s="1"/>
  <c r="M522"/>
  <c r="N479"/>
  <c r="N468" s="1"/>
  <c r="M512"/>
  <c r="M484"/>
  <c r="O478"/>
  <c r="O467" s="1"/>
  <c r="M465"/>
  <c r="M453"/>
  <c r="M416"/>
  <c r="M420"/>
  <c r="M439"/>
  <c r="O416"/>
  <c r="O432"/>
  <c r="O424"/>
  <c r="O415" s="1"/>
  <c r="M384"/>
  <c r="O386"/>
  <c r="O385" s="1"/>
  <c r="O384" s="1"/>
  <c r="O248"/>
  <c r="M243"/>
  <c r="L388"/>
  <c r="K388" s="1"/>
  <c r="N248"/>
  <c r="M248"/>
  <c r="L1051"/>
  <c r="O1048"/>
  <c r="O1037" s="1"/>
  <c r="M994"/>
  <c r="M1049"/>
  <c r="M1048" s="1"/>
  <c r="M542"/>
  <c r="M1015"/>
  <c r="M1006"/>
  <c r="M230"/>
  <c r="M228"/>
  <c r="M487"/>
  <c r="M203"/>
  <c r="M204"/>
  <c r="M96"/>
  <c r="M407"/>
  <c r="M408"/>
  <c r="M394"/>
  <c r="M252"/>
  <c r="M875"/>
  <c r="M632"/>
  <c r="M1045"/>
  <c r="M1055"/>
  <c r="M938"/>
  <c r="M601"/>
  <c r="M479"/>
  <c r="M570"/>
  <c r="M246"/>
  <c r="M1007"/>
  <c r="M630"/>
  <c r="M424"/>
  <c r="M212"/>
  <c r="M503"/>
  <c r="M939"/>
  <c r="M726"/>
  <c r="M433"/>
  <c r="N407"/>
  <c r="N408"/>
  <c r="N1015"/>
  <c r="N1006"/>
  <c r="N394"/>
  <c r="N393" s="1"/>
  <c r="N252"/>
  <c r="N229" s="1"/>
  <c r="N243"/>
  <c r="N18"/>
  <c r="N17" s="1"/>
  <c r="N128"/>
  <c r="N124" s="1"/>
  <c r="N123" s="1"/>
  <c r="N204"/>
  <c r="N203"/>
  <c r="N172"/>
  <c r="N168" s="1"/>
  <c r="N622"/>
  <c r="N632"/>
  <c r="N1045"/>
  <c r="N1003" s="1"/>
  <c r="N1055"/>
  <c r="N750"/>
  <c r="N423"/>
  <c r="N875"/>
  <c r="N869"/>
  <c r="N228"/>
  <c r="N105"/>
  <c r="N211" s="1"/>
  <c r="N416"/>
  <c r="N934"/>
  <c r="N246"/>
  <c r="N222" s="1"/>
  <c r="N281"/>
  <c r="N630"/>
  <c r="N463" s="1"/>
  <c r="N807"/>
  <c r="N277"/>
  <c r="N503"/>
  <c r="N502" s="1"/>
  <c r="N939"/>
  <c r="N930" s="1"/>
  <c r="N726"/>
  <c r="N455" s="1"/>
  <c r="N227" s="1"/>
  <c r="N433"/>
  <c r="N415" s="1"/>
  <c r="O172"/>
  <c r="O168" s="1"/>
  <c r="O167" s="1"/>
  <c r="O750"/>
  <c r="O465"/>
  <c r="O942"/>
  <c r="O933" s="1"/>
  <c r="O934"/>
  <c r="O924" s="1"/>
  <c r="O203"/>
  <c r="O204"/>
  <c r="O128"/>
  <c r="O124" s="1"/>
  <c r="O123" s="1"/>
  <c r="O18"/>
  <c r="O17" s="1"/>
  <c r="O1015"/>
  <c r="O1006"/>
  <c r="O578"/>
  <c r="O577" s="1"/>
  <c r="O479"/>
  <c r="O468" s="1"/>
  <c r="O627"/>
  <c r="O1045"/>
  <c r="O1003" s="1"/>
  <c r="O1055"/>
  <c r="O633"/>
  <c r="O813"/>
  <c r="O427"/>
  <c r="O420" s="1"/>
  <c r="O1007"/>
  <c r="O992" s="1"/>
  <c r="O585"/>
  <c r="O584" s="1"/>
  <c r="O583" s="1"/>
  <c r="O630"/>
  <c r="O463" s="1"/>
  <c r="O320"/>
  <c r="O319" s="1"/>
  <c r="O101"/>
  <c r="P1084"/>
  <c r="P1083" s="1"/>
  <c r="P1082" s="1"/>
  <c r="L1082" s="1"/>
  <c r="P1077"/>
  <c r="P1076" s="1"/>
  <c r="P1075" s="1"/>
  <c r="L1075" s="1"/>
  <c r="P1071"/>
  <c r="P1070" s="1"/>
  <c r="P1069" s="1"/>
  <c r="P1057"/>
  <c r="P1056" s="1"/>
  <c r="L1056" s="1"/>
  <c r="P1049"/>
  <c r="P1048" s="1"/>
  <c r="P1037" s="1"/>
  <c r="P1041"/>
  <c r="P997" s="1"/>
  <c r="P223" s="1"/>
  <c r="L223" s="1"/>
  <c r="P1040"/>
  <c r="P1026"/>
  <c r="L1026" s="1"/>
  <c r="P1025"/>
  <c r="P1024" s="1"/>
  <c r="P1023" s="1"/>
  <c r="P1017"/>
  <c r="P1007" s="1"/>
  <c r="P1013"/>
  <c r="P1012" s="1"/>
  <c r="P1011"/>
  <c r="P999" s="1"/>
  <c r="P1009"/>
  <c r="P996" s="1"/>
  <c r="L996" s="1"/>
  <c r="P1008"/>
  <c r="L1008" s="1"/>
  <c r="P1004"/>
  <c r="L1004" s="1"/>
  <c r="P1001"/>
  <c r="L1001" s="1"/>
  <c r="P1000"/>
  <c r="L1000" s="1"/>
  <c r="P995"/>
  <c r="L995" s="1"/>
  <c r="P993"/>
  <c r="L993" s="1"/>
  <c r="P988"/>
  <c r="P987" s="1"/>
  <c r="P973"/>
  <c r="L973" s="1"/>
  <c r="P968"/>
  <c r="P967" s="1"/>
  <c r="P966" s="1"/>
  <c r="L966" s="1"/>
  <c r="P958"/>
  <c r="P956" s="1"/>
  <c r="P952"/>
  <c r="L952" s="1"/>
  <c r="P948"/>
  <c r="L948" s="1"/>
  <c r="P944"/>
  <c r="P943" s="1"/>
  <c r="P934" s="1"/>
  <c r="P941"/>
  <c r="P932" s="1"/>
  <c r="L932" s="1"/>
  <c r="P940"/>
  <c r="L940" s="1"/>
  <c r="P937"/>
  <c r="P936"/>
  <c r="L936" s="1"/>
  <c r="P921"/>
  <c r="P920" s="1"/>
  <c r="P919" s="1"/>
  <c r="L919" s="1"/>
  <c r="P917"/>
  <c r="P914"/>
  <c r="P913" s="1"/>
  <c r="P912" s="1"/>
  <c r="P909"/>
  <c r="L909" s="1"/>
  <c r="P905"/>
  <c r="P904" s="1"/>
  <c r="P903" s="1"/>
  <c r="P900"/>
  <c r="L900" s="1"/>
  <c r="P895"/>
  <c r="P894" s="1"/>
  <c r="P893" s="1"/>
  <c r="P890"/>
  <c r="L890" s="1"/>
  <c r="P886"/>
  <c r="P885" s="1"/>
  <c r="P884" s="1"/>
  <c r="L884" s="1"/>
  <c r="P881"/>
  <c r="L881" s="1"/>
  <c r="P877"/>
  <c r="P876" s="1"/>
  <c r="P871"/>
  <c r="L871" s="1"/>
  <c r="P865"/>
  <c r="L865" s="1"/>
  <c r="P862"/>
  <c r="P861" s="1"/>
  <c r="P858"/>
  <c r="L858" s="1"/>
  <c r="P855"/>
  <c r="P854" s="1"/>
  <c r="P846"/>
  <c r="L846" s="1"/>
  <c r="P843"/>
  <c r="P842" s="1"/>
  <c r="L842" s="1"/>
  <c r="P839"/>
  <c r="L839" s="1"/>
  <c r="P836"/>
  <c r="P835" s="1"/>
  <c r="P832"/>
  <c r="L832" s="1"/>
  <c r="P829"/>
  <c r="P828" s="1"/>
  <c r="P825"/>
  <c r="L825" s="1"/>
  <c r="P822"/>
  <c r="P821" s="1"/>
  <c r="P818"/>
  <c r="L818" s="1"/>
  <c r="P815"/>
  <c r="P814" s="1"/>
  <c r="L814" s="1"/>
  <c r="P811"/>
  <c r="L811" s="1"/>
  <c r="P808"/>
  <c r="P805"/>
  <c r="P733" s="1"/>
  <c r="L733" s="1"/>
  <c r="P803"/>
  <c r="P724" s="1"/>
  <c r="L724" s="1"/>
  <c r="P802"/>
  <c r="P723" s="1"/>
  <c r="P795"/>
  <c r="P794" s="1"/>
  <c r="P793" s="1"/>
  <c r="L793" s="1"/>
  <c r="P789"/>
  <c r="P788" s="1"/>
  <c r="L788" s="1"/>
  <c r="P784"/>
  <c r="P783" s="1"/>
  <c r="L783" s="1"/>
  <c r="P779"/>
  <c r="P778" s="1"/>
  <c r="P774"/>
  <c r="P773" s="1"/>
  <c r="L773" s="1"/>
  <c r="P769"/>
  <c r="P768" s="1"/>
  <c r="P767" s="1"/>
  <c r="L767" s="1"/>
  <c r="P763"/>
  <c r="P762" s="1"/>
  <c r="P761" s="1"/>
  <c r="L761" s="1"/>
  <c r="P746"/>
  <c r="P744" s="1"/>
  <c r="P80" s="1"/>
  <c r="P172" s="1"/>
  <c r="P739"/>
  <c r="P736" s="1"/>
  <c r="P735" s="1"/>
  <c r="P727"/>
  <c r="L727" s="1"/>
  <c r="P718"/>
  <c r="P717" s="1"/>
  <c r="L717" s="1"/>
  <c r="P715"/>
  <c r="L715" s="1"/>
  <c r="P714"/>
  <c r="P713" s="1"/>
  <c r="L713" s="1"/>
  <c r="P710"/>
  <c r="L710" s="1"/>
  <c r="P706"/>
  <c r="P705" s="1"/>
  <c r="P704" s="1"/>
  <c r="P700"/>
  <c r="P699" s="1"/>
  <c r="P698" s="1"/>
  <c r="L698" s="1"/>
  <c r="P628"/>
  <c r="L628" s="1"/>
  <c r="P693"/>
  <c r="P692" s="1"/>
  <c r="P691" s="1"/>
  <c r="P688"/>
  <c r="L688" s="1"/>
  <c r="P685"/>
  <c r="P684" s="1"/>
  <c r="P683" s="1"/>
  <c r="P680"/>
  <c r="L680" s="1"/>
  <c r="P676"/>
  <c r="P675" s="1"/>
  <c r="P674" s="1"/>
  <c r="P670"/>
  <c r="L670" s="1"/>
  <c r="P666"/>
  <c r="P665" s="1"/>
  <c r="P664" s="1"/>
  <c r="P659"/>
  <c r="P658" s="1"/>
  <c r="P657" s="1"/>
  <c r="L657" s="1"/>
  <c r="P653"/>
  <c r="P652" s="1"/>
  <c r="P651" s="1"/>
  <c r="L651" s="1"/>
  <c r="P649"/>
  <c r="L649" s="1"/>
  <c r="P645"/>
  <c r="P644" s="1"/>
  <c r="P643" s="1"/>
  <c r="L643" s="1"/>
  <c r="P639"/>
  <c r="L639" s="1"/>
  <c r="P634"/>
  <c r="P633" s="1"/>
  <c r="P629"/>
  <c r="L629" s="1"/>
  <c r="P626"/>
  <c r="L626" s="1"/>
  <c r="P623"/>
  <c r="L623" s="1"/>
  <c r="P618"/>
  <c r="P617" s="1"/>
  <c r="L617" s="1"/>
  <c r="P615"/>
  <c r="P614" s="1"/>
  <c r="L614" s="1"/>
  <c r="P612"/>
  <c r="P611" s="1"/>
  <c r="L611" s="1"/>
  <c r="P609"/>
  <c r="P608" s="1"/>
  <c r="P606"/>
  <c r="P605" s="1"/>
  <c r="L605" s="1"/>
  <c r="P603"/>
  <c r="P602" s="1"/>
  <c r="L602" s="1"/>
  <c r="P598"/>
  <c r="P597" s="1"/>
  <c r="P596" s="1"/>
  <c r="P595" s="1"/>
  <c r="L595" s="1"/>
  <c r="P592"/>
  <c r="P586"/>
  <c r="P585" s="1"/>
  <c r="P584" s="1"/>
  <c r="P583" s="1"/>
  <c r="P580"/>
  <c r="P579" s="1"/>
  <c r="P578" s="1"/>
  <c r="P577" s="1"/>
  <c r="P574"/>
  <c r="P573" s="1"/>
  <c r="P564"/>
  <c r="L564" s="1"/>
  <c r="P562"/>
  <c r="P561" s="1"/>
  <c r="P560" s="1"/>
  <c r="P556"/>
  <c r="L556" s="1"/>
  <c r="P550"/>
  <c r="P549" s="1"/>
  <c r="L549" s="1"/>
  <c r="P544"/>
  <c r="P543" s="1"/>
  <c r="P542" s="1"/>
  <c r="P22" s="1"/>
  <c r="P540"/>
  <c r="L540" s="1"/>
  <c r="P534"/>
  <c r="P533" s="1"/>
  <c r="P530"/>
  <c r="L530" s="1"/>
  <c r="P524"/>
  <c r="P523" s="1"/>
  <c r="L523" s="1"/>
  <c r="P520"/>
  <c r="L520" s="1"/>
  <c r="P514"/>
  <c r="P513" s="1"/>
  <c r="L513" s="1"/>
  <c r="P510"/>
  <c r="L510" s="1"/>
  <c r="P504"/>
  <c r="P503" s="1"/>
  <c r="P497"/>
  <c r="P496" s="1"/>
  <c r="L496" s="1"/>
  <c r="P489"/>
  <c r="P488" s="1"/>
  <c r="L488" s="1"/>
  <c r="P486"/>
  <c r="P476" s="1"/>
  <c r="L476" s="1"/>
  <c r="P483"/>
  <c r="P472" s="1"/>
  <c r="L472" s="1"/>
  <c r="P482"/>
  <c r="P470" s="1"/>
  <c r="L470" s="1"/>
  <c r="P481"/>
  <c r="L481" s="1"/>
  <c r="P480"/>
  <c r="P469" s="1"/>
  <c r="L469" s="1"/>
  <c r="P473"/>
  <c r="L473" s="1"/>
  <c r="P471"/>
  <c r="L471" s="1"/>
  <c r="P462"/>
  <c r="L462" s="1"/>
  <c r="P460"/>
  <c r="P234" s="1"/>
  <c r="L234" s="1"/>
  <c r="P459"/>
  <c r="P233" s="1"/>
  <c r="L233" s="1"/>
  <c r="P445"/>
  <c r="L445" s="1"/>
  <c r="P441"/>
  <c r="L441" s="1"/>
  <c r="P436"/>
  <c r="L436" s="1"/>
  <c r="P434"/>
  <c r="L434" s="1"/>
  <c r="P428"/>
  <c r="L428" s="1"/>
  <c r="P425"/>
  <c r="P424" s="1"/>
  <c r="P419"/>
  <c r="L419" s="1"/>
  <c r="P418"/>
  <c r="L418" s="1"/>
  <c r="P417"/>
  <c r="L417" s="1"/>
  <c r="P411"/>
  <c r="P246" s="1"/>
  <c r="P222" s="1"/>
  <c r="P396"/>
  <c r="P395" s="1"/>
  <c r="L395" s="1"/>
  <c r="P391"/>
  <c r="L391" s="1"/>
  <c r="P387"/>
  <c r="P386" s="1"/>
  <c r="P385" s="1"/>
  <c r="P382"/>
  <c r="P381" s="1"/>
  <c r="P380" s="1"/>
  <c r="L380" s="1"/>
  <c r="P375"/>
  <c r="P374" s="1"/>
  <c r="P373" s="1"/>
  <c r="P369"/>
  <c r="P368" s="1"/>
  <c r="P367" s="1"/>
  <c r="L367" s="1"/>
  <c r="P363"/>
  <c r="P362" s="1"/>
  <c r="P361" s="1"/>
  <c r="P357"/>
  <c r="P356" s="1"/>
  <c r="P355" s="1"/>
  <c r="P351"/>
  <c r="P350" s="1"/>
  <c r="P349" s="1"/>
  <c r="P345"/>
  <c r="P344" s="1"/>
  <c r="P343" s="1"/>
  <c r="L343" s="1"/>
  <c r="P339"/>
  <c r="P338" s="1"/>
  <c r="P337" s="1"/>
  <c r="L337" s="1"/>
  <c r="P333"/>
  <c r="L333" s="1"/>
  <c r="P327"/>
  <c r="P326" s="1"/>
  <c r="P325" s="1"/>
  <c r="P321"/>
  <c r="L321" s="1"/>
  <c r="P315"/>
  <c r="P314" s="1"/>
  <c r="P313" s="1"/>
  <c r="P309"/>
  <c r="P308" s="1"/>
  <c r="P307" s="1"/>
  <c r="P303"/>
  <c r="P302" s="1"/>
  <c r="P301" s="1"/>
  <c r="P260"/>
  <c r="L260" s="1"/>
  <c r="P284"/>
  <c r="L284" s="1"/>
  <c r="P283"/>
  <c r="P102" s="1"/>
  <c r="P101" s="1"/>
  <c r="P282"/>
  <c r="L282" s="1"/>
  <c r="P280"/>
  <c r="L280" s="1"/>
  <c r="P279"/>
  <c r="P98" s="1"/>
  <c r="P97" s="1"/>
  <c r="L97" s="1"/>
  <c r="P278"/>
  <c r="P245"/>
  <c r="L245" s="1"/>
  <c r="P258"/>
  <c r="L258" s="1"/>
  <c r="P257"/>
  <c r="L257" s="1"/>
  <c r="P256"/>
  <c r="L256" s="1"/>
  <c r="P255"/>
  <c r="L255" s="1"/>
  <c r="P253"/>
  <c r="P251"/>
  <c r="L251" s="1"/>
  <c r="P250"/>
  <c r="L250" s="1"/>
  <c r="P249"/>
  <c r="L249" s="1"/>
  <c r="P247"/>
  <c r="P224" s="1"/>
  <c r="P244"/>
  <c r="L244" s="1"/>
  <c r="P199"/>
  <c r="L199" s="1"/>
  <c r="P197"/>
  <c r="L197" s="1"/>
  <c r="P195"/>
  <c r="L195" s="1"/>
  <c r="P192"/>
  <c r="L192" s="1"/>
  <c r="P180"/>
  <c r="L180" s="1"/>
  <c r="P174"/>
  <c r="L174" s="1"/>
  <c r="P173"/>
  <c r="L173" s="1"/>
  <c r="P161"/>
  <c r="L161" s="1"/>
  <c r="P159"/>
  <c r="L159" s="1"/>
  <c r="P158"/>
  <c r="L158" s="1"/>
  <c r="P156"/>
  <c r="P155" s="1"/>
  <c r="L155" s="1"/>
  <c r="P154"/>
  <c r="L154" s="1"/>
  <c r="P152"/>
  <c r="L152" s="1"/>
  <c r="P151"/>
  <c r="L151" s="1"/>
  <c r="P149"/>
  <c r="P148" s="1"/>
  <c r="L148" s="1"/>
  <c r="P146"/>
  <c r="L146" s="1"/>
  <c r="P142"/>
  <c r="L142" s="1"/>
  <c r="P141"/>
  <c r="L141" s="1"/>
  <c r="P140"/>
  <c r="L140" s="1"/>
  <c r="P137"/>
  <c r="L137" s="1"/>
  <c r="P134"/>
  <c r="L134" s="1"/>
  <c r="P133"/>
  <c r="L133" s="1"/>
  <c r="P132"/>
  <c r="L132" s="1"/>
  <c r="P127"/>
  <c r="L127" s="1"/>
  <c r="P126"/>
  <c r="L126" s="1"/>
  <c r="P125"/>
  <c r="L125" s="1"/>
  <c r="P113"/>
  <c r="L113" s="1"/>
  <c r="P106"/>
  <c r="P105" s="1"/>
  <c r="P211" s="1"/>
  <c r="P94"/>
  <c r="L94" s="1"/>
  <c r="P73"/>
  <c r="L73" s="1"/>
  <c r="P67"/>
  <c r="L67" s="1"/>
  <c r="P64"/>
  <c r="L64" s="1"/>
  <c r="P59"/>
  <c r="L59" s="1"/>
  <c r="P56"/>
  <c r="L56" s="1"/>
  <c r="P54"/>
  <c r="L54" s="1"/>
  <c r="P49"/>
  <c r="L49" s="1"/>
  <c r="P47"/>
  <c r="P42" s="1"/>
  <c r="P38"/>
  <c r="L38" s="1"/>
  <c r="P136"/>
  <c r="L136" s="1"/>
  <c r="P29"/>
  <c r="P131" s="1"/>
  <c r="L131" s="1"/>
  <c r="P24"/>
  <c r="P130" s="1"/>
  <c r="L130" s="1"/>
  <c r="P14"/>
  <c r="L14" s="1"/>
  <c r="P12"/>
  <c r="P119" s="1"/>
  <c r="P118" s="1"/>
  <c r="L118" s="1"/>
  <c r="J34"/>
  <c r="K34" s="1"/>
  <c r="R91"/>
  <c r="Q91"/>
  <c r="R285"/>
  <c r="Q1057"/>
  <c r="R1057"/>
  <c r="S1057"/>
  <c r="N487" l="1"/>
  <c r="N971"/>
  <c r="N379"/>
  <c r="N933"/>
  <c r="N923" s="1"/>
  <c r="N1005"/>
  <c r="P927"/>
  <c r="N422"/>
  <c r="N414" s="1"/>
  <c r="O986"/>
  <c r="O970" s="1"/>
  <c r="O923" s="1"/>
  <c r="P682"/>
  <c r="P911"/>
  <c r="L911" s="1"/>
  <c r="P972"/>
  <c r="L972" s="1"/>
  <c r="O237"/>
  <c r="O1005"/>
  <c r="L1025"/>
  <c r="N239"/>
  <c r="P226"/>
  <c r="L226" s="1"/>
  <c r="N232"/>
  <c r="N71"/>
  <c r="N70" s="1"/>
  <c r="P384"/>
  <c r="M801"/>
  <c r="M722" s="1"/>
  <c r="N992"/>
  <c r="L988"/>
  <c r="P673"/>
  <c r="L673" s="1"/>
  <c r="P951"/>
  <c r="L951" s="1"/>
  <c r="L489"/>
  <c r="L706"/>
  <c r="L603"/>
  <c r="L967"/>
  <c r="P834"/>
  <c r="L834" s="1"/>
  <c r="P820"/>
  <c r="L820" s="1"/>
  <c r="P926"/>
  <c r="L926" s="1"/>
  <c r="O875"/>
  <c r="O868" s="1"/>
  <c r="L211"/>
  <c r="L1012"/>
  <c r="L956"/>
  <c r="O96"/>
  <c r="O202" s="1"/>
  <c r="L608"/>
  <c r="L1023"/>
  <c r="P457"/>
  <c r="L457" s="1"/>
  <c r="P663"/>
  <c r="P939"/>
  <c r="P930" s="1"/>
  <c r="K1051"/>
  <c r="L253"/>
  <c r="L615"/>
  <c r="L1017"/>
  <c r="L1083"/>
  <c r="L224"/>
  <c r="N924"/>
  <c r="L425"/>
  <c r="L999"/>
  <c r="L1084"/>
  <c r="L1009"/>
  <c r="P485"/>
  <c r="P475" s="1"/>
  <c r="P332"/>
  <c r="P440"/>
  <c r="L440" s="1"/>
  <c r="P532"/>
  <c r="L532" s="1"/>
  <c r="P703"/>
  <c r="P827"/>
  <c r="L827" s="1"/>
  <c r="P931"/>
  <c r="L931" s="1"/>
  <c r="O487"/>
  <c r="O477" s="1"/>
  <c r="O466" s="1"/>
  <c r="L1013"/>
  <c r="L460"/>
  <c r="L1024"/>
  <c r="L968"/>
  <c r="L497"/>
  <c r="L313"/>
  <c r="L344"/>
  <c r="L609"/>
  <c r="M930"/>
  <c r="L459"/>
  <c r="L652"/>
  <c r="L612"/>
  <c r="M475"/>
  <c r="M463" s="1"/>
  <c r="L485"/>
  <c r="L941"/>
  <c r="L105"/>
  <c r="L247"/>
  <c r="P427"/>
  <c r="P420" s="1"/>
  <c r="L420" s="1"/>
  <c r="P860"/>
  <c r="L860" s="1"/>
  <c r="P873"/>
  <c r="L106"/>
  <c r="L381"/>
  <c r="O379"/>
  <c r="L1011"/>
  <c r="L958"/>
  <c r="L339"/>
  <c r="L769"/>
  <c r="L382"/>
  <c r="L12"/>
  <c r="L618"/>
  <c r="L345"/>
  <c r="L917"/>
  <c r="P421"/>
  <c r="L421" s="1"/>
  <c r="P853"/>
  <c r="L853" s="1"/>
  <c r="L543"/>
  <c r="L768"/>
  <c r="L119"/>
  <c r="L606"/>
  <c r="P902"/>
  <c r="L544"/>
  <c r="L997"/>
  <c r="L486"/>
  <c r="L944"/>
  <c r="L658"/>
  <c r="L861"/>
  <c r="L338"/>
  <c r="L653"/>
  <c r="L1041"/>
  <c r="L659"/>
  <c r="P892"/>
  <c r="L892" s="1"/>
  <c r="N242"/>
  <c r="L384"/>
  <c r="L562"/>
  <c r="L633"/>
  <c r="L718"/>
  <c r="P409"/>
  <c r="P408" s="1"/>
  <c r="L411"/>
  <c r="O408"/>
  <c r="O242" s="1"/>
  <c r="O407"/>
  <c r="O243"/>
  <c r="L396"/>
  <c r="L156"/>
  <c r="P150"/>
  <c r="L150" s="1"/>
  <c r="L47"/>
  <c r="L149"/>
  <c r="M37"/>
  <c r="L42"/>
  <c r="P139"/>
  <c r="L139" s="1"/>
  <c r="M393"/>
  <c r="M229"/>
  <c r="M222"/>
  <c r="L222" s="1"/>
  <c r="L246"/>
  <c r="L862"/>
  <c r="L746"/>
  <c r="L80"/>
  <c r="L744"/>
  <c r="M168"/>
  <c r="M167" s="1"/>
  <c r="L172"/>
  <c r="L739"/>
  <c r="L714"/>
  <c r="M704"/>
  <c r="L705"/>
  <c r="M622"/>
  <c r="L699"/>
  <c r="L700"/>
  <c r="L692"/>
  <c r="L693"/>
  <c r="M690"/>
  <c r="L691"/>
  <c r="L682"/>
  <c r="L684"/>
  <c r="L685"/>
  <c r="L683"/>
  <c r="L675"/>
  <c r="L674"/>
  <c r="L676"/>
  <c r="L665"/>
  <c r="L666"/>
  <c r="M663"/>
  <c r="L664"/>
  <c r="L644"/>
  <c r="L645"/>
  <c r="M235"/>
  <c r="M232"/>
  <c r="L634"/>
  <c r="L375"/>
  <c r="L374"/>
  <c r="M373"/>
  <c r="L373" s="1"/>
  <c r="L369"/>
  <c r="L368"/>
  <c r="P92"/>
  <c r="P198" s="1"/>
  <c r="P187" s="1"/>
  <c r="L361"/>
  <c r="L363"/>
  <c r="O276"/>
  <c r="O270" s="1"/>
  <c r="O261" s="1"/>
  <c r="L283"/>
  <c r="L362"/>
  <c r="O71"/>
  <c r="O70" s="1"/>
  <c r="L357"/>
  <c r="M355"/>
  <c r="L355" s="1"/>
  <c r="L356"/>
  <c r="L350"/>
  <c r="L349"/>
  <c r="L351"/>
  <c r="L327"/>
  <c r="L326"/>
  <c r="M325"/>
  <c r="L325" s="1"/>
  <c r="L314"/>
  <c r="L315"/>
  <c r="L307"/>
  <c r="L308"/>
  <c r="L309"/>
  <c r="L278"/>
  <c r="L303"/>
  <c r="L279"/>
  <c r="L302"/>
  <c r="M301"/>
  <c r="L301" s="1"/>
  <c r="M276"/>
  <c r="M242"/>
  <c r="L794"/>
  <c r="L795"/>
  <c r="L784"/>
  <c r="L789"/>
  <c r="L778"/>
  <c r="L779"/>
  <c r="M750"/>
  <c r="M732" s="1"/>
  <c r="L774"/>
  <c r="M198"/>
  <c r="M187" s="1"/>
  <c r="L102"/>
  <c r="L762"/>
  <c r="L763"/>
  <c r="L101"/>
  <c r="M207"/>
  <c r="M800"/>
  <c r="L808"/>
  <c r="L723"/>
  <c r="L854"/>
  <c r="L855"/>
  <c r="O722"/>
  <c r="L843"/>
  <c r="L836"/>
  <c r="L835"/>
  <c r="L829"/>
  <c r="L828"/>
  <c r="N722"/>
  <c r="L822"/>
  <c r="L821"/>
  <c r="L803"/>
  <c r="O799"/>
  <c r="O800"/>
  <c r="L815"/>
  <c r="L802"/>
  <c r="L736"/>
  <c r="N221"/>
  <c r="L735"/>
  <c r="L1077"/>
  <c r="L1076"/>
  <c r="L98"/>
  <c r="M202"/>
  <c r="L1071"/>
  <c r="M1069"/>
  <c r="L1070"/>
  <c r="L1057"/>
  <c r="O1042"/>
  <c r="O998" s="1"/>
  <c r="O239"/>
  <c r="M1003"/>
  <c r="O991"/>
  <c r="L1040"/>
  <c r="O221"/>
  <c r="N1048"/>
  <c r="N1047" s="1"/>
  <c r="N1036" s="1"/>
  <c r="L1007"/>
  <c r="M1005"/>
  <c r="M236"/>
  <c r="M986"/>
  <c r="L987"/>
  <c r="M928"/>
  <c r="L937"/>
  <c r="L927"/>
  <c r="M942"/>
  <c r="L943"/>
  <c r="M925"/>
  <c r="M924"/>
  <c r="L934"/>
  <c r="L920"/>
  <c r="L921"/>
  <c r="M455"/>
  <c r="M227" s="1"/>
  <c r="L912"/>
  <c r="L913"/>
  <c r="L914"/>
  <c r="L905"/>
  <c r="L904"/>
  <c r="M903"/>
  <c r="M868" s="1"/>
  <c r="L893"/>
  <c r="L894"/>
  <c r="L895"/>
  <c r="O454"/>
  <c r="O225" s="1"/>
  <c r="P728"/>
  <c r="L728" s="1"/>
  <c r="L886"/>
  <c r="L885"/>
  <c r="N454"/>
  <c r="N225" s="1"/>
  <c r="L877"/>
  <c r="L876"/>
  <c r="M725"/>
  <c r="M454" s="1"/>
  <c r="M225" s="1"/>
  <c r="L805"/>
  <c r="M799"/>
  <c r="N167"/>
  <c r="L596"/>
  <c r="L597"/>
  <c r="L598"/>
  <c r="P591"/>
  <c r="L592"/>
  <c r="M589"/>
  <c r="L586"/>
  <c r="L583"/>
  <c r="O569"/>
  <c r="L584"/>
  <c r="L585"/>
  <c r="O567"/>
  <c r="O558" s="1"/>
  <c r="N567"/>
  <c r="N558" s="1"/>
  <c r="L580"/>
  <c r="L579"/>
  <c r="L577"/>
  <c r="N568"/>
  <c r="L578"/>
  <c r="L574"/>
  <c r="L573"/>
  <c r="N569"/>
  <c r="M571"/>
  <c r="M568"/>
  <c r="L560"/>
  <c r="L561"/>
  <c r="L550"/>
  <c r="L533"/>
  <c r="L534"/>
  <c r="L524"/>
  <c r="L514"/>
  <c r="M474"/>
  <c r="L482"/>
  <c r="L504"/>
  <c r="L480"/>
  <c r="M502"/>
  <c r="L503"/>
  <c r="L483"/>
  <c r="M468"/>
  <c r="M438"/>
  <c r="L424"/>
  <c r="L385"/>
  <c r="L386"/>
  <c r="L387"/>
  <c r="P248"/>
  <c r="L248" s="1"/>
  <c r="P994"/>
  <c r="L994" s="1"/>
  <c r="O1047"/>
  <c r="O1036" s="1"/>
  <c r="O990" s="1"/>
  <c r="M221"/>
  <c r="M1038"/>
  <c r="M992" s="1"/>
  <c r="L1049"/>
  <c r="L29"/>
  <c r="L24"/>
  <c r="M22"/>
  <c r="L542"/>
  <c r="M631"/>
  <c r="M874"/>
  <c r="M478"/>
  <c r="M1042"/>
  <c r="M1037"/>
  <c r="M1047"/>
  <c r="M415"/>
  <c r="M423"/>
  <c r="N868"/>
  <c r="N874"/>
  <c r="N867" s="1"/>
  <c r="N96"/>
  <c r="N202" s="1"/>
  <c r="N478"/>
  <c r="N467" s="1"/>
  <c r="N621"/>
  <c r="N631"/>
  <c r="N620" s="1"/>
  <c r="N800"/>
  <c r="N806"/>
  <c r="N799" s="1"/>
  <c r="N749"/>
  <c r="N729" s="1"/>
  <c r="N458" s="1"/>
  <c r="N732"/>
  <c r="N464" s="1"/>
  <c r="N237"/>
  <c r="N477"/>
  <c r="N466" s="1"/>
  <c r="N1042"/>
  <c r="N998" s="1"/>
  <c r="N276"/>
  <c r="O622"/>
  <c r="O632"/>
  <c r="O749"/>
  <c r="O732"/>
  <c r="O464" s="1"/>
  <c r="O423"/>
  <c r="O422" s="1"/>
  <c r="O414" s="1"/>
  <c r="O232"/>
  <c r="O568"/>
  <c r="P120"/>
  <c r="L120" s="1"/>
  <c r="P157"/>
  <c r="L157" s="1"/>
  <c r="P168"/>
  <c r="P167" s="1"/>
  <c r="P281"/>
  <c r="L281" s="1"/>
  <c r="P277"/>
  <c r="L277" s="1"/>
  <c r="P416"/>
  <c r="L416" s="1"/>
  <c r="P502"/>
  <c r="P512"/>
  <c r="L512" s="1"/>
  <c r="P522"/>
  <c r="L522" s="1"/>
  <c r="P484"/>
  <c r="P474" s="1"/>
  <c r="P548"/>
  <c r="L548" s="1"/>
  <c r="P559"/>
  <c r="L559" s="1"/>
  <c r="P570"/>
  <c r="L570" s="1"/>
  <c r="P642"/>
  <c r="L642" s="1"/>
  <c r="P726"/>
  <c r="P455" s="1"/>
  <c r="P227" s="1"/>
  <c r="P813"/>
  <c r="L813" s="1"/>
  <c r="P804"/>
  <c r="L804" s="1"/>
  <c r="P465"/>
  <c r="L465" s="1"/>
  <c r="P841"/>
  <c r="L841" s="1"/>
  <c r="P452"/>
  <c r="P801"/>
  <c r="P453"/>
  <c r="P883"/>
  <c r="L883" s="1"/>
  <c r="P872"/>
  <c r="L872" s="1"/>
  <c r="P870"/>
  <c r="P725" s="1"/>
  <c r="P935"/>
  <c r="P925" s="1"/>
  <c r="P1010"/>
  <c r="L1010" s="1"/>
  <c r="P236"/>
  <c r="P1016"/>
  <c r="P1006" s="1"/>
  <c r="P991" s="1"/>
  <c r="P1038"/>
  <c r="P992" s="1"/>
  <c r="P1045"/>
  <c r="P1003" s="1"/>
  <c r="P1055"/>
  <c r="P1047" s="1"/>
  <c r="P1036" s="1"/>
  <c r="P1044"/>
  <c r="L1044" s="1"/>
  <c r="P143"/>
  <c r="L143" s="1"/>
  <c r="P37"/>
  <c r="P394"/>
  <c r="P393" s="1"/>
  <c r="P379" s="1"/>
  <c r="P252"/>
  <c r="P229" s="1"/>
  <c r="P986"/>
  <c r="P970" s="1"/>
  <c r="P971"/>
  <c r="P924" s="1"/>
  <c r="P1002"/>
  <c r="P750"/>
  <c r="P601"/>
  <c r="L601" s="1"/>
  <c r="P632"/>
  <c r="P622"/>
  <c r="P487"/>
  <c r="P478"/>
  <c r="P467" s="1"/>
  <c r="P18"/>
  <c r="P17" s="1"/>
  <c r="P128"/>
  <c r="P124" s="1"/>
  <c r="P123" s="1"/>
  <c r="P203"/>
  <c r="L203" s="1"/>
  <c r="P204"/>
  <c r="L204" s="1"/>
  <c r="P96"/>
  <c r="P202" s="1"/>
  <c r="P869"/>
  <c r="L869" s="1"/>
  <c r="P625"/>
  <c r="P212"/>
  <c r="L212" s="1"/>
  <c r="P479"/>
  <c r="P468" s="1"/>
  <c r="P572"/>
  <c r="L572" s="1"/>
  <c r="P624"/>
  <c r="L624" s="1"/>
  <c r="P875"/>
  <c r="P263"/>
  <c r="L263" s="1"/>
  <c r="P942"/>
  <c r="P432"/>
  <c r="P208"/>
  <c r="P207" s="1"/>
  <c r="P433"/>
  <c r="P320"/>
  <c r="P319" s="1"/>
  <c r="L319" s="1"/>
  <c r="P807"/>
  <c r="L807" s="1"/>
  <c r="P630"/>
  <c r="P463" s="1"/>
  <c r="P237" s="1"/>
  <c r="P696"/>
  <c r="P957"/>
  <c r="J1092"/>
  <c r="K1089" s="1"/>
  <c r="J1091"/>
  <c r="S1084"/>
  <c r="S1083" s="1"/>
  <c r="S1082" s="1"/>
  <c r="R1084"/>
  <c r="R1083" s="1"/>
  <c r="R1082" s="1"/>
  <c r="Q1084"/>
  <c r="Q1083" s="1"/>
  <c r="Q1082" s="1"/>
  <c r="J1084"/>
  <c r="J1083" s="1"/>
  <c r="J1082" s="1"/>
  <c r="K1082" s="1"/>
  <c r="I1084"/>
  <c r="I1083" s="1"/>
  <c r="I1082" s="1"/>
  <c r="H1084"/>
  <c r="H1083" s="1"/>
  <c r="H1082" s="1"/>
  <c r="G1084"/>
  <c r="G1083" s="1"/>
  <c r="G1082" s="1"/>
  <c r="F1084"/>
  <c r="F1083" s="1"/>
  <c r="F1082" s="1"/>
  <c r="E1084"/>
  <c r="E1083" s="1"/>
  <c r="E1082" s="1"/>
  <c r="D1084"/>
  <c r="D1083" s="1"/>
  <c r="D1082" s="1"/>
  <c r="S1077"/>
  <c r="S1076" s="1"/>
  <c r="S1075" s="1"/>
  <c r="R1077"/>
  <c r="R1076" s="1"/>
  <c r="R1075" s="1"/>
  <c r="Q1077"/>
  <c r="J1077"/>
  <c r="J1076" s="1"/>
  <c r="J1075" s="1"/>
  <c r="I1077"/>
  <c r="I1076" s="1"/>
  <c r="I1075" s="1"/>
  <c r="H1077"/>
  <c r="H1076" s="1"/>
  <c r="H1075" s="1"/>
  <c r="G1077"/>
  <c r="G1076" s="1"/>
  <c r="G1075" s="1"/>
  <c r="F1077"/>
  <c r="F1076" s="1"/>
  <c r="F1075" s="1"/>
  <c r="E1077"/>
  <c r="E1076" s="1"/>
  <c r="E1075" s="1"/>
  <c r="D1077"/>
  <c r="D1076" s="1"/>
  <c r="D1075" s="1"/>
  <c r="C1076"/>
  <c r="C1075" s="1"/>
  <c r="S1071"/>
  <c r="R1071"/>
  <c r="Q1071"/>
  <c r="Q1070" s="1"/>
  <c r="Q1069" s="1"/>
  <c r="J1071"/>
  <c r="J1070" s="1"/>
  <c r="J1069" s="1"/>
  <c r="I1071"/>
  <c r="I1070" s="1"/>
  <c r="I1069" s="1"/>
  <c r="H1071"/>
  <c r="H1070" s="1"/>
  <c r="H1069" s="1"/>
  <c r="G1071"/>
  <c r="F1071"/>
  <c r="E1071"/>
  <c r="E1070" s="1"/>
  <c r="E1069" s="1"/>
  <c r="D1071"/>
  <c r="D1070" s="1"/>
  <c r="D1069" s="1"/>
  <c r="C1070"/>
  <c r="C1069" s="1"/>
  <c r="J1057"/>
  <c r="J1056" s="1"/>
  <c r="D1057"/>
  <c r="D1056" s="1"/>
  <c r="S1056"/>
  <c r="S1045" s="1"/>
  <c r="S1003" s="1"/>
  <c r="R1056"/>
  <c r="R1055" s="1"/>
  <c r="Q1056"/>
  <c r="Q1055" s="1"/>
  <c r="I1056"/>
  <c r="I1045" s="1"/>
  <c r="H1056"/>
  <c r="H1045" s="1"/>
  <c r="H1003" s="1"/>
  <c r="G1056"/>
  <c r="G1045" s="1"/>
  <c r="G1003" s="1"/>
  <c r="F1056"/>
  <c r="F1055" s="1"/>
  <c r="E1056"/>
  <c r="E1045" s="1"/>
  <c r="E1003" s="1"/>
  <c r="D1051"/>
  <c r="D1040" s="1"/>
  <c r="S1049"/>
  <c r="S1038" s="1"/>
  <c r="R1049"/>
  <c r="R1038" s="1"/>
  <c r="Q1049"/>
  <c r="Q1038" s="1"/>
  <c r="J1049"/>
  <c r="J1048" s="1"/>
  <c r="J1037" s="1"/>
  <c r="I1049"/>
  <c r="I1048" s="1"/>
  <c r="H1049"/>
  <c r="H1038" s="1"/>
  <c r="G1049"/>
  <c r="G1038" s="1"/>
  <c r="F1049"/>
  <c r="F1038" s="1"/>
  <c r="E1049"/>
  <c r="E1038" s="1"/>
  <c r="S1046"/>
  <c r="S1004" s="1"/>
  <c r="S240" s="1"/>
  <c r="R1046"/>
  <c r="R1004" s="1"/>
  <c r="R240" s="1"/>
  <c r="Q1046"/>
  <c r="Q1004" s="1"/>
  <c r="Q240" s="1"/>
  <c r="D1046"/>
  <c r="D1004" s="1"/>
  <c r="S1041"/>
  <c r="S997" s="1"/>
  <c r="S223" s="1"/>
  <c r="R1041"/>
  <c r="R997" s="1"/>
  <c r="R223" s="1"/>
  <c r="Q1041"/>
  <c r="Q997" s="1"/>
  <c r="Q223" s="1"/>
  <c r="J1041"/>
  <c r="J997" s="1"/>
  <c r="J223" s="1"/>
  <c r="K223" s="1"/>
  <c r="I1041"/>
  <c r="I997" s="1"/>
  <c r="I223" s="1"/>
  <c r="H1041"/>
  <c r="H997" s="1"/>
  <c r="H223" s="1"/>
  <c r="G1041"/>
  <c r="G997" s="1"/>
  <c r="G223" s="1"/>
  <c r="S1040"/>
  <c r="R1040"/>
  <c r="Q1040"/>
  <c r="Q1037" s="1"/>
  <c r="J1040"/>
  <c r="I1040"/>
  <c r="I1037" s="1"/>
  <c r="H1040"/>
  <c r="H1037" s="1"/>
  <c r="G1040"/>
  <c r="G1037" s="1"/>
  <c r="F1040"/>
  <c r="F1037" s="1"/>
  <c r="E1040"/>
  <c r="E1037" s="1"/>
  <c r="S1039"/>
  <c r="R1039"/>
  <c r="R993" s="1"/>
  <c r="Q1039"/>
  <c r="Q993" s="1"/>
  <c r="D1039"/>
  <c r="D993" s="1"/>
  <c r="R1037"/>
  <c r="D1031"/>
  <c r="D1030" s="1"/>
  <c r="S1026"/>
  <c r="R1026"/>
  <c r="Q1026"/>
  <c r="J1026"/>
  <c r="K1026" s="1"/>
  <c r="I1026"/>
  <c r="H1026"/>
  <c r="G1026"/>
  <c r="F1026"/>
  <c r="E1026"/>
  <c r="D1026"/>
  <c r="S1025"/>
  <c r="S1024" s="1"/>
  <c r="S1023" s="1"/>
  <c r="R1025"/>
  <c r="R1024" s="1"/>
  <c r="R1023" s="1"/>
  <c r="Q1025"/>
  <c r="Q1024" s="1"/>
  <c r="Q1023" s="1"/>
  <c r="J1025"/>
  <c r="K1025" s="1"/>
  <c r="I1025"/>
  <c r="I1024" s="1"/>
  <c r="I1023" s="1"/>
  <c r="H1025"/>
  <c r="H1024" s="1"/>
  <c r="H1023" s="1"/>
  <c r="G1025"/>
  <c r="G1024" s="1"/>
  <c r="G1023" s="1"/>
  <c r="F1025"/>
  <c r="F1024" s="1"/>
  <c r="F1023" s="1"/>
  <c r="E1025"/>
  <c r="E1024" s="1"/>
  <c r="E1023" s="1"/>
  <c r="D1025"/>
  <c r="D1024" s="1"/>
  <c r="D1023" s="1"/>
  <c r="J1024"/>
  <c r="D1021"/>
  <c r="D1020" s="1"/>
  <c r="S1017"/>
  <c r="S1007" s="1"/>
  <c r="R1017"/>
  <c r="R1007" s="1"/>
  <c r="Q1017"/>
  <c r="Q1016" s="1"/>
  <c r="J1017"/>
  <c r="J1007" s="1"/>
  <c r="I1017"/>
  <c r="I1016" s="1"/>
  <c r="H1017"/>
  <c r="H1016" s="1"/>
  <c r="G1017"/>
  <c r="G1016" s="1"/>
  <c r="G1015" s="1"/>
  <c r="F1017"/>
  <c r="F1016" s="1"/>
  <c r="F1015" s="1"/>
  <c r="E1017"/>
  <c r="E1007" s="1"/>
  <c r="D1017"/>
  <c r="S1013"/>
  <c r="S1012" s="1"/>
  <c r="R1013"/>
  <c r="R1012" s="1"/>
  <c r="Q1013"/>
  <c r="Q1010" s="1"/>
  <c r="J1013"/>
  <c r="J1012" s="1"/>
  <c r="I1013"/>
  <c r="I1012" s="1"/>
  <c r="H1013"/>
  <c r="H1012" s="1"/>
  <c r="G1013"/>
  <c r="G1010" s="1"/>
  <c r="F1013"/>
  <c r="F1010" s="1"/>
  <c r="E1013"/>
  <c r="E1012" s="1"/>
  <c r="D1013"/>
  <c r="D1010" s="1"/>
  <c r="S1011"/>
  <c r="S999" s="1"/>
  <c r="R1011"/>
  <c r="R999" s="1"/>
  <c r="Q1011"/>
  <c r="Q999" s="1"/>
  <c r="J1011"/>
  <c r="J999" s="1"/>
  <c r="I1011"/>
  <c r="I999" s="1"/>
  <c r="H1011"/>
  <c r="H999" s="1"/>
  <c r="G1011"/>
  <c r="G999" s="1"/>
  <c r="F1011"/>
  <c r="F999" s="1"/>
  <c r="E1011"/>
  <c r="E999" s="1"/>
  <c r="D1011"/>
  <c r="D999" s="1"/>
  <c r="S1009"/>
  <c r="S996" s="1"/>
  <c r="R1009"/>
  <c r="R996" s="1"/>
  <c r="Q1009"/>
  <c r="Q996" s="1"/>
  <c r="J1009"/>
  <c r="I1009"/>
  <c r="I996" s="1"/>
  <c r="H1009"/>
  <c r="H996" s="1"/>
  <c r="G1009"/>
  <c r="G996" s="1"/>
  <c r="F1009"/>
  <c r="F996" s="1"/>
  <c r="E1009"/>
  <c r="E996" s="1"/>
  <c r="D1009"/>
  <c r="D996" s="1"/>
  <c r="S1008"/>
  <c r="R1008"/>
  <c r="Q1008"/>
  <c r="J1008"/>
  <c r="K1008" s="1"/>
  <c r="I1008"/>
  <c r="H1008"/>
  <c r="G1008"/>
  <c r="F1008"/>
  <c r="E1008"/>
  <c r="D1008"/>
  <c r="G1007"/>
  <c r="F1007"/>
  <c r="J1004"/>
  <c r="K1004" s="1"/>
  <c r="I1004"/>
  <c r="H1004"/>
  <c r="G1004"/>
  <c r="F1004"/>
  <c r="E1004"/>
  <c r="S1001"/>
  <c r="R1001"/>
  <c r="Q1001"/>
  <c r="J1001"/>
  <c r="K1001" s="1"/>
  <c r="I1001"/>
  <c r="H1001"/>
  <c r="G1001"/>
  <c r="F1001"/>
  <c r="E1001"/>
  <c r="D1001"/>
  <c r="S1000"/>
  <c r="R1000"/>
  <c r="Q1000"/>
  <c r="J1000"/>
  <c r="K1000" s="1"/>
  <c r="I1000"/>
  <c r="H1000"/>
  <c r="G1000"/>
  <c r="F1000"/>
  <c r="E1000"/>
  <c r="D1000"/>
  <c r="S995"/>
  <c r="R995"/>
  <c r="Q995"/>
  <c r="J995"/>
  <c r="K995" s="1"/>
  <c r="I995"/>
  <c r="H995"/>
  <c r="G995"/>
  <c r="F995"/>
  <c r="E995"/>
  <c r="S993"/>
  <c r="J993"/>
  <c r="K993" s="1"/>
  <c r="I993"/>
  <c r="H993"/>
  <c r="G993"/>
  <c r="F993"/>
  <c r="E993"/>
  <c r="S988"/>
  <c r="S987" s="1"/>
  <c r="S971" s="1"/>
  <c r="R988"/>
  <c r="R987" s="1"/>
  <c r="Q988"/>
  <c r="Q987" s="1"/>
  <c r="J988"/>
  <c r="K988" s="1"/>
  <c r="I988"/>
  <c r="I972" s="1"/>
  <c r="H988"/>
  <c r="H972" s="1"/>
  <c r="G988"/>
  <c r="G987" s="1"/>
  <c r="F988"/>
  <c r="F987" s="1"/>
  <c r="E988"/>
  <c r="E987" s="1"/>
  <c r="D988"/>
  <c r="D987" s="1"/>
  <c r="S982"/>
  <c r="S981" s="1"/>
  <c r="S980" s="1"/>
  <c r="R982"/>
  <c r="R981" s="1"/>
  <c r="R980" s="1"/>
  <c r="Q982"/>
  <c r="Q981" s="1"/>
  <c r="Q980" s="1"/>
  <c r="D982"/>
  <c r="D981" s="1"/>
  <c r="D980" s="1"/>
  <c r="S978"/>
  <c r="S977" s="1"/>
  <c r="R978"/>
  <c r="R977" s="1"/>
  <c r="Q978"/>
  <c r="Q977" s="1"/>
  <c r="D978"/>
  <c r="D977" s="1"/>
  <c r="S973"/>
  <c r="R973"/>
  <c r="Q973"/>
  <c r="J973"/>
  <c r="K973" s="1"/>
  <c r="I973"/>
  <c r="H973"/>
  <c r="G973"/>
  <c r="F973"/>
  <c r="E973"/>
  <c r="D973"/>
  <c r="S968"/>
  <c r="S967" s="1"/>
  <c r="S966" s="1"/>
  <c r="R968"/>
  <c r="R967" s="1"/>
  <c r="R966" s="1"/>
  <c r="Q968"/>
  <c r="Q967" s="1"/>
  <c r="Q966" s="1"/>
  <c r="J968"/>
  <c r="I968"/>
  <c r="I967" s="1"/>
  <c r="I966" s="1"/>
  <c r="H968"/>
  <c r="H967" s="1"/>
  <c r="H966" s="1"/>
  <c r="G968"/>
  <c r="G967" s="1"/>
  <c r="G966" s="1"/>
  <c r="F968"/>
  <c r="F967" s="1"/>
  <c r="F966" s="1"/>
  <c r="E968"/>
  <c r="E967" s="1"/>
  <c r="S964"/>
  <c r="S960" s="1"/>
  <c r="R964"/>
  <c r="R960" s="1"/>
  <c r="Q964"/>
  <c r="Q960" s="1"/>
  <c r="D964"/>
  <c r="D962"/>
  <c r="D961" s="1"/>
  <c r="S958"/>
  <c r="S957" s="1"/>
  <c r="R958"/>
  <c r="R957" s="1"/>
  <c r="Q958"/>
  <c r="Q957" s="1"/>
  <c r="J958"/>
  <c r="J957" s="1"/>
  <c r="I958"/>
  <c r="I956" s="1"/>
  <c r="H958"/>
  <c r="H957" s="1"/>
  <c r="G958"/>
  <c r="G957" s="1"/>
  <c r="F958"/>
  <c r="F956" s="1"/>
  <c r="E958"/>
  <c r="E956" s="1"/>
  <c r="D958"/>
  <c r="D956" s="1"/>
  <c r="S952"/>
  <c r="S951" s="1"/>
  <c r="S950" s="1"/>
  <c r="R952"/>
  <c r="Q952"/>
  <c r="Q951" s="1"/>
  <c r="J952"/>
  <c r="K952" s="1"/>
  <c r="I952"/>
  <c r="I951" s="1"/>
  <c r="I950" s="1"/>
  <c r="H952"/>
  <c r="H951" s="1"/>
  <c r="H950" s="1"/>
  <c r="G952"/>
  <c r="G951" s="1"/>
  <c r="G950" s="1"/>
  <c r="F952"/>
  <c r="F951" s="1"/>
  <c r="F950" s="1"/>
  <c r="E952"/>
  <c r="E951" s="1"/>
  <c r="E950" s="1"/>
  <c r="D952"/>
  <c r="D951" s="1"/>
  <c r="D950" s="1"/>
  <c r="S948"/>
  <c r="R948"/>
  <c r="Q948"/>
  <c r="J948"/>
  <c r="K948" s="1"/>
  <c r="I948"/>
  <c r="H948"/>
  <c r="G948"/>
  <c r="F948"/>
  <c r="E948"/>
  <c r="D948"/>
  <c r="D946"/>
  <c r="D937" s="1"/>
  <c r="S944"/>
  <c r="S935" s="1"/>
  <c r="R944"/>
  <c r="R943" s="1"/>
  <c r="Q944"/>
  <c r="Q943" s="1"/>
  <c r="J944"/>
  <c r="J935" s="1"/>
  <c r="I944"/>
  <c r="I935" s="1"/>
  <c r="H944"/>
  <c r="H935" s="1"/>
  <c r="G944"/>
  <c r="G935" s="1"/>
  <c r="F944"/>
  <c r="F943" s="1"/>
  <c r="E944"/>
  <c r="E943" s="1"/>
  <c r="S941"/>
  <c r="S932" s="1"/>
  <c r="R941"/>
  <c r="R932" s="1"/>
  <c r="Q941"/>
  <c r="Q932" s="1"/>
  <c r="J941"/>
  <c r="J932" s="1"/>
  <c r="K932" s="1"/>
  <c r="I941"/>
  <c r="I932" s="1"/>
  <c r="H941"/>
  <c r="H932" s="1"/>
  <c r="G941"/>
  <c r="G932" s="1"/>
  <c r="F941"/>
  <c r="D941"/>
  <c r="D932" s="1"/>
  <c r="S940"/>
  <c r="S931" s="1"/>
  <c r="R940"/>
  <c r="R931" s="1"/>
  <c r="Q940"/>
  <c r="Q931" s="1"/>
  <c r="J940"/>
  <c r="K940" s="1"/>
  <c r="I940"/>
  <c r="I931" s="1"/>
  <c r="H940"/>
  <c r="H931" s="1"/>
  <c r="G940"/>
  <c r="G931" s="1"/>
  <c r="F940"/>
  <c r="F931" s="1"/>
  <c r="E940"/>
  <c r="E931" s="1"/>
  <c r="D940"/>
  <c r="D931" s="1"/>
  <c r="S937"/>
  <c r="R937"/>
  <c r="Q937"/>
  <c r="J937"/>
  <c r="J927" s="1"/>
  <c r="I937"/>
  <c r="I927" s="1"/>
  <c r="H937"/>
  <c r="G937"/>
  <c r="F937"/>
  <c r="E937"/>
  <c r="S936"/>
  <c r="S926" s="1"/>
  <c r="R936"/>
  <c r="R926" s="1"/>
  <c r="Q936"/>
  <c r="Q926" s="1"/>
  <c r="J936"/>
  <c r="J926" s="1"/>
  <c r="K926" s="1"/>
  <c r="I936"/>
  <c r="I926" s="1"/>
  <c r="H936"/>
  <c r="H926" s="1"/>
  <c r="G936"/>
  <c r="G926" s="1"/>
  <c r="F936"/>
  <c r="F926" s="1"/>
  <c r="E936"/>
  <c r="E926" s="1"/>
  <c r="D936"/>
  <c r="D926" s="1"/>
  <c r="F932"/>
  <c r="S922"/>
  <c r="S921" s="1"/>
  <c r="S920" s="1"/>
  <c r="S919" s="1"/>
  <c r="R922"/>
  <c r="R921" s="1"/>
  <c r="R920" s="1"/>
  <c r="R919" s="1"/>
  <c r="Q922"/>
  <c r="Q921" s="1"/>
  <c r="Q920" s="1"/>
  <c r="Q919" s="1"/>
  <c r="J922"/>
  <c r="K922" s="1"/>
  <c r="D922"/>
  <c r="D921" s="1"/>
  <c r="D920" s="1"/>
  <c r="D919" s="1"/>
  <c r="I921"/>
  <c r="I920" s="1"/>
  <c r="I919" s="1"/>
  <c r="H921"/>
  <c r="H920" s="1"/>
  <c r="H919" s="1"/>
  <c r="G921"/>
  <c r="G920" s="1"/>
  <c r="G919" s="1"/>
  <c r="F921"/>
  <c r="F920" s="1"/>
  <c r="F919" s="1"/>
  <c r="E921"/>
  <c r="E920" s="1"/>
  <c r="E919" s="1"/>
  <c r="S917"/>
  <c r="R917"/>
  <c r="Q917"/>
  <c r="J917"/>
  <c r="I917"/>
  <c r="H917"/>
  <c r="G917"/>
  <c r="F917"/>
  <c r="E917"/>
  <c r="D917"/>
  <c r="S914"/>
  <c r="S913" s="1"/>
  <c r="S912" s="1"/>
  <c r="R914"/>
  <c r="R913" s="1"/>
  <c r="R912" s="1"/>
  <c r="Q914"/>
  <c r="Q913" s="1"/>
  <c r="Q912" s="1"/>
  <c r="J914"/>
  <c r="J913" s="1"/>
  <c r="J912" s="1"/>
  <c r="I914"/>
  <c r="I913" s="1"/>
  <c r="I912" s="1"/>
  <c r="H914"/>
  <c r="H913" s="1"/>
  <c r="H912" s="1"/>
  <c r="G914"/>
  <c r="G913" s="1"/>
  <c r="G912" s="1"/>
  <c r="F914"/>
  <c r="F913" s="1"/>
  <c r="F912" s="1"/>
  <c r="E914"/>
  <c r="E913" s="1"/>
  <c r="E912" s="1"/>
  <c r="D914"/>
  <c r="D913" s="1"/>
  <c r="D912" s="1"/>
  <c r="S909"/>
  <c r="R909"/>
  <c r="Q909"/>
  <c r="J909"/>
  <c r="K909" s="1"/>
  <c r="I909"/>
  <c r="H909"/>
  <c r="G909"/>
  <c r="F909"/>
  <c r="E909"/>
  <c r="D909"/>
  <c r="S905"/>
  <c r="S904" s="1"/>
  <c r="S903" s="1"/>
  <c r="R905"/>
  <c r="R904" s="1"/>
  <c r="R903" s="1"/>
  <c r="Q905"/>
  <c r="Q904" s="1"/>
  <c r="J905"/>
  <c r="J904" s="1"/>
  <c r="J903" s="1"/>
  <c r="I905"/>
  <c r="I904" s="1"/>
  <c r="I903" s="1"/>
  <c r="H905"/>
  <c r="H904" s="1"/>
  <c r="H903" s="1"/>
  <c r="G905"/>
  <c r="G904" s="1"/>
  <c r="G903" s="1"/>
  <c r="F905"/>
  <c r="F904" s="1"/>
  <c r="F903" s="1"/>
  <c r="E905"/>
  <c r="E904" s="1"/>
  <c r="D905"/>
  <c r="D904" s="1"/>
  <c r="D903" s="1"/>
  <c r="S900"/>
  <c r="R900"/>
  <c r="Q900"/>
  <c r="J900"/>
  <c r="K900" s="1"/>
  <c r="I900"/>
  <c r="H900"/>
  <c r="G900"/>
  <c r="F900"/>
  <c r="D900"/>
  <c r="D897"/>
  <c r="D895" s="1"/>
  <c r="D894" s="1"/>
  <c r="D893" s="1"/>
  <c r="S895"/>
  <c r="S894" s="1"/>
  <c r="S893" s="1"/>
  <c r="R895"/>
  <c r="Q895"/>
  <c r="Q894" s="1"/>
  <c r="Q893" s="1"/>
  <c r="J895"/>
  <c r="J894" s="1"/>
  <c r="J893" s="1"/>
  <c r="I895"/>
  <c r="I894" s="1"/>
  <c r="I893" s="1"/>
  <c r="H895"/>
  <c r="H894" s="1"/>
  <c r="H893" s="1"/>
  <c r="G895"/>
  <c r="G894" s="1"/>
  <c r="G893" s="1"/>
  <c r="F895"/>
  <c r="E895"/>
  <c r="E894" s="1"/>
  <c r="E893" s="1"/>
  <c r="E892" s="1"/>
  <c r="S890"/>
  <c r="R890"/>
  <c r="Q890"/>
  <c r="J890"/>
  <c r="K890" s="1"/>
  <c r="I890"/>
  <c r="H890"/>
  <c r="G890"/>
  <c r="F890"/>
  <c r="E890"/>
  <c r="D890"/>
  <c r="D888"/>
  <c r="D886" s="1"/>
  <c r="D885" s="1"/>
  <c r="D884" s="1"/>
  <c r="S886"/>
  <c r="S885" s="1"/>
  <c r="S884" s="1"/>
  <c r="R886"/>
  <c r="R885" s="1"/>
  <c r="R884" s="1"/>
  <c r="Q886"/>
  <c r="Q885" s="1"/>
  <c r="Q884" s="1"/>
  <c r="J886"/>
  <c r="I886"/>
  <c r="I885" s="1"/>
  <c r="I884" s="1"/>
  <c r="H886"/>
  <c r="H885" s="1"/>
  <c r="H884" s="1"/>
  <c r="G886"/>
  <c r="G885" s="1"/>
  <c r="G884" s="1"/>
  <c r="F886"/>
  <c r="F885" s="1"/>
  <c r="F884" s="1"/>
  <c r="E886"/>
  <c r="E885" s="1"/>
  <c r="E884" s="1"/>
  <c r="J881"/>
  <c r="I881"/>
  <c r="H881"/>
  <c r="G881"/>
  <c r="F881"/>
  <c r="E881"/>
  <c r="D881"/>
  <c r="D879"/>
  <c r="D877" s="1"/>
  <c r="D876" s="1"/>
  <c r="S877"/>
  <c r="S876" s="1"/>
  <c r="S875" s="1"/>
  <c r="R877"/>
  <c r="R876" s="1"/>
  <c r="R875" s="1"/>
  <c r="R874" s="1"/>
  <c r="Q877"/>
  <c r="Q876" s="1"/>
  <c r="Q875" s="1"/>
  <c r="Q874" s="1"/>
  <c r="J877"/>
  <c r="J876" s="1"/>
  <c r="I877"/>
  <c r="I876" s="1"/>
  <c r="H877"/>
  <c r="G877"/>
  <c r="G876" s="1"/>
  <c r="G875" s="1"/>
  <c r="F877"/>
  <c r="F876" s="1"/>
  <c r="F875" s="1"/>
  <c r="E877"/>
  <c r="E876" s="1"/>
  <c r="E875" s="1"/>
  <c r="E874" s="1"/>
  <c r="S871"/>
  <c r="R871"/>
  <c r="R728" s="1"/>
  <c r="Q871"/>
  <c r="Q728" s="1"/>
  <c r="J871"/>
  <c r="K871" s="1"/>
  <c r="I871"/>
  <c r="I728" s="1"/>
  <c r="H871"/>
  <c r="H728" s="1"/>
  <c r="G871"/>
  <c r="G728" s="1"/>
  <c r="F871"/>
  <c r="F728" s="1"/>
  <c r="E871"/>
  <c r="E728" s="1"/>
  <c r="D871"/>
  <c r="D728" s="1"/>
  <c r="S865"/>
  <c r="R865"/>
  <c r="Q865"/>
  <c r="J865"/>
  <c r="K865" s="1"/>
  <c r="I865"/>
  <c r="H865"/>
  <c r="G865"/>
  <c r="F865"/>
  <c r="E865"/>
  <c r="D865"/>
  <c r="D864"/>
  <c r="D862" s="1"/>
  <c r="D861" s="1"/>
  <c r="S862"/>
  <c r="S861" s="1"/>
  <c r="R862"/>
  <c r="R861" s="1"/>
  <c r="Q862"/>
  <c r="Q861" s="1"/>
  <c r="J862"/>
  <c r="J861" s="1"/>
  <c r="I862"/>
  <c r="I861" s="1"/>
  <c r="H862"/>
  <c r="H861" s="1"/>
  <c r="G862"/>
  <c r="G861" s="1"/>
  <c r="F862"/>
  <c r="F861" s="1"/>
  <c r="E862"/>
  <c r="E861" s="1"/>
  <c r="S858"/>
  <c r="R858"/>
  <c r="Q858"/>
  <c r="J858"/>
  <c r="K858" s="1"/>
  <c r="I858"/>
  <c r="H858"/>
  <c r="G858"/>
  <c r="F858"/>
  <c r="E858"/>
  <c r="D858"/>
  <c r="D857"/>
  <c r="D855" s="1"/>
  <c r="D854" s="1"/>
  <c r="S855"/>
  <c r="S854" s="1"/>
  <c r="R855"/>
  <c r="R854" s="1"/>
  <c r="Q855"/>
  <c r="Q854" s="1"/>
  <c r="J855"/>
  <c r="J854" s="1"/>
  <c r="I855"/>
  <c r="I854" s="1"/>
  <c r="H855"/>
  <c r="H854" s="1"/>
  <c r="H853" s="1"/>
  <c r="G855"/>
  <c r="G854" s="1"/>
  <c r="F855"/>
  <c r="F854" s="1"/>
  <c r="E855"/>
  <c r="E854" s="1"/>
  <c r="E853" s="1"/>
  <c r="D850"/>
  <c r="D849" s="1"/>
  <c r="D848" s="1"/>
  <c r="S846"/>
  <c r="R846"/>
  <c r="Q846"/>
  <c r="J846"/>
  <c r="K846" s="1"/>
  <c r="I846"/>
  <c r="H846"/>
  <c r="G846"/>
  <c r="F846"/>
  <c r="E846"/>
  <c r="D846"/>
  <c r="D845"/>
  <c r="D843" s="1"/>
  <c r="D842" s="1"/>
  <c r="S843"/>
  <c r="S842" s="1"/>
  <c r="R843"/>
  <c r="R842" s="1"/>
  <c r="Q843"/>
  <c r="Q842" s="1"/>
  <c r="J843"/>
  <c r="J842" s="1"/>
  <c r="K842" s="1"/>
  <c r="I843"/>
  <c r="I842" s="1"/>
  <c r="H843"/>
  <c r="H842" s="1"/>
  <c r="G843"/>
  <c r="G842" s="1"/>
  <c r="F843"/>
  <c r="F842" s="1"/>
  <c r="E843"/>
  <c r="E842" s="1"/>
  <c r="S839"/>
  <c r="R839"/>
  <c r="Q839"/>
  <c r="J839"/>
  <c r="K839" s="1"/>
  <c r="I839"/>
  <c r="H839"/>
  <c r="G839"/>
  <c r="F839"/>
  <c r="E839"/>
  <c r="D839"/>
  <c r="D838"/>
  <c r="D836" s="1"/>
  <c r="D835" s="1"/>
  <c r="S836"/>
  <c r="S835" s="1"/>
  <c r="R836"/>
  <c r="R835" s="1"/>
  <c r="Q836"/>
  <c r="Q835" s="1"/>
  <c r="J836"/>
  <c r="J835" s="1"/>
  <c r="I836"/>
  <c r="I835" s="1"/>
  <c r="H836"/>
  <c r="H835" s="1"/>
  <c r="G836"/>
  <c r="G835" s="1"/>
  <c r="F836"/>
  <c r="F835" s="1"/>
  <c r="E836"/>
  <c r="E835" s="1"/>
  <c r="S832"/>
  <c r="R832"/>
  <c r="Q832"/>
  <c r="J832"/>
  <c r="K832" s="1"/>
  <c r="I832"/>
  <c r="H832"/>
  <c r="G832"/>
  <c r="F832"/>
  <c r="E832"/>
  <c r="D832"/>
  <c r="D831"/>
  <c r="D829" s="1"/>
  <c r="D828" s="1"/>
  <c r="S829"/>
  <c r="S828" s="1"/>
  <c r="R829"/>
  <c r="R828" s="1"/>
  <c r="Q829"/>
  <c r="Q828" s="1"/>
  <c r="J829"/>
  <c r="J828" s="1"/>
  <c r="I829"/>
  <c r="I828" s="1"/>
  <c r="H829"/>
  <c r="H828" s="1"/>
  <c r="G829"/>
  <c r="G828" s="1"/>
  <c r="F829"/>
  <c r="F828" s="1"/>
  <c r="E829"/>
  <c r="E828" s="1"/>
  <c r="S825"/>
  <c r="R825"/>
  <c r="Q825"/>
  <c r="J825"/>
  <c r="K825" s="1"/>
  <c r="I825"/>
  <c r="H825"/>
  <c r="G825"/>
  <c r="F825"/>
  <c r="E825"/>
  <c r="D825"/>
  <c r="D824"/>
  <c r="D822" s="1"/>
  <c r="D821" s="1"/>
  <c r="S822"/>
  <c r="S821" s="1"/>
  <c r="R822"/>
  <c r="R821" s="1"/>
  <c r="Q822"/>
  <c r="Q821" s="1"/>
  <c r="J822"/>
  <c r="J821" s="1"/>
  <c r="I822"/>
  <c r="I821" s="1"/>
  <c r="H822"/>
  <c r="G822"/>
  <c r="G821" s="1"/>
  <c r="F822"/>
  <c r="F821" s="1"/>
  <c r="E822"/>
  <c r="E821" s="1"/>
  <c r="S818"/>
  <c r="R818"/>
  <c r="Q818"/>
  <c r="J818"/>
  <c r="K818" s="1"/>
  <c r="I818"/>
  <c r="H818"/>
  <c r="G818"/>
  <c r="F818"/>
  <c r="E818"/>
  <c r="D818"/>
  <c r="D817"/>
  <c r="D815" s="1"/>
  <c r="S815"/>
  <c r="R815"/>
  <c r="R814" s="1"/>
  <c r="Q815"/>
  <c r="Q814" s="1"/>
  <c r="J815"/>
  <c r="I815"/>
  <c r="I814" s="1"/>
  <c r="H815"/>
  <c r="H814" s="1"/>
  <c r="G815"/>
  <c r="F815"/>
  <c r="F814" s="1"/>
  <c r="E815"/>
  <c r="E814" s="1"/>
  <c r="S811"/>
  <c r="R811"/>
  <c r="Q811"/>
  <c r="J811"/>
  <c r="K811" s="1"/>
  <c r="I811"/>
  <c r="H811"/>
  <c r="G811"/>
  <c r="F811"/>
  <c r="E811"/>
  <c r="D811"/>
  <c r="S808"/>
  <c r="S807" s="1"/>
  <c r="R808"/>
  <c r="R807" s="1"/>
  <c r="Q808"/>
  <c r="Q807" s="1"/>
  <c r="J808"/>
  <c r="J807" s="1"/>
  <c r="J806" s="1"/>
  <c r="I808"/>
  <c r="I807" s="1"/>
  <c r="H808"/>
  <c r="H807" s="1"/>
  <c r="G808"/>
  <c r="G807" s="1"/>
  <c r="F808"/>
  <c r="F807" s="1"/>
  <c r="E808"/>
  <c r="E807" s="1"/>
  <c r="D808"/>
  <c r="D807" s="1"/>
  <c r="S805"/>
  <c r="S733" s="1"/>
  <c r="R805"/>
  <c r="Q805"/>
  <c r="Q733" s="1"/>
  <c r="J805"/>
  <c r="J733" s="1"/>
  <c r="K733" s="1"/>
  <c r="I805"/>
  <c r="H805"/>
  <c r="H733" s="1"/>
  <c r="G805"/>
  <c r="G733" s="1"/>
  <c r="F805"/>
  <c r="F733" s="1"/>
  <c r="E805"/>
  <c r="E733" s="1"/>
  <c r="D805"/>
  <c r="S803"/>
  <c r="S724" s="1"/>
  <c r="R803"/>
  <c r="R724" s="1"/>
  <c r="Q803"/>
  <c r="Q724" s="1"/>
  <c r="J803"/>
  <c r="J724" s="1"/>
  <c r="K724" s="1"/>
  <c r="I803"/>
  <c r="I724" s="1"/>
  <c r="H803"/>
  <c r="H724" s="1"/>
  <c r="G803"/>
  <c r="G724" s="1"/>
  <c r="F803"/>
  <c r="F724" s="1"/>
  <c r="E803"/>
  <c r="E724" s="1"/>
  <c r="S802"/>
  <c r="S723" s="1"/>
  <c r="R802"/>
  <c r="R723" s="1"/>
  <c r="Q802"/>
  <c r="Q723" s="1"/>
  <c r="J802"/>
  <c r="J723" s="1"/>
  <c r="I802"/>
  <c r="I723" s="1"/>
  <c r="H802"/>
  <c r="H723" s="1"/>
  <c r="G802"/>
  <c r="G723" s="1"/>
  <c r="F802"/>
  <c r="F723" s="1"/>
  <c r="E802"/>
  <c r="D802"/>
  <c r="S795"/>
  <c r="S794" s="1"/>
  <c r="S793" s="1"/>
  <c r="R795"/>
  <c r="R794" s="1"/>
  <c r="R793" s="1"/>
  <c r="Q795"/>
  <c r="Q794" s="1"/>
  <c r="Q793" s="1"/>
  <c r="J795"/>
  <c r="J794" s="1"/>
  <c r="J793" s="1"/>
  <c r="K793" s="1"/>
  <c r="I795"/>
  <c r="I794" s="1"/>
  <c r="I793" s="1"/>
  <c r="H795"/>
  <c r="H794" s="1"/>
  <c r="H793" s="1"/>
  <c r="G795"/>
  <c r="G794" s="1"/>
  <c r="G793" s="1"/>
  <c r="F795"/>
  <c r="F794" s="1"/>
  <c r="F793" s="1"/>
  <c r="E795"/>
  <c r="E794" s="1"/>
  <c r="E793" s="1"/>
  <c r="D795"/>
  <c r="D794" s="1"/>
  <c r="D793" s="1"/>
  <c r="S789"/>
  <c r="S788" s="1"/>
  <c r="R789"/>
  <c r="R788" s="1"/>
  <c r="Q789"/>
  <c r="Q788" s="1"/>
  <c r="J789"/>
  <c r="J788" s="1"/>
  <c r="K788" s="1"/>
  <c r="I789"/>
  <c r="I788" s="1"/>
  <c r="H789"/>
  <c r="H788" s="1"/>
  <c r="G789"/>
  <c r="G788" s="1"/>
  <c r="F789"/>
  <c r="F788" s="1"/>
  <c r="E789"/>
  <c r="E788" s="1"/>
  <c r="D789"/>
  <c r="D788" s="1"/>
  <c r="D787"/>
  <c r="D784" s="1"/>
  <c r="D783" s="1"/>
  <c r="S784"/>
  <c r="S783" s="1"/>
  <c r="R784"/>
  <c r="R783" s="1"/>
  <c r="Q784"/>
  <c r="Q783" s="1"/>
  <c r="J784"/>
  <c r="J783" s="1"/>
  <c r="K783" s="1"/>
  <c r="I784"/>
  <c r="I783" s="1"/>
  <c r="H784"/>
  <c r="H783" s="1"/>
  <c r="G784"/>
  <c r="G783" s="1"/>
  <c r="F784"/>
  <c r="F783" s="1"/>
  <c r="E784"/>
  <c r="E783" s="1"/>
  <c r="D782"/>
  <c r="D779" s="1"/>
  <c r="D778" s="1"/>
  <c r="S779"/>
  <c r="S778" s="1"/>
  <c r="R779"/>
  <c r="R778" s="1"/>
  <c r="Q779"/>
  <c r="Q778" s="1"/>
  <c r="J779"/>
  <c r="J778" s="1"/>
  <c r="I779"/>
  <c r="I778" s="1"/>
  <c r="H779"/>
  <c r="H778" s="1"/>
  <c r="G779"/>
  <c r="G778" s="1"/>
  <c r="F779"/>
  <c r="F778" s="1"/>
  <c r="E779"/>
  <c r="E778" s="1"/>
  <c r="D777"/>
  <c r="D774" s="1"/>
  <c r="D773" s="1"/>
  <c r="S774"/>
  <c r="R774"/>
  <c r="R773" s="1"/>
  <c r="Q774"/>
  <c r="Q773" s="1"/>
  <c r="J774"/>
  <c r="J773" s="1"/>
  <c r="K773" s="1"/>
  <c r="I774"/>
  <c r="I773" s="1"/>
  <c r="H774"/>
  <c r="H773" s="1"/>
  <c r="G774"/>
  <c r="G773" s="1"/>
  <c r="F774"/>
  <c r="F773" s="1"/>
  <c r="E774"/>
  <c r="E773" s="1"/>
  <c r="S769"/>
  <c r="S768" s="1"/>
  <c r="S767" s="1"/>
  <c r="R769"/>
  <c r="R768" s="1"/>
  <c r="R767" s="1"/>
  <c r="Q769"/>
  <c r="Q768" s="1"/>
  <c r="Q767" s="1"/>
  <c r="J769"/>
  <c r="J768" s="1"/>
  <c r="J767" s="1"/>
  <c r="K767" s="1"/>
  <c r="I769"/>
  <c r="I768" s="1"/>
  <c r="I767" s="1"/>
  <c r="H769"/>
  <c r="H768" s="1"/>
  <c r="H767" s="1"/>
  <c r="G769"/>
  <c r="G768" s="1"/>
  <c r="G767" s="1"/>
  <c r="F769"/>
  <c r="F768" s="1"/>
  <c r="F767" s="1"/>
  <c r="E769"/>
  <c r="E768" s="1"/>
  <c r="E767" s="1"/>
  <c r="D769"/>
  <c r="D768" s="1"/>
  <c r="D767" s="1"/>
  <c r="S763"/>
  <c r="S762" s="1"/>
  <c r="S761" s="1"/>
  <c r="R763"/>
  <c r="R762" s="1"/>
  <c r="R761" s="1"/>
  <c r="Q763"/>
  <c r="Q762" s="1"/>
  <c r="Q761" s="1"/>
  <c r="J763"/>
  <c r="J762" s="1"/>
  <c r="J761" s="1"/>
  <c r="I763"/>
  <c r="I762" s="1"/>
  <c r="I761" s="1"/>
  <c r="H763"/>
  <c r="H762" s="1"/>
  <c r="H761" s="1"/>
  <c r="G763"/>
  <c r="G762" s="1"/>
  <c r="G761" s="1"/>
  <c r="F763"/>
  <c r="F762" s="1"/>
  <c r="F761" s="1"/>
  <c r="E763"/>
  <c r="E762" s="1"/>
  <c r="E761" s="1"/>
  <c r="D763"/>
  <c r="D762" s="1"/>
  <c r="D761" s="1"/>
  <c r="D755"/>
  <c r="S746"/>
  <c r="S744" s="1"/>
  <c r="S80" s="1"/>
  <c r="R746"/>
  <c r="R744" s="1"/>
  <c r="R80" s="1"/>
  <c r="R172" s="1"/>
  <c r="Q746"/>
  <c r="Q744" s="1"/>
  <c r="Q80" s="1"/>
  <c r="Q172" s="1"/>
  <c r="J746"/>
  <c r="J744" s="1"/>
  <c r="I746"/>
  <c r="I744" s="1"/>
  <c r="I80" s="1"/>
  <c r="I172" s="1"/>
  <c r="H746"/>
  <c r="G746"/>
  <c r="G726" s="1"/>
  <c r="F746"/>
  <c r="F744" s="1"/>
  <c r="E746"/>
  <c r="E744" s="1"/>
  <c r="D746"/>
  <c r="S739"/>
  <c r="R739"/>
  <c r="Q739"/>
  <c r="Q736" s="1"/>
  <c r="Q735" s="1"/>
  <c r="J739"/>
  <c r="J736" s="1"/>
  <c r="I739"/>
  <c r="I736" s="1"/>
  <c r="I735" s="1"/>
  <c r="H739"/>
  <c r="H736" s="1"/>
  <c r="H735" s="1"/>
  <c r="F739"/>
  <c r="F736" s="1"/>
  <c r="F735" s="1"/>
  <c r="E739"/>
  <c r="D739"/>
  <c r="D737"/>
  <c r="G736"/>
  <c r="G735" s="1"/>
  <c r="R733"/>
  <c r="I733"/>
  <c r="S728"/>
  <c r="S727"/>
  <c r="R727"/>
  <c r="Q727"/>
  <c r="J727"/>
  <c r="K727" s="1"/>
  <c r="I727"/>
  <c r="H727"/>
  <c r="G727"/>
  <c r="F727"/>
  <c r="E727"/>
  <c r="D727"/>
  <c r="E723"/>
  <c r="V721"/>
  <c r="U721"/>
  <c r="U722" s="1"/>
  <c r="S718"/>
  <c r="S717" s="1"/>
  <c r="R718"/>
  <c r="R717" s="1"/>
  <c r="Q718"/>
  <c r="Q717" s="1"/>
  <c r="J718"/>
  <c r="J717" s="1"/>
  <c r="K717" s="1"/>
  <c r="I718"/>
  <c r="H718"/>
  <c r="H717" s="1"/>
  <c r="G718"/>
  <c r="G717" s="1"/>
  <c r="F718"/>
  <c r="F717" s="1"/>
  <c r="E718"/>
  <c r="E717" s="1"/>
  <c r="I717"/>
  <c r="D716"/>
  <c r="D623" s="1"/>
  <c r="S715"/>
  <c r="R715"/>
  <c r="Q715"/>
  <c r="J715"/>
  <c r="K715" s="1"/>
  <c r="I715"/>
  <c r="H715"/>
  <c r="G715"/>
  <c r="F715"/>
  <c r="E715"/>
  <c r="S714"/>
  <c r="S713" s="1"/>
  <c r="R714"/>
  <c r="R713" s="1"/>
  <c r="Q714"/>
  <c r="Q713" s="1"/>
  <c r="J714"/>
  <c r="J713" s="1"/>
  <c r="K713" s="1"/>
  <c r="I714"/>
  <c r="I713" s="1"/>
  <c r="H714"/>
  <c r="H713" s="1"/>
  <c r="G714"/>
  <c r="G713" s="1"/>
  <c r="F714"/>
  <c r="F713" s="1"/>
  <c r="E714"/>
  <c r="E713" s="1"/>
  <c r="S710"/>
  <c r="R710"/>
  <c r="Q710"/>
  <c r="J710"/>
  <c r="K710" s="1"/>
  <c r="I710"/>
  <c r="H710"/>
  <c r="G710"/>
  <c r="F710"/>
  <c r="E710"/>
  <c r="D710"/>
  <c r="D708"/>
  <c r="D706" s="1"/>
  <c r="D705" s="1"/>
  <c r="D704" s="1"/>
  <c r="S706"/>
  <c r="S705" s="1"/>
  <c r="S704" s="1"/>
  <c r="R706"/>
  <c r="R705" s="1"/>
  <c r="R704" s="1"/>
  <c r="Q706"/>
  <c r="Q705" s="1"/>
  <c r="Q704" s="1"/>
  <c r="J706"/>
  <c r="J705" s="1"/>
  <c r="J704" s="1"/>
  <c r="I706"/>
  <c r="I705" s="1"/>
  <c r="I704" s="1"/>
  <c r="H706"/>
  <c r="H705" s="1"/>
  <c r="H704" s="1"/>
  <c r="G706"/>
  <c r="G705" s="1"/>
  <c r="G704" s="1"/>
  <c r="F706"/>
  <c r="F705" s="1"/>
  <c r="F704" s="1"/>
  <c r="E706"/>
  <c r="E705" s="1"/>
  <c r="E704" s="1"/>
  <c r="E703" s="1"/>
  <c r="J701"/>
  <c r="K701" s="1"/>
  <c r="D701"/>
  <c r="S700"/>
  <c r="S699" s="1"/>
  <c r="S698" s="1"/>
  <c r="R700"/>
  <c r="R699" s="1"/>
  <c r="R698" s="1"/>
  <c r="Q700"/>
  <c r="Q699" s="1"/>
  <c r="Q698" s="1"/>
  <c r="I700"/>
  <c r="I699" s="1"/>
  <c r="I698" s="1"/>
  <c r="H700"/>
  <c r="H699" s="1"/>
  <c r="H698" s="1"/>
  <c r="G700"/>
  <c r="G699" s="1"/>
  <c r="G698" s="1"/>
  <c r="F700"/>
  <c r="F699" s="1"/>
  <c r="F698" s="1"/>
  <c r="E700"/>
  <c r="E699" s="1"/>
  <c r="E698" s="1"/>
  <c r="J697"/>
  <c r="K697" s="1"/>
  <c r="S696"/>
  <c r="R696"/>
  <c r="Q696"/>
  <c r="I696"/>
  <c r="H696"/>
  <c r="G696"/>
  <c r="F696"/>
  <c r="E696"/>
  <c r="D696"/>
  <c r="D695"/>
  <c r="D693" s="1"/>
  <c r="D692" s="1"/>
  <c r="D691" s="1"/>
  <c r="S693"/>
  <c r="S692" s="1"/>
  <c r="S691" s="1"/>
  <c r="R693"/>
  <c r="R692" s="1"/>
  <c r="R691" s="1"/>
  <c r="Q693"/>
  <c r="Q692" s="1"/>
  <c r="Q691" s="1"/>
  <c r="J693"/>
  <c r="J692" s="1"/>
  <c r="J691" s="1"/>
  <c r="I693"/>
  <c r="I692" s="1"/>
  <c r="I691" s="1"/>
  <c r="H693"/>
  <c r="H692" s="1"/>
  <c r="H691" s="1"/>
  <c r="G693"/>
  <c r="G692" s="1"/>
  <c r="G691" s="1"/>
  <c r="F693"/>
  <c r="F692" s="1"/>
  <c r="F691" s="1"/>
  <c r="E693"/>
  <c r="E692" s="1"/>
  <c r="E691" s="1"/>
  <c r="S688"/>
  <c r="R688"/>
  <c r="Q688"/>
  <c r="J688"/>
  <c r="K688" s="1"/>
  <c r="I688"/>
  <c r="H688"/>
  <c r="G688"/>
  <c r="F688"/>
  <c r="E688"/>
  <c r="D688"/>
  <c r="D687"/>
  <c r="D685" s="1"/>
  <c r="D684" s="1"/>
  <c r="D683" s="1"/>
  <c r="S685"/>
  <c r="S684" s="1"/>
  <c r="S683" s="1"/>
  <c r="R685"/>
  <c r="R684" s="1"/>
  <c r="R683" s="1"/>
  <c r="Q685"/>
  <c r="Q684" s="1"/>
  <c r="Q683" s="1"/>
  <c r="J685"/>
  <c r="I685"/>
  <c r="I684" s="1"/>
  <c r="I683" s="1"/>
  <c r="H685"/>
  <c r="H684" s="1"/>
  <c r="H683" s="1"/>
  <c r="G685"/>
  <c r="G684" s="1"/>
  <c r="G683" s="1"/>
  <c r="G682" s="1"/>
  <c r="F685"/>
  <c r="F684" s="1"/>
  <c r="F683" s="1"/>
  <c r="E685"/>
  <c r="E684" s="1"/>
  <c r="E683" s="1"/>
  <c r="S680"/>
  <c r="R680"/>
  <c r="Q680"/>
  <c r="J680"/>
  <c r="K680" s="1"/>
  <c r="I680"/>
  <c r="H680"/>
  <c r="G680"/>
  <c r="F680"/>
  <c r="E680"/>
  <c r="D680"/>
  <c r="D678"/>
  <c r="D676" s="1"/>
  <c r="D675" s="1"/>
  <c r="D674" s="1"/>
  <c r="S676"/>
  <c r="S675" s="1"/>
  <c r="S674" s="1"/>
  <c r="R676"/>
  <c r="R675" s="1"/>
  <c r="R674" s="1"/>
  <c r="Q676"/>
  <c r="Q675" s="1"/>
  <c r="Q674" s="1"/>
  <c r="J676"/>
  <c r="I676"/>
  <c r="I675" s="1"/>
  <c r="I674" s="1"/>
  <c r="H676"/>
  <c r="H675" s="1"/>
  <c r="H674" s="1"/>
  <c r="G676"/>
  <c r="G675" s="1"/>
  <c r="G674" s="1"/>
  <c r="F676"/>
  <c r="E676"/>
  <c r="E675" s="1"/>
  <c r="E674" s="1"/>
  <c r="J675"/>
  <c r="J674" s="1"/>
  <c r="S670"/>
  <c r="R670"/>
  <c r="Q670"/>
  <c r="J670"/>
  <c r="K670" s="1"/>
  <c r="I670"/>
  <c r="H670"/>
  <c r="G670"/>
  <c r="F670"/>
  <c r="E670"/>
  <c r="D670"/>
  <c r="D669"/>
  <c r="D668"/>
  <c r="D667"/>
  <c r="S666"/>
  <c r="S665" s="1"/>
  <c r="S664" s="1"/>
  <c r="R666"/>
  <c r="R665" s="1"/>
  <c r="R664" s="1"/>
  <c r="Q666"/>
  <c r="Q665" s="1"/>
  <c r="Q664" s="1"/>
  <c r="J666"/>
  <c r="J665" s="1"/>
  <c r="J664" s="1"/>
  <c r="I666"/>
  <c r="I665" s="1"/>
  <c r="I664" s="1"/>
  <c r="H666"/>
  <c r="H665" s="1"/>
  <c r="H664" s="1"/>
  <c r="G666"/>
  <c r="G665" s="1"/>
  <c r="G664" s="1"/>
  <c r="F666"/>
  <c r="F665" s="1"/>
  <c r="F664" s="1"/>
  <c r="E666"/>
  <c r="E665" s="1"/>
  <c r="E664" s="1"/>
  <c r="S659"/>
  <c r="S658" s="1"/>
  <c r="S657" s="1"/>
  <c r="R659"/>
  <c r="R658" s="1"/>
  <c r="R657" s="1"/>
  <c r="Q659"/>
  <c r="Q658" s="1"/>
  <c r="Q657" s="1"/>
  <c r="J659"/>
  <c r="J658" s="1"/>
  <c r="J657" s="1"/>
  <c r="K657" s="1"/>
  <c r="I659"/>
  <c r="I658" s="1"/>
  <c r="I657" s="1"/>
  <c r="H659"/>
  <c r="H658" s="1"/>
  <c r="H657" s="1"/>
  <c r="G659"/>
  <c r="G658" s="1"/>
  <c r="G657" s="1"/>
  <c r="F659"/>
  <c r="F658" s="1"/>
  <c r="F657" s="1"/>
  <c r="E659"/>
  <c r="E658" s="1"/>
  <c r="E657" s="1"/>
  <c r="D659"/>
  <c r="D658" s="1"/>
  <c r="D657" s="1"/>
  <c r="S653"/>
  <c r="S652" s="1"/>
  <c r="S651" s="1"/>
  <c r="R653"/>
  <c r="R652" s="1"/>
  <c r="R651" s="1"/>
  <c r="Q653"/>
  <c r="Q652" s="1"/>
  <c r="Q651" s="1"/>
  <c r="J653"/>
  <c r="I653"/>
  <c r="I652" s="1"/>
  <c r="I651" s="1"/>
  <c r="H653"/>
  <c r="H652" s="1"/>
  <c r="H651" s="1"/>
  <c r="G653"/>
  <c r="G652" s="1"/>
  <c r="G651" s="1"/>
  <c r="F653"/>
  <c r="F652" s="1"/>
  <c r="F651" s="1"/>
  <c r="E653"/>
  <c r="E652" s="1"/>
  <c r="D653"/>
  <c r="D652" s="1"/>
  <c r="D651" s="1"/>
  <c r="S649"/>
  <c r="R649"/>
  <c r="Q649"/>
  <c r="J649"/>
  <c r="K649" s="1"/>
  <c r="I649"/>
  <c r="H649"/>
  <c r="G649"/>
  <c r="F649"/>
  <c r="E649"/>
  <c r="D649"/>
  <c r="S645"/>
  <c r="S644" s="1"/>
  <c r="S643" s="1"/>
  <c r="R645"/>
  <c r="R644" s="1"/>
  <c r="R643" s="1"/>
  <c r="Q645"/>
  <c r="Q644" s="1"/>
  <c r="Q643" s="1"/>
  <c r="J645"/>
  <c r="J644" s="1"/>
  <c r="J643" s="1"/>
  <c r="K643" s="1"/>
  <c r="I645"/>
  <c r="I644" s="1"/>
  <c r="I643" s="1"/>
  <c r="H645"/>
  <c r="H644" s="1"/>
  <c r="H643" s="1"/>
  <c r="G645"/>
  <c r="F645"/>
  <c r="F644" s="1"/>
  <c r="F643" s="1"/>
  <c r="E645"/>
  <c r="E644" s="1"/>
  <c r="E643" s="1"/>
  <c r="D645"/>
  <c r="D644" s="1"/>
  <c r="D643" s="1"/>
  <c r="I641"/>
  <c r="I639" s="1"/>
  <c r="H641"/>
  <c r="H628" s="1"/>
  <c r="G641"/>
  <c r="G639" s="1"/>
  <c r="S639"/>
  <c r="R639"/>
  <c r="Q639"/>
  <c r="J639"/>
  <c r="K639" s="1"/>
  <c r="F639"/>
  <c r="E639"/>
  <c r="D639"/>
  <c r="D636"/>
  <c r="D634" s="1"/>
  <c r="D633" s="1"/>
  <c r="D632" s="1"/>
  <c r="S634"/>
  <c r="S633" s="1"/>
  <c r="S632" s="1"/>
  <c r="R634"/>
  <c r="Q634"/>
  <c r="Q633" s="1"/>
  <c r="Q632" s="1"/>
  <c r="J634"/>
  <c r="J633" s="1"/>
  <c r="J632" s="1"/>
  <c r="I634"/>
  <c r="I633" s="1"/>
  <c r="H634"/>
  <c r="G634"/>
  <c r="G633" s="1"/>
  <c r="G632" s="1"/>
  <c r="F634"/>
  <c r="F633" s="1"/>
  <c r="E634"/>
  <c r="E633" s="1"/>
  <c r="E632" s="1"/>
  <c r="S629"/>
  <c r="R629"/>
  <c r="Q629"/>
  <c r="J629"/>
  <c r="K629" s="1"/>
  <c r="I629"/>
  <c r="H629"/>
  <c r="G629"/>
  <c r="F629"/>
  <c r="E629"/>
  <c r="D629"/>
  <c r="S628"/>
  <c r="R628"/>
  <c r="Q628"/>
  <c r="F628"/>
  <c r="E628"/>
  <c r="D628"/>
  <c r="S626"/>
  <c r="R626"/>
  <c r="Q626"/>
  <c r="J626"/>
  <c r="K626" s="1"/>
  <c r="I626"/>
  <c r="H626"/>
  <c r="G626"/>
  <c r="F626"/>
  <c r="E626"/>
  <c r="D626"/>
  <c r="S625"/>
  <c r="R625"/>
  <c r="Q625"/>
  <c r="I625"/>
  <c r="H625"/>
  <c r="H456" s="1"/>
  <c r="G625"/>
  <c r="F625"/>
  <c r="F456" s="1"/>
  <c r="E625"/>
  <c r="E456" s="1"/>
  <c r="S623"/>
  <c r="R623"/>
  <c r="Q623"/>
  <c r="J623"/>
  <c r="K623" s="1"/>
  <c r="I623"/>
  <c r="H623"/>
  <c r="G623"/>
  <c r="F623"/>
  <c r="E623"/>
  <c r="S618"/>
  <c r="S617" s="1"/>
  <c r="R618"/>
  <c r="R617" s="1"/>
  <c r="Q618"/>
  <c r="Q617" s="1"/>
  <c r="J618"/>
  <c r="K618" s="1"/>
  <c r="I618"/>
  <c r="I617" s="1"/>
  <c r="H618"/>
  <c r="H617" s="1"/>
  <c r="G618"/>
  <c r="G617" s="1"/>
  <c r="F618"/>
  <c r="F617" s="1"/>
  <c r="E618"/>
  <c r="E617" s="1"/>
  <c r="S615"/>
  <c r="S614" s="1"/>
  <c r="R615"/>
  <c r="R614" s="1"/>
  <c r="Q615"/>
  <c r="Q614" s="1"/>
  <c r="J615"/>
  <c r="K615" s="1"/>
  <c r="I615"/>
  <c r="I614" s="1"/>
  <c r="H615"/>
  <c r="H614" s="1"/>
  <c r="G615"/>
  <c r="G614" s="1"/>
  <c r="F615"/>
  <c r="F614" s="1"/>
  <c r="E615"/>
  <c r="E614" s="1"/>
  <c r="S612"/>
  <c r="S611" s="1"/>
  <c r="R612"/>
  <c r="R611" s="1"/>
  <c r="Q612"/>
  <c r="Q611" s="1"/>
  <c r="J612"/>
  <c r="K612" s="1"/>
  <c r="I612"/>
  <c r="I611" s="1"/>
  <c r="H612"/>
  <c r="H611" s="1"/>
  <c r="G612"/>
  <c r="G611" s="1"/>
  <c r="F612"/>
  <c r="F611" s="1"/>
  <c r="E612"/>
  <c r="E611" s="1"/>
  <c r="J611"/>
  <c r="K611" s="1"/>
  <c r="S609"/>
  <c r="S608" s="1"/>
  <c r="R609"/>
  <c r="R608" s="1"/>
  <c r="Q609"/>
  <c r="Q608" s="1"/>
  <c r="J609"/>
  <c r="K609" s="1"/>
  <c r="I609"/>
  <c r="I608" s="1"/>
  <c r="H609"/>
  <c r="H608" s="1"/>
  <c r="G609"/>
  <c r="G608" s="1"/>
  <c r="F609"/>
  <c r="F608" s="1"/>
  <c r="E609"/>
  <c r="E608" s="1"/>
  <c r="S606"/>
  <c r="S605" s="1"/>
  <c r="R606"/>
  <c r="R605" s="1"/>
  <c r="Q606"/>
  <c r="Q605" s="1"/>
  <c r="J606"/>
  <c r="K606" s="1"/>
  <c r="I606"/>
  <c r="I605" s="1"/>
  <c r="H606"/>
  <c r="H605" s="1"/>
  <c r="G606"/>
  <c r="G605" s="1"/>
  <c r="F606"/>
  <c r="F605" s="1"/>
  <c r="E606"/>
  <c r="E605" s="1"/>
  <c r="S603"/>
  <c r="S602" s="1"/>
  <c r="R603"/>
  <c r="R602" s="1"/>
  <c r="Q603"/>
  <c r="Q602" s="1"/>
  <c r="J603"/>
  <c r="I603"/>
  <c r="I602" s="1"/>
  <c r="H603"/>
  <c r="H602" s="1"/>
  <c r="G603"/>
  <c r="G602" s="1"/>
  <c r="F603"/>
  <c r="F602" s="1"/>
  <c r="E603"/>
  <c r="E602" s="1"/>
  <c r="D600"/>
  <c r="D599"/>
  <c r="S598"/>
  <c r="S597" s="1"/>
  <c r="S596" s="1"/>
  <c r="S595" s="1"/>
  <c r="R598"/>
  <c r="R597" s="1"/>
  <c r="R596" s="1"/>
  <c r="R595" s="1"/>
  <c r="Q598"/>
  <c r="Q597" s="1"/>
  <c r="Q596" s="1"/>
  <c r="Q595" s="1"/>
  <c r="J598"/>
  <c r="J597" s="1"/>
  <c r="J596" s="1"/>
  <c r="J595" s="1"/>
  <c r="K595" s="1"/>
  <c r="I598"/>
  <c r="I597" s="1"/>
  <c r="I596" s="1"/>
  <c r="I595" s="1"/>
  <c r="H598"/>
  <c r="H597" s="1"/>
  <c r="H596" s="1"/>
  <c r="H595" s="1"/>
  <c r="G598"/>
  <c r="G597" s="1"/>
  <c r="G596" s="1"/>
  <c r="G595" s="1"/>
  <c r="F598"/>
  <c r="F597" s="1"/>
  <c r="F596" s="1"/>
  <c r="F595" s="1"/>
  <c r="E598"/>
  <c r="E597" s="1"/>
  <c r="E596" s="1"/>
  <c r="E595" s="1"/>
  <c r="D593"/>
  <c r="D592" s="1"/>
  <c r="D591" s="1"/>
  <c r="D590" s="1"/>
  <c r="D589" s="1"/>
  <c r="S592"/>
  <c r="S591" s="1"/>
  <c r="S590" s="1"/>
  <c r="S589" s="1"/>
  <c r="R592"/>
  <c r="R591" s="1"/>
  <c r="R590" s="1"/>
  <c r="R589" s="1"/>
  <c r="Q592"/>
  <c r="Q591" s="1"/>
  <c r="Q590" s="1"/>
  <c r="Q589" s="1"/>
  <c r="J592"/>
  <c r="I592"/>
  <c r="I591" s="1"/>
  <c r="I590" s="1"/>
  <c r="I589" s="1"/>
  <c r="H592"/>
  <c r="H591" s="1"/>
  <c r="H590" s="1"/>
  <c r="H589" s="1"/>
  <c r="G592"/>
  <c r="G591" s="1"/>
  <c r="G590" s="1"/>
  <c r="G589" s="1"/>
  <c r="F592"/>
  <c r="F591" s="1"/>
  <c r="F590" s="1"/>
  <c r="F589" s="1"/>
  <c r="E592"/>
  <c r="E591" s="1"/>
  <c r="E590" s="1"/>
  <c r="E589" s="1"/>
  <c r="J591"/>
  <c r="J590" s="1"/>
  <c r="J589" s="1"/>
  <c r="D588"/>
  <c r="D587"/>
  <c r="S586"/>
  <c r="S585" s="1"/>
  <c r="S584" s="1"/>
  <c r="S583" s="1"/>
  <c r="R586"/>
  <c r="R585" s="1"/>
  <c r="R584" s="1"/>
  <c r="R583" s="1"/>
  <c r="Q586"/>
  <c r="J586"/>
  <c r="J585" s="1"/>
  <c r="J584" s="1"/>
  <c r="J583" s="1"/>
  <c r="I586"/>
  <c r="I585" s="1"/>
  <c r="I584" s="1"/>
  <c r="I583" s="1"/>
  <c r="H586"/>
  <c r="H585" s="1"/>
  <c r="H584" s="1"/>
  <c r="H583" s="1"/>
  <c r="G586"/>
  <c r="G585" s="1"/>
  <c r="G584" s="1"/>
  <c r="G583" s="1"/>
  <c r="F586"/>
  <c r="F585" s="1"/>
  <c r="F584" s="1"/>
  <c r="F583" s="1"/>
  <c r="E586"/>
  <c r="E585" s="1"/>
  <c r="E584" s="1"/>
  <c r="E583" s="1"/>
  <c r="D582"/>
  <c r="D581"/>
  <c r="S580"/>
  <c r="S579" s="1"/>
  <c r="S578" s="1"/>
  <c r="S577" s="1"/>
  <c r="R580"/>
  <c r="R579" s="1"/>
  <c r="R578" s="1"/>
  <c r="R577" s="1"/>
  <c r="Q580"/>
  <c r="Q579" s="1"/>
  <c r="Q578" s="1"/>
  <c r="Q577" s="1"/>
  <c r="J580"/>
  <c r="I580"/>
  <c r="I579" s="1"/>
  <c r="I578" s="1"/>
  <c r="I577" s="1"/>
  <c r="H580"/>
  <c r="H579" s="1"/>
  <c r="G580"/>
  <c r="G579" s="1"/>
  <c r="G578" s="1"/>
  <c r="G577" s="1"/>
  <c r="F580"/>
  <c r="F579" s="1"/>
  <c r="F578" s="1"/>
  <c r="F577" s="1"/>
  <c r="E580"/>
  <c r="E579" s="1"/>
  <c r="E578" s="1"/>
  <c r="E577" s="1"/>
  <c r="D576"/>
  <c r="D575"/>
  <c r="S574"/>
  <c r="S573" s="1"/>
  <c r="S572" s="1"/>
  <c r="R574"/>
  <c r="Q574"/>
  <c r="Q573" s="1"/>
  <c r="Q572" s="1"/>
  <c r="Q571" s="1"/>
  <c r="J574"/>
  <c r="J573" s="1"/>
  <c r="I574"/>
  <c r="H574"/>
  <c r="H573" s="1"/>
  <c r="H572" s="1"/>
  <c r="G574"/>
  <c r="G573" s="1"/>
  <c r="F574"/>
  <c r="E574"/>
  <c r="E573" s="1"/>
  <c r="E572" s="1"/>
  <c r="I573"/>
  <c r="I572" s="1"/>
  <c r="J565"/>
  <c r="K565" s="1"/>
  <c r="S564"/>
  <c r="R564"/>
  <c r="Q564"/>
  <c r="I564"/>
  <c r="H564"/>
  <c r="G564"/>
  <c r="F564"/>
  <c r="E564"/>
  <c r="D564"/>
  <c r="D563"/>
  <c r="D562" s="1"/>
  <c r="D561" s="1"/>
  <c r="D560" s="1"/>
  <c r="S562"/>
  <c r="S561" s="1"/>
  <c r="S560" s="1"/>
  <c r="R562"/>
  <c r="R561" s="1"/>
  <c r="R560" s="1"/>
  <c r="Q562"/>
  <c r="Q561" s="1"/>
  <c r="Q560" s="1"/>
  <c r="J562"/>
  <c r="J561" s="1"/>
  <c r="J560" s="1"/>
  <c r="I562"/>
  <c r="I561" s="1"/>
  <c r="I560" s="1"/>
  <c r="H562"/>
  <c r="H561" s="1"/>
  <c r="H560" s="1"/>
  <c r="G562"/>
  <c r="G561" s="1"/>
  <c r="G560" s="1"/>
  <c r="F562"/>
  <c r="F561" s="1"/>
  <c r="F560" s="1"/>
  <c r="E562"/>
  <c r="E561"/>
  <c r="E560" s="1"/>
  <c r="E559" s="1"/>
  <c r="S556"/>
  <c r="R556"/>
  <c r="Q556"/>
  <c r="J556"/>
  <c r="K556" s="1"/>
  <c r="I556"/>
  <c r="D556"/>
  <c r="D551"/>
  <c r="D550" s="1"/>
  <c r="D549" s="1"/>
  <c r="S550"/>
  <c r="S549" s="1"/>
  <c r="R550"/>
  <c r="R549" s="1"/>
  <c r="Q550"/>
  <c r="Q549" s="1"/>
  <c r="J550"/>
  <c r="J549" s="1"/>
  <c r="I550"/>
  <c r="I549" s="1"/>
  <c r="H550"/>
  <c r="H549" s="1"/>
  <c r="H548" s="1"/>
  <c r="G550"/>
  <c r="G549" s="1"/>
  <c r="G548" s="1"/>
  <c r="F550"/>
  <c r="F549" s="1"/>
  <c r="F548" s="1"/>
  <c r="E550"/>
  <c r="E549" s="1"/>
  <c r="E548" s="1"/>
  <c r="S544"/>
  <c r="S543" s="1"/>
  <c r="S542" s="1"/>
  <c r="R544"/>
  <c r="R543" s="1"/>
  <c r="R542" s="1"/>
  <c r="Q544"/>
  <c r="Q543" s="1"/>
  <c r="Q542" s="1"/>
  <c r="J544"/>
  <c r="J543" s="1"/>
  <c r="J542" s="1"/>
  <c r="J22" s="1"/>
  <c r="J128" s="1"/>
  <c r="I544"/>
  <c r="I543" s="1"/>
  <c r="I542" s="1"/>
  <c r="H544"/>
  <c r="H543" s="1"/>
  <c r="H542" s="1"/>
  <c r="H22" s="1"/>
  <c r="G544"/>
  <c r="G543" s="1"/>
  <c r="G542" s="1"/>
  <c r="G22" s="1"/>
  <c r="F544"/>
  <c r="F543" s="1"/>
  <c r="F542" s="1"/>
  <c r="F22" s="1"/>
  <c r="E544"/>
  <c r="E543" s="1"/>
  <c r="E542" s="1"/>
  <c r="D544"/>
  <c r="D543" s="1"/>
  <c r="D542" s="1"/>
  <c r="D22" s="1"/>
  <c r="S540"/>
  <c r="R540"/>
  <c r="Q540"/>
  <c r="J540"/>
  <c r="K540" s="1"/>
  <c r="I540"/>
  <c r="H540"/>
  <c r="G540"/>
  <c r="F540"/>
  <c r="E540"/>
  <c r="D540"/>
  <c r="S534"/>
  <c r="S533" s="1"/>
  <c r="R534"/>
  <c r="R533" s="1"/>
  <c r="Q534"/>
  <c r="Q533" s="1"/>
  <c r="J534"/>
  <c r="J533" s="1"/>
  <c r="I534"/>
  <c r="I533" s="1"/>
  <c r="H534"/>
  <c r="H533" s="1"/>
  <c r="G534"/>
  <c r="G533" s="1"/>
  <c r="F534"/>
  <c r="F533" s="1"/>
  <c r="E534"/>
  <c r="E533" s="1"/>
  <c r="D534"/>
  <c r="D533" s="1"/>
  <c r="S530"/>
  <c r="R530"/>
  <c r="Q530"/>
  <c r="J530"/>
  <c r="K530" s="1"/>
  <c r="I530"/>
  <c r="H530"/>
  <c r="G530"/>
  <c r="F530"/>
  <c r="E530"/>
  <c r="D530"/>
  <c r="S524"/>
  <c r="S523" s="1"/>
  <c r="R524"/>
  <c r="R523" s="1"/>
  <c r="Q524"/>
  <c r="Q523" s="1"/>
  <c r="J524"/>
  <c r="J523" s="1"/>
  <c r="K523" s="1"/>
  <c r="I524"/>
  <c r="I523" s="1"/>
  <c r="H524"/>
  <c r="H523" s="1"/>
  <c r="G524"/>
  <c r="G523" s="1"/>
  <c r="F524"/>
  <c r="F523" s="1"/>
  <c r="E524"/>
  <c r="E523" s="1"/>
  <c r="D524"/>
  <c r="D523" s="1"/>
  <c r="S520"/>
  <c r="R520"/>
  <c r="Q520"/>
  <c r="J520"/>
  <c r="K520" s="1"/>
  <c r="I520"/>
  <c r="H520"/>
  <c r="G520"/>
  <c r="F520"/>
  <c r="E520"/>
  <c r="D520"/>
  <c r="S514"/>
  <c r="S513" s="1"/>
  <c r="R514"/>
  <c r="R513" s="1"/>
  <c r="Q514"/>
  <c r="Q513" s="1"/>
  <c r="J514"/>
  <c r="J513" s="1"/>
  <c r="K513" s="1"/>
  <c r="I514"/>
  <c r="I513" s="1"/>
  <c r="H514"/>
  <c r="H513" s="1"/>
  <c r="G514"/>
  <c r="G513" s="1"/>
  <c r="F514"/>
  <c r="F513" s="1"/>
  <c r="E514"/>
  <c r="E513" s="1"/>
  <c r="D514"/>
  <c r="D513" s="1"/>
  <c r="S510"/>
  <c r="R510"/>
  <c r="Q510"/>
  <c r="J510"/>
  <c r="K510" s="1"/>
  <c r="I510"/>
  <c r="H510"/>
  <c r="G510"/>
  <c r="F510"/>
  <c r="E510"/>
  <c r="D510"/>
  <c r="S504"/>
  <c r="S503" s="1"/>
  <c r="R504"/>
  <c r="R503" s="1"/>
  <c r="Q504"/>
  <c r="Q503" s="1"/>
  <c r="J504"/>
  <c r="J503" s="1"/>
  <c r="I504"/>
  <c r="I503" s="1"/>
  <c r="H504"/>
  <c r="H503" s="1"/>
  <c r="G504"/>
  <c r="G503" s="1"/>
  <c r="F504"/>
  <c r="F503" s="1"/>
  <c r="E504"/>
  <c r="E503" s="1"/>
  <c r="D504"/>
  <c r="D503" s="1"/>
  <c r="J497"/>
  <c r="I497"/>
  <c r="I485" s="1"/>
  <c r="I475" s="1"/>
  <c r="H497"/>
  <c r="H485" s="1"/>
  <c r="H475" s="1"/>
  <c r="G497"/>
  <c r="G496" s="1"/>
  <c r="F497"/>
  <c r="F496" s="1"/>
  <c r="E497"/>
  <c r="E485" s="1"/>
  <c r="E475" s="1"/>
  <c r="D497"/>
  <c r="D496" s="1"/>
  <c r="S496"/>
  <c r="R496"/>
  <c r="Q496"/>
  <c r="D492"/>
  <c r="D482" s="1"/>
  <c r="D470" s="1"/>
  <c r="S489"/>
  <c r="S488" s="1"/>
  <c r="R489"/>
  <c r="Q489"/>
  <c r="Q488" s="1"/>
  <c r="J489"/>
  <c r="I489"/>
  <c r="H489"/>
  <c r="H488" s="1"/>
  <c r="G489"/>
  <c r="G488" s="1"/>
  <c r="F489"/>
  <c r="F488" s="1"/>
  <c r="E489"/>
  <c r="E488" s="1"/>
  <c r="S486"/>
  <c r="S476" s="1"/>
  <c r="R486"/>
  <c r="R476" s="1"/>
  <c r="Q486"/>
  <c r="Q476" s="1"/>
  <c r="J486"/>
  <c r="J476" s="1"/>
  <c r="K476" s="1"/>
  <c r="I486"/>
  <c r="I476" s="1"/>
  <c r="H486"/>
  <c r="H476" s="1"/>
  <c r="G486"/>
  <c r="G476" s="1"/>
  <c r="F486"/>
  <c r="F476" s="1"/>
  <c r="E486"/>
  <c r="E476" s="1"/>
  <c r="D486"/>
  <c r="D476" s="1"/>
  <c r="S485"/>
  <c r="S475" s="1"/>
  <c r="R485"/>
  <c r="R475" s="1"/>
  <c r="Q485"/>
  <c r="Q475" s="1"/>
  <c r="S483"/>
  <c r="S472" s="1"/>
  <c r="R483"/>
  <c r="R472" s="1"/>
  <c r="Q483"/>
  <c r="Q472" s="1"/>
  <c r="J483"/>
  <c r="J472" s="1"/>
  <c r="K472" s="1"/>
  <c r="I483"/>
  <c r="I472" s="1"/>
  <c r="H483"/>
  <c r="H472" s="1"/>
  <c r="G483"/>
  <c r="G472" s="1"/>
  <c r="G455" s="1"/>
  <c r="F483"/>
  <c r="F472" s="1"/>
  <c r="E483"/>
  <c r="E472" s="1"/>
  <c r="D483"/>
  <c r="D472" s="1"/>
  <c r="S482"/>
  <c r="S470" s="1"/>
  <c r="R482"/>
  <c r="R470" s="1"/>
  <c r="Q482"/>
  <c r="Q470" s="1"/>
  <c r="J482"/>
  <c r="J470" s="1"/>
  <c r="I482"/>
  <c r="I470" s="1"/>
  <c r="H482"/>
  <c r="H470" s="1"/>
  <c r="G482"/>
  <c r="G470" s="1"/>
  <c r="F482"/>
  <c r="F470" s="1"/>
  <c r="E482"/>
  <c r="E470" s="1"/>
  <c r="S481"/>
  <c r="R481"/>
  <c r="Q481"/>
  <c r="J481"/>
  <c r="K481" s="1"/>
  <c r="I481"/>
  <c r="H481"/>
  <c r="G481"/>
  <c r="F481"/>
  <c r="E481"/>
  <c r="D481"/>
  <c r="S480"/>
  <c r="S469" s="1"/>
  <c r="R480"/>
  <c r="Q480"/>
  <c r="Q469" s="1"/>
  <c r="J480"/>
  <c r="J469" s="1"/>
  <c r="I480"/>
  <c r="I469" s="1"/>
  <c r="H480"/>
  <c r="H469" s="1"/>
  <c r="G480"/>
  <c r="G469" s="1"/>
  <c r="F480"/>
  <c r="F469" s="1"/>
  <c r="E480"/>
  <c r="E469" s="1"/>
  <c r="E452" s="1"/>
  <c r="S473"/>
  <c r="S457" s="1"/>
  <c r="R473"/>
  <c r="R457" s="1"/>
  <c r="Q473"/>
  <c r="Q457" s="1"/>
  <c r="J473"/>
  <c r="K473" s="1"/>
  <c r="I473"/>
  <c r="I457" s="1"/>
  <c r="H473"/>
  <c r="H457" s="1"/>
  <c r="G473"/>
  <c r="G457" s="1"/>
  <c r="F473"/>
  <c r="F457" s="1"/>
  <c r="E473"/>
  <c r="E457" s="1"/>
  <c r="D473"/>
  <c r="D457" s="1"/>
  <c r="S471"/>
  <c r="R471"/>
  <c r="Q471"/>
  <c r="J471"/>
  <c r="K471" s="1"/>
  <c r="I471"/>
  <c r="H471"/>
  <c r="G471"/>
  <c r="F471"/>
  <c r="E471"/>
  <c r="D471"/>
  <c r="R469"/>
  <c r="S462"/>
  <c r="R462"/>
  <c r="Q462"/>
  <c r="J462"/>
  <c r="K462" s="1"/>
  <c r="I462"/>
  <c r="H462"/>
  <c r="G462"/>
  <c r="F462"/>
  <c r="E462"/>
  <c r="D462"/>
  <c r="S460"/>
  <c r="S234" s="1"/>
  <c r="R460"/>
  <c r="Q460"/>
  <c r="Q234" s="1"/>
  <c r="J460"/>
  <c r="I460"/>
  <c r="I234" s="1"/>
  <c r="H460"/>
  <c r="H234" s="1"/>
  <c r="G460"/>
  <c r="F460"/>
  <c r="E460"/>
  <c r="E234" s="1"/>
  <c r="D460"/>
  <c r="D234" s="1"/>
  <c r="S459"/>
  <c r="S233" s="1"/>
  <c r="R459"/>
  <c r="R233" s="1"/>
  <c r="Q459"/>
  <c r="Q233" s="1"/>
  <c r="I459"/>
  <c r="I233" s="1"/>
  <c r="H459"/>
  <c r="H233" s="1"/>
  <c r="G459"/>
  <c r="G233" s="1"/>
  <c r="F459"/>
  <c r="E459"/>
  <c r="E233" s="1"/>
  <c r="D459"/>
  <c r="I456"/>
  <c r="G456"/>
  <c r="S445"/>
  <c r="R445"/>
  <c r="Q445"/>
  <c r="J445"/>
  <c r="K445" s="1"/>
  <c r="I445"/>
  <c r="H445"/>
  <c r="G445"/>
  <c r="F445"/>
  <c r="E445"/>
  <c r="D445"/>
  <c r="D443"/>
  <c r="D441" s="1"/>
  <c r="D440" s="1"/>
  <c r="S441"/>
  <c r="S440" s="1"/>
  <c r="R441"/>
  <c r="R440" s="1"/>
  <c r="Q441"/>
  <c r="Q440" s="1"/>
  <c r="J441"/>
  <c r="J440" s="1"/>
  <c r="I441"/>
  <c r="I440" s="1"/>
  <c r="H441"/>
  <c r="H440" s="1"/>
  <c r="G441"/>
  <c r="G440" s="1"/>
  <c r="G439" s="1"/>
  <c r="G438" s="1"/>
  <c r="F441"/>
  <c r="F440" s="1"/>
  <c r="E441"/>
  <c r="E440" s="1"/>
  <c r="J436"/>
  <c r="K436" s="1"/>
  <c r="I436"/>
  <c r="S434"/>
  <c r="S432" s="1"/>
  <c r="R434"/>
  <c r="R433" s="1"/>
  <c r="Q434"/>
  <c r="Q433" s="1"/>
  <c r="J434"/>
  <c r="J433" s="1"/>
  <c r="I434"/>
  <c r="I433" s="1"/>
  <c r="H434"/>
  <c r="H432" s="1"/>
  <c r="G434"/>
  <c r="G432" s="1"/>
  <c r="F434"/>
  <c r="F433" s="1"/>
  <c r="E434"/>
  <c r="E433" s="1"/>
  <c r="D434"/>
  <c r="D433" s="1"/>
  <c r="S428"/>
  <c r="S421" s="1"/>
  <c r="R428"/>
  <c r="R421" s="1"/>
  <c r="Q428"/>
  <c r="Q427" s="1"/>
  <c r="J428"/>
  <c r="I428"/>
  <c r="I427" s="1"/>
  <c r="H428"/>
  <c r="H427" s="1"/>
  <c r="G428"/>
  <c r="G421" s="1"/>
  <c r="F428"/>
  <c r="F421" s="1"/>
  <c r="E428"/>
  <c r="E427" s="1"/>
  <c r="D428"/>
  <c r="D427" s="1"/>
  <c r="D426"/>
  <c r="D425" s="1"/>
  <c r="S425"/>
  <c r="S424" s="1"/>
  <c r="R425"/>
  <c r="Q425"/>
  <c r="Q424" s="1"/>
  <c r="J425"/>
  <c r="J424" s="1"/>
  <c r="I425"/>
  <c r="I424" s="1"/>
  <c r="H425"/>
  <c r="G425"/>
  <c r="G424" s="1"/>
  <c r="F425"/>
  <c r="F424" s="1"/>
  <c r="E425"/>
  <c r="E424" s="1"/>
  <c r="S419"/>
  <c r="R419"/>
  <c r="Q419"/>
  <c r="J419"/>
  <c r="K419" s="1"/>
  <c r="I419"/>
  <c r="H419"/>
  <c r="G419"/>
  <c r="F419"/>
  <c r="E419"/>
  <c r="D419"/>
  <c r="S418"/>
  <c r="R418"/>
  <c r="Q418"/>
  <c r="J418"/>
  <c r="K418" s="1"/>
  <c r="I418"/>
  <c r="H418"/>
  <c r="G418"/>
  <c r="F418"/>
  <c r="E418"/>
  <c r="S417"/>
  <c r="R417"/>
  <c r="Q417"/>
  <c r="J417"/>
  <c r="K417" s="1"/>
  <c r="I417"/>
  <c r="H417"/>
  <c r="G417"/>
  <c r="F417"/>
  <c r="E417"/>
  <c r="D417"/>
  <c r="S411"/>
  <c r="R411"/>
  <c r="R409" s="1"/>
  <c r="R407" s="1"/>
  <c r="Q411"/>
  <c r="Q409" s="1"/>
  <c r="J411"/>
  <c r="J409" s="1"/>
  <c r="J408" s="1"/>
  <c r="I411"/>
  <c r="I246" s="1"/>
  <c r="I222" s="1"/>
  <c r="H411"/>
  <c r="H409" s="1"/>
  <c r="G411"/>
  <c r="F411"/>
  <c r="F409" s="1"/>
  <c r="E411"/>
  <c r="E409" s="1"/>
  <c r="D411"/>
  <c r="D246" s="1"/>
  <c r="D222" s="1"/>
  <c r="S405"/>
  <c r="S404" s="1"/>
  <c r="S403" s="1"/>
  <c r="R405"/>
  <c r="R404" s="1"/>
  <c r="R403" s="1"/>
  <c r="Q405"/>
  <c r="Q404" s="1"/>
  <c r="Q403" s="1"/>
  <c r="D405"/>
  <c r="D404" s="1"/>
  <c r="D403" s="1"/>
  <c r="D399"/>
  <c r="S396"/>
  <c r="S395" s="1"/>
  <c r="R396"/>
  <c r="R395" s="1"/>
  <c r="R252" s="1"/>
  <c r="R229" s="1"/>
  <c r="Q396"/>
  <c r="Q395" s="1"/>
  <c r="J396"/>
  <c r="J395" s="1"/>
  <c r="K395" s="1"/>
  <c r="I396"/>
  <c r="I395" s="1"/>
  <c r="H396"/>
  <c r="H395" s="1"/>
  <c r="G396"/>
  <c r="G395" s="1"/>
  <c r="F396"/>
  <c r="F395" s="1"/>
  <c r="F252" s="1"/>
  <c r="F229" s="1"/>
  <c r="E396"/>
  <c r="E395" s="1"/>
  <c r="D396"/>
  <c r="D395" s="1"/>
  <c r="S391"/>
  <c r="R391"/>
  <c r="Q391"/>
  <c r="J391"/>
  <c r="K391" s="1"/>
  <c r="I391"/>
  <c r="H391"/>
  <c r="G391"/>
  <c r="F391"/>
  <c r="E391"/>
  <c r="D391"/>
  <c r="D389"/>
  <c r="D387" s="1"/>
  <c r="S387"/>
  <c r="S386" s="1"/>
  <c r="S385" s="1"/>
  <c r="R387"/>
  <c r="R386" s="1"/>
  <c r="Q387"/>
  <c r="Q386" s="1"/>
  <c r="Q385" s="1"/>
  <c r="J387"/>
  <c r="J248" s="1"/>
  <c r="I387"/>
  <c r="I386" s="1"/>
  <c r="I385" s="1"/>
  <c r="H387"/>
  <c r="H386" s="1"/>
  <c r="H385" s="1"/>
  <c r="G387"/>
  <c r="G248" s="1"/>
  <c r="F387"/>
  <c r="F248" s="1"/>
  <c r="E387"/>
  <c r="E386" s="1"/>
  <c r="E385" s="1"/>
  <c r="E384" s="1"/>
  <c r="D383"/>
  <c r="D382" s="1"/>
  <c r="D381" s="1"/>
  <c r="D380" s="1"/>
  <c r="S382"/>
  <c r="S381" s="1"/>
  <c r="S380" s="1"/>
  <c r="R382"/>
  <c r="R381" s="1"/>
  <c r="R380" s="1"/>
  <c r="Q382"/>
  <c r="Q381" s="1"/>
  <c r="Q380" s="1"/>
  <c r="J382"/>
  <c r="J381" s="1"/>
  <c r="J380" s="1"/>
  <c r="K380" s="1"/>
  <c r="I382"/>
  <c r="I381" s="1"/>
  <c r="I380" s="1"/>
  <c r="H382"/>
  <c r="H381" s="1"/>
  <c r="H380" s="1"/>
  <c r="G382"/>
  <c r="G381" s="1"/>
  <c r="G380" s="1"/>
  <c r="F382"/>
  <c r="F381" s="1"/>
  <c r="F380" s="1"/>
  <c r="E382"/>
  <c r="E381" s="1"/>
  <c r="E380" s="1"/>
  <c r="S375"/>
  <c r="S374" s="1"/>
  <c r="S373" s="1"/>
  <c r="R375"/>
  <c r="R374" s="1"/>
  <c r="R373" s="1"/>
  <c r="Q375"/>
  <c r="Q374" s="1"/>
  <c r="Q373" s="1"/>
  <c r="J375"/>
  <c r="J374" s="1"/>
  <c r="J373" s="1"/>
  <c r="I375"/>
  <c r="I374" s="1"/>
  <c r="I373" s="1"/>
  <c r="H375"/>
  <c r="H374" s="1"/>
  <c r="H373" s="1"/>
  <c r="G375"/>
  <c r="G374" s="1"/>
  <c r="G373" s="1"/>
  <c r="F375"/>
  <c r="F374" s="1"/>
  <c r="F373" s="1"/>
  <c r="E375"/>
  <c r="E374" s="1"/>
  <c r="E373" s="1"/>
  <c r="S369"/>
  <c r="S368" s="1"/>
  <c r="S367" s="1"/>
  <c r="R369"/>
  <c r="R368" s="1"/>
  <c r="R367" s="1"/>
  <c r="Q369"/>
  <c r="Q368" s="1"/>
  <c r="Q367" s="1"/>
  <c r="J369"/>
  <c r="J368" s="1"/>
  <c r="J367" s="1"/>
  <c r="K367" s="1"/>
  <c r="I369"/>
  <c r="I368" s="1"/>
  <c r="I367" s="1"/>
  <c r="H369"/>
  <c r="H368" s="1"/>
  <c r="H367" s="1"/>
  <c r="G369"/>
  <c r="G368" s="1"/>
  <c r="G367" s="1"/>
  <c r="F369"/>
  <c r="F368" s="1"/>
  <c r="F367" s="1"/>
  <c r="E369"/>
  <c r="E368" s="1"/>
  <c r="E367" s="1"/>
  <c r="S363"/>
  <c r="S362" s="1"/>
  <c r="S361" s="1"/>
  <c r="R363"/>
  <c r="R362" s="1"/>
  <c r="R361" s="1"/>
  <c r="Q363"/>
  <c r="Q362" s="1"/>
  <c r="Q361" s="1"/>
  <c r="J363"/>
  <c r="J362" s="1"/>
  <c r="J361" s="1"/>
  <c r="I363"/>
  <c r="I362" s="1"/>
  <c r="I361" s="1"/>
  <c r="H363"/>
  <c r="H362" s="1"/>
  <c r="H361" s="1"/>
  <c r="G363"/>
  <c r="G362" s="1"/>
  <c r="G361" s="1"/>
  <c r="F363"/>
  <c r="E363"/>
  <c r="E362" s="1"/>
  <c r="E361" s="1"/>
  <c r="D361"/>
  <c r="S357"/>
  <c r="S356" s="1"/>
  <c r="S355" s="1"/>
  <c r="R357"/>
  <c r="R356" s="1"/>
  <c r="R355" s="1"/>
  <c r="Q357"/>
  <c r="Q356" s="1"/>
  <c r="Q355" s="1"/>
  <c r="J357"/>
  <c r="J356" s="1"/>
  <c r="J355" s="1"/>
  <c r="I357"/>
  <c r="I356" s="1"/>
  <c r="I355" s="1"/>
  <c r="H357"/>
  <c r="H356" s="1"/>
  <c r="H355" s="1"/>
  <c r="G357"/>
  <c r="G356" s="1"/>
  <c r="G355" s="1"/>
  <c r="F357"/>
  <c r="F356" s="1"/>
  <c r="F355" s="1"/>
  <c r="E357"/>
  <c r="E356" s="1"/>
  <c r="E355" s="1"/>
  <c r="D357"/>
  <c r="D356" s="1"/>
  <c r="D355" s="1"/>
  <c r="S351"/>
  <c r="S350" s="1"/>
  <c r="S349" s="1"/>
  <c r="R351"/>
  <c r="R350" s="1"/>
  <c r="R349" s="1"/>
  <c r="Q351"/>
  <c r="Q350" s="1"/>
  <c r="Q349" s="1"/>
  <c r="J351"/>
  <c r="J350" s="1"/>
  <c r="J349" s="1"/>
  <c r="I351"/>
  <c r="I350" s="1"/>
  <c r="I349" s="1"/>
  <c r="H351"/>
  <c r="H350" s="1"/>
  <c r="H349" s="1"/>
  <c r="G351"/>
  <c r="G350" s="1"/>
  <c r="G349" s="1"/>
  <c r="F351"/>
  <c r="F350" s="1"/>
  <c r="F349" s="1"/>
  <c r="E351"/>
  <c r="E350" s="1"/>
  <c r="E349" s="1"/>
  <c r="D351"/>
  <c r="D350" s="1"/>
  <c r="D349" s="1"/>
  <c r="S345"/>
  <c r="S344" s="1"/>
  <c r="S343" s="1"/>
  <c r="R345"/>
  <c r="R344" s="1"/>
  <c r="R343" s="1"/>
  <c r="Q345"/>
  <c r="Q344" s="1"/>
  <c r="Q343" s="1"/>
  <c r="J345"/>
  <c r="I345"/>
  <c r="I344" s="1"/>
  <c r="I343" s="1"/>
  <c r="H345"/>
  <c r="H344" s="1"/>
  <c r="H343" s="1"/>
  <c r="G345"/>
  <c r="G344" s="1"/>
  <c r="G343" s="1"/>
  <c r="F345"/>
  <c r="F344" s="1"/>
  <c r="F343" s="1"/>
  <c r="E345"/>
  <c r="E344" s="1"/>
  <c r="E343" s="1"/>
  <c r="D345"/>
  <c r="D344" s="1"/>
  <c r="D343" s="1"/>
  <c r="S339"/>
  <c r="S338" s="1"/>
  <c r="S337" s="1"/>
  <c r="R339"/>
  <c r="R338" s="1"/>
  <c r="R337" s="1"/>
  <c r="Q339"/>
  <c r="Q338" s="1"/>
  <c r="Q337" s="1"/>
  <c r="J339"/>
  <c r="I339"/>
  <c r="I338" s="1"/>
  <c r="I337" s="1"/>
  <c r="H339"/>
  <c r="H338" s="1"/>
  <c r="H337" s="1"/>
  <c r="G339"/>
  <c r="G338" s="1"/>
  <c r="G337" s="1"/>
  <c r="F339"/>
  <c r="F338" s="1"/>
  <c r="F337" s="1"/>
  <c r="E339"/>
  <c r="E338" s="1"/>
  <c r="E337" s="1"/>
  <c r="D339"/>
  <c r="D338" s="1"/>
  <c r="D337" s="1"/>
  <c r="S333"/>
  <c r="S332" s="1"/>
  <c r="S331" s="1"/>
  <c r="R333"/>
  <c r="R332" s="1"/>
  <c r="R331" s="1"/>
  <c r="Q333"/>
  <c r="J333"/>
  <c r="I333"/>
  <c r="H333"/>
  <c r="H332" s="1"/>
  <c r="H331" s="1"/>
  <c r="G333"/>
  <c r="F333"/>
  <c r="F332" s="1"/>
  <c r="F331" s="1"/>
  <c r="E333"/>
  <c r="E332" s="1"/>
  <c r="E331" s="1"/>
  <c r="D333"/>
  <c r="D332" s="1"/>
  <c r="D331" s="1"/>
  <c r="S327"/>
  <c r="S326" s="1"/>
  <c r="S325" s="1"/>
  <c r="R327"/>
  <c r="R326" s="1"/>
  <c r="R325" s="1"/>
  <c r="Q327"/>
  <c r="Q326" s="1"/>
  <c r="Q325" s="1"/>
  <c r="J327"/>
  <c r="J326" s="1"/>
  <c r="J325" s="1"/>
  <c r="I327"/>
  <c r="I326" s="1"/>
  <c r="I325" s="1"/>
  <c r="H327"/>
  <c r="H326" s="1"/>
  <c r="H325" s="1"/>
  <c r="G327"/>
  <c r="G326" s="1"/>
  <c r="G325" s="1"/>
  <c r="F327"/>
  <c r="F326" s="1"/>
  <c r="F325" s="1"/>
  <c r="E327"/>
  <c r="E326" s="1"/>
  <c r="E325" s="1"/>
  <c r="D327"/>
  <c r="D326" s="1"/>
  <c r="D325" s="1"/>
  <c r="D324"/>
  <c r="D280" s="1"/>
  <c r="S323"/>
  <c r="S279" s="1"/>
  <c r="S98" s="1"/>
  <c r="S97" s="1"/>
  <c r="S203" s="1"/>
  <c r="R323"/>
  <c r="R321" s="1"/>
  <c r="R320" s="1"/>
  <c r="R319" s="1"/>
  <c r="Q321"/>
  <c r="J321"/>
  <c r="K321" s="1"/>
  <c r="I321"/>
  <c r="I320" s="1"/>
  <c r="I319" s="1"/>
  <c r="H321"/>
  <c r="H320" s="1"/>
  <c r="H319" s="1"/>
  <c r="G321"/>
  <c r="G320" s="1"/>
  <c r="G319" s="1"/>
  <c r="F321"/>
  <c r="F320" s="1"/>
  <c r="F319" s="1"/>
  <c r="E321"/>
  <c r="E320" s="1"/>
  <c r="E319" s="1"/>
  <c r="S315"/>
  <c r="S314" s="1"/>
  <c r="S313" s="1"/>
  <c r="R315"/>
  <c r="R314" s="1"/>
  <c r="R313" s="1"/>
  <c r="Q315"/>
  <c r="Q314" s="1"/>
  <c r="Q313" s="1"/>
  <c r="J315"/>
  <c r="J314" s="1"/>
  <c r="J313" s="1"/>
  <c r="I315"/>
  <c r="I314" s="1"/>
  <c r="I313" s="1"/>
  <c r="H315"/>
  <c r="H314" s="1"/>
  <c r="H313" s="1"/>
  <c r="G315"/>
  <c r="G314" s="1"/>
  <c r="G313" s="1"/>
  <c r="F315"/>
  <c r="F314" s="1"/>
  <c r="F313" s="1"/>
  <c r="E315"/>
  <c r="E314" s="1"/>
  <c r="E313" s="1"/>
  <c r="D315"/>
  <c r="D314" s="1"/>
  <c r="D313" s="1"/>
  <c r="S309"/>
  <c r="S308" s="1"/>
  <c r="S307" s="1"/>
  <c r="R309"/>
  <c r="R308" s="1"/>
  <c r="R307" s="1"/>
  <c r="Q309"/>
  <c r="Q308" s="1"/>
  <c r="Q307" s="1"/>
  <c r="J309"/>
  <c r="J308" s="1"/>
  <c r="J307" s="1"/>
  <c r="I309"/>
  <c r="I308" s="1"/>
  <c r="I307" s="1"/>
  <c r="H309"/>
  <c r="G309"/>
  <c r="G308" s="1"/>
  <c r="G307" s="1"/>
  <c r="F309"/>
  <c r="F308" s="1"/>
  <c r="F307" s="1"/>
  <c r="E309"/>
  <c r="E308" s="1"/>
  <c r="E307" s="1"/>
  <c r="D309"/>
  <c r="D308" s="1"/>
  <c r="D307" s="1"/>
  <c r="S303"/>
  <c r="S302" s="1"/>
  <c r="S301" s="1"/>
  <c r="R303"/>
  <c r="R302" s="1"/>
  <c r="R301" s="1"/>
  <c r="Q303"/>
  <c r="Q302" s="1"/>
  <c r="Q301" s="1"/>
  <c r="J303"/>
  <c r="J302" s="1"/>
  <c r="J301" s="1"/>
  <c r="I303"/>
  <c r="I302" s="1"/>
  <c r="I301" s="1"/>
  <c r="H303"/>
  <c r="H302" s="1"/>
  <c r="H301" s="1"/>
  <c r="G303"/>
  <c r="G302" s="1"/>
  <c r="G301" s="1"/>
  <c r="F303"/>
  <c r="F302" s="1"/>
  <c r="F301" s="1"/>
  <c r="E303"/>
  <c r="E302" s="1"/>
  <c r="E301" s="1"/>
  <c r="D303"/>
  <c r="D302" s="1"/>
  <c r="D301" s="1"/>
  <c r="Q290"/>
  <c r="D285"/>
  <c r="D260" s="1"/>
  <c r="S284"/>
  <c r="R284"/>
  <c r="Q284"/>
  <c r="J284"/>
  <c r="K284" s="1"/>
  <c r="I284"/>
  <c r="H284"/>
  <c r="G284"/>
  <c r="F284"/>
  <c r="E284"/>
  <c r="D284"/>
  <c r="S283"/>
  <c r="S102" s="1"/>
  <c r="R283"/>
  <c r="R102" s="1"/>
  <c r="R208" s="1"/>
  <c r="Q283"/>
  <c r="Q102" s="1"/>
  <c r="J283"/>
  <c r="J102" s="1"/>
  <c r="J101" s="1"/>
  <c r="I283"/>
  <c r="I102" s="1"/>
  <c r="H283"/>
  <c r="G283"/>
  <c r="F283"/>
  <c r="E283"/>
  <c r="D283"/>
  <c r="S282"/>
  <c r="R282"/>
  <c r="Q282"/>
  <c r="J282"/>
  <c r="K282" s="1"/>
  <c r="I282"/>
  <c r="H282"/>
  <c r="G282"/>
  <c r="F282"/>
  <c r="E282"/>
  <c r="D282"/>
  <c r="S280"/>
  <c r="R280"/>
  <c r="Q280"/>
  <c r="J280"/>
  <c r="K280" s="1"/>
  <c r="I280"/>
  <c r="H280"/>
  <c r="G280"/>
  <c r="F280"/>
  <c r="E280"/>
  <c r="R279"/>
  <c r="R98" s="1"/>
  <c r="R97" s="1"/>
  <c r="R203" s="1"/>
  <c r="Q279"/>
  <c r="J279"/>
  <c r="I279"/>
  <c r="I98" s="1"/>
  <c r="I97" s="1"/>
  <c r="H279"/>
  <c r="G279"/>
  <c r="F279"/>
  <c r="E279"/>
  <c r="D279"/>
  <c r="S278"/>
  <c r="R278"/>
  <c r="Q278"/>
  <c r="J278"/>
  <c r="I278"/>
  <c r="H278"/>
  <c r="G278"/>
  <c r="F278"/>
  <c r="E278"/>
  <c r="D278"/>
  <c r="S271"/>
  <c r="R271"/>
  <c r="Q271"/>
  <c r="D271"/>
  <c r="D265"/>
  <c r="D245" s="1"/>
  <c r="D264"/>
  <c r="D244" s="1"/>
  <c r="S263"/>
  <c r="S262" s="1"/>
  <c r="R263"/>
  <c r="R262" s="1"/>
  <c r="Q263"/>
  <c r="Q262" s="1"/>
  <c r="J263"/>
  <c r="I263"/>
  <c r="I262" s="1"/>
  <c r="H263"/>
  <c r="H262" s="1"/>
  <c r="G263"/>
  <c r="G262" s="1"/>
  <c r="F263"/>
  <c r="F262" s="1"/>
  <c r="E263"/>
  <c r="E262" s="1"/>
  <c r="S260"/>
  <c r="R260"/>
  <c r="Q260"/>
  <c r="J260"/>
  <c r="K260" s="1"/>
  <c r="I260"/>
  <c r="H260"/>
  <c r="G260"/>
  <c r="F260"/>
  <c r="E260"/>
  <c r="S258"/>
  <c r="R258"/>
  <c r="Q258"/>
  <c r="J258"/>
  <c r="K258" s="1"/>
  <c r="I258"/>
  <c r="H258"/>
  <c r="G258"/>
  <c r="F258"/>
  <c r="E258"/>
  <c r="D258"/>
  <c r="S257"/>
  <c r="R257"/>
  <c r="Q257"/>
  <c r="J257"/>
  <c r="K257" s="1"/>
  <c r="I257"/>
  <c r="H257"/>
  <c r="G257"/>
  <c r="F257"/>
  <c r="E257"/>
  <c r="D257"/>
  <c r="S256"/>
  <c r="R256"/>
  <c r="Q256"/>
  <c r="J256"/>
  <c r="K256" s="1"/>
  <c r="I256"/>
  <c r="H256"/>
  <c r="G256"/>
  <c r="F256"/>
  <c r="E256"/>
  <c r="D256"/>
  <c r="S255"/>
  <c r="R255"/>
  <c r="Q255"/>
  <c r="J255"/>
  <c r="K255" s="1"/>
  <c r="I255"/>
  <c r="H255"/>
  <c r="G255"/>
  <c r="F255"/>
  <c r="E255"/>
  <c r="D255"/>
  <c r="S253"/>
  <c r="R253"/>
  <c r="Q253"/>
  <c r="J253"/>
  <c r="I253"/>
  <c r="H253"/>
  <c r="G253"/>
  <c r="G230" s="1"/>
  <c r="F253"/>
  <c r="E253"/>
  <c r="D253"/>
  <c r="S251"/>
  <c r="R251"/>
  <c r="Q251"/>
  <c r="J251"/>
  <c r="K251" s="1"/>
  <c r="I251"/>
  <c r="H251"/>
  <c r="G251"/>
  <c r="F251"/>
  <c r="E251"/>
  <c r="D251"/>
  <c r="S250"/>
  <c r="R250"/>
  <c r="Q250"/>
  <c r="J250"/>
  <c r="K250" s="1"/>
  <c r="I250"/>
  <c r="H250"/>
  <c r="G250"/>
  <c r="G227" s="1"/>
  <c r="F250"/>
  <c r="E250"/>
  <c r="D250"/>
  <c r="S249"/>
  <c r="S226" s="1"/>
  <c r="R249"/>
  <c r="R226" s="1"/>
  <c r="Q249"/>
  <c r="Q226" s="1"/>
  <c r="J249"/>
  <c r="I249"/>
  <c r="I226" s="1"/>
  <c r="H249"/>
  <c r="H226" s="1"/>
  <c r="G249"/>
  <c r="G226" s="1"/>
  <c r="F249"/>
  <c r="F226" s="1"/>
  <c r="E249"/>
  <c r="E226" s="1"/>
  <c r="D249"/>
  <c r="D226" s="1"/>
  <c r="E248"/>
  <c r="S247"/>
  <c r="S224" s="1"/>
  <c r="R247"/>
  <c r="R224" s="1"/>
  <c r="Q247"/>
  <c r="Q224" s="1"/>
  <c r="J247"/>
  <c r="J224" s="1"/>
  <c r="I247"/>
  <c r="I224" s="1"/>
  <c r="H247"/>
  <c r="H224" s="1"/>
  <c r="G247"/>
  <c r="G224" s="1"/>
  <c r="F247"/>
  <c r="F224" s="1"/>
  <c r="E247"/>
  <c r="E224" s="1"/>
  <c r="D247"/>
  <c r="D224" s="1"/>
  <c r="Q246"/>
  <c r="Q222" s="1"/>
  <c r="J246"/>
  <c r="J222" s="1"/>
  <c r="S245"/>
  <c r="R245"/>
  <c r="Q245"/>
  <c r="J245"/>
  <c r="K245" s="1"/>
  <c r="I245"/>
  <c r="H245"/>
  <c r="G245"/>
  <c r="F245"/>
  <c r="E245"/>
  <c r="S244"/>
  <c r="R244"/>
  <c r="Q244"/>
  <c r="J244"/>
  <c r="K244" s="1"/>
  <c r="I244"/>
  <c r="H244"/>
  <c r="G244"/>
  <c r="F244"/>
  <c r="E244"/>
  <c r="D240"/>
  <c r="R234"/>
  <c r="G234"/>
  <c r="F234"/>
  <c r="D233"/>
  <c r="H212"/>
  <c r="F212"/>
  <c r="S209"/>
  <c r="R209"/>
  <c r="Q209"/>
  <c r="D209"/>
  <c r="H208"/>
  <c r="H207" s="1"/>
  <c r="G208"/>
  <c r="G207" s="1"/>
  <c r="F208"/>
  <c r="F207" s="1"/>
  <c r="E208"/>
  <c r="E207" s="1"/>
  <c r="E200"/>
  <c r="S199"/>
  <c r="R199"/>
  <c r="Q199"/>
  <c r="J199"/>
  <c r="K199" s="1"/>
  <c r="I199"/>
  <c r="G199"/>
  <c r="E199"/>
  <c r="H198"/>
  <c r="G198"/>
  <c r="F198"/>
  <c r="E198"/>
  <c r="S197"/>
  <c r="R197"/>
  <c r="Q197"/>
  <c r="J197"/>
  <c r="K197" s="1"/>
  <c r="I197"/>
  <c r="H197"/>
  <c r="G197"/>
  <c r="F197"/>
  <c r="E197"/>
  <c r="D197"/>
  <c r="S195"/>
  <c r="R195"/>
  <c r="Q195"/>
  <c r="J195"/>
  <c r="K195" s="1"/>
  <c r="I195"/>
  <c r="H195"/>
  <c r="G195"/>
  <c r="F195"/>
  <c r="E195"/>
  <c r="D195"/>
  <c r="S192"/>
  <c r="R192"/>
  <c r="Q192"/>
  <c r="J192"/>
  <c r="K192" s="1"/>
  <c r="I192"/>
  <c r="H192"/>
  <c r="G192"/>
  <c r="F192"/>
  <c r="E192"/>
  <c r="D192"/>
  <c r="S184"/>
  <c r="R184"/>
  <c r="Q184"/>
  <c r="D184"/>
  <c r="S180"/>
  <c r="R180"/>
  <c r="Q180"/>
  <c r="J180"/>
  <c r="K180" s="1"/>
  <c r="I180"/>
  <c r="H180"/>
  <c r="G180"/>
  <c r="F180"/>
  <c r="E180"/>
  <c r="S177"/>
  <c r="R177"/>
  <c r="Q177"/>
  <c r="D177"/>
  <c r="J174"/>
  <c r="K174" s="1"/>
  <c r="I174"/>
  <c r="H174"/>
  <c r="G174"/>
  <c r="F174"/>
  <c r="E174"/>
  <c r="S173"/>
  <c r="R173"/>
  <c r="Q173"/>
  <c r="J173"/>
  <c r="K173" s="1"/>
  <c r="I173"/>
  <c r="H173"/>
  <c r="G173"/>
  <c r="F173"/>
  <c r="E173"/>
  <c r="D173"/>
  <c r="H172"/>
  <c r="F172"/>
  <c r="E172"/>
  <c r="D164"/>
  <c r="H162"/>
  <c r="H183" s="1"/>
  <c r="H182" s="1"/>
  <c r="G162"/>
  <c r="G183" s="1"/>
  <c r="G182" s="1"/>
  <c r="F162"/>
  <c r="F183" s="1"/>
  <c r="F182" s="1"/>
  <c r="E162"/>
  <c r="E183" s="1"/>
  <c r="E182" s="1"/>
  <c r="S161"/>
  <c r="R161"/>
  <c r="Q161"/>
  <c r="J161"/>
  <c r="K161" s="1"/>
  <c r="I161"/>
  <c r="H161"/>
  <c r="H160" s="1"/>
  <c r="G161"/>
  <c r="F161"/>
  <c r="E161"/>
  <c r="S159"/>
  <c r="R159"/>
  <c r="Q159"/>
  <c r="J159"/>
  <c r="I159"/>
  <c r="H159"/>
  <c r="G159"/>
  <c r="F159"/>
  <c r="E159"/>
  <c r="D159"/>
  <c r="S158"/>
  <c r="R158"/>
  <c r="Q158"/>
  <c r="J158"/>
  <c r="K158" s="1"/>
  <c r="I158"/>
  <c r="H158"/>
  <c r="G158"/>
  <c r="F158"/>
  <c r="E158"/>
  <c r="D158"/>
  <c r="S156"/>
  <c r="S155" s="1"/>
  <c r="R156"/>
  <c r="R155" s="1"/>
  <c r="Q156"/>
  <c r="Q155" s="1"/>
  <c r="J156"/>
  <c r="J155" s="1"/>
  <c r="K155" s="1"/>
  <c r="I156"/>
  <c r="I155" s="1"/>
  <c r="H156"/>
  <c r="H155" s="1"/>
  <c r="G156"/>
  <c r="G155" s="1"/>
  <c r="F156"/>
  <c r="F155" s="1"/>
  <c r="E156"/>
  <c r="E155" s="1"/>
  <c r="D156"/>
  <c r="D155" s="1"/>
  <c r="S154"/>
  <c r="R154"/>
  <c r="Q154"/>
  <c r="J154"/>
  <c r="K154" s="1"/>
  <c r="I154"/>
  <c r="H154"/>
  <c r="G154"/>
  <c r="F154"/>
  <c r="E154"/>
  <c r="D154"/>
  <c r="S152"/>
  <c r="R152"/>
  <c r="Q152"/>
  <c r="J152"/>
  <c r="K152" s="1"/>
  <c r="I152"/>
  <c r="H152"/>
  <c r="G152"/>
  <c r="F152"/>
  <c r="D152"/>
  <c r="S151"/>
  <c r="R151"/>
  <c r="Q151"/>
  <c r="J151"/>
  <c r="K151" s="1"/>
  <c r="I151"/>
  <c r="H151"/>
  <c r="G151"/>
  <c r="F151"/>
  <c r="E151"/>
  <c r="S149"/>
  <c r="S148" s="1"/>
  <c r="R149"/>
  <c r="R148" s="1"/>
  <c r="Q149"/>
  <c r="Q148" s="1"/>
  <c r="J149"/>
  <c r="J148" s="1"/>
  <c r="K148" s="1"/>
  <c r="I149"/>
  <c r="I148" s="1"/>
  <c r="H149"/>
  <c r="H148" s="1"/>
  <c r="G149"/>
  <c r="G148" s="1"/>
  <c r="F149"/>
  <c r="F148" s="1"/>
  <c r="E149"/>
  <c r="E148" s="1"/>
  <c r="D149"/>
  <c r="D148" s="1"/>
  <c r="S146"/>
  <c r="R146"/>
  <c r="Q146"/>
  <c r="J146"/>
  <c r="K146" s="1"/>
  <c r="I146"/>
  <c r="H146"/>
  <c r="G146"/>
  <c r="F146"/>
  <c r="E146"/>
  <c r="D146"/>
  <c r="S142"/>
  <c r="R142"/>
  <c r="Q142"/>
  <c r="J142"/>
  <c r="I142"/>
  <c r="H142"/>
  <c r="G142"/>
  <c r="F142"/>
  <c r="E142"/>
  <c r="S141"/>
  <c r="R141"/>
  <c r="Q141"/>
  <c r="J141"/>
  <c r="K141" s="1"/>
  <c r="I141"/>
  <c r="H141"/>
  <c r="G141"/>
  <c r="F141"/>
  <c r="E141"/>
  <c r="D141"/>
  <c r="S140"/>
  <c r="R140"/>
  <c r="Q140"/>
  <c r="J140"/>
  <c r="K140" s="1"/>
  <c r="I140"/>
  <c r="H140"/>
  <c r="G140"/>
  <c r="F140"/>
  <c r="E140"/>
  <c r="D140"/>
  <c r="S137"/>
  <c r="R137"/>
  <c r="Q137"/>
  <c r="J137"/>
  <c r="K137" s="1"/>
  <c r="I137"/>
  <c r="H137"/>
  <c r="G137"/>
  <c r="F137"/>
  <c r="E137"/>
  <c r="D137"/>
  <c r="S136"/>
  <c r="R136"/>
  <c r="Q136"/>
  <c r="J136"/>
  <c r="K136" s="1"/>
  <c r="I136"/>
  <c r="H136"/>
  <c r="G136"/>
  <c r="F136"/>
  <c r="E136"/>
  <c r="S135"/>
  <c r="R135"/>
  <c r="Q135"/>
  <c r="D135"/>
  <c r="S134"/>
  <c r="R134"/>
  <c r="Q134"/>
  <c r="J134"/>
  <c r="K134" s="1"/>
  <c r="I134"/>
  <c r="H134"/>
  <c r="G134"/>
  <c r="F134"/>
  <c r="E134"/>
  <c r="D134"/>
  <c r="S133"/>
  <c r="R133"/>
  <c r="Q133"/>
  <c r="J133"/>
  <c r="K133" s="1"/>
  <c r="I133"/>
  <c r="H133"/>
  <c r="G133"/>
  <c r="F133"/>
  <c r="E133"/>
  <c r="D133"/>
  <c r="S132"/>
  <c r="R132"/>
  <c r="Q132"/>
  <c r="J132"/>
  <c r="K132" s="1"/>
  <c r="I132"/>
  <c r="H132"/>
  <c r="G132"/>
  <c r="F132"/>
  <c r="E132"/>
  <c r="D132"/>
  <c r="S129"/>
  <c r="R129"/>
  <c r="Q129"/>
  <c r="D129"/>
  <c r="I128"/>
  <c r="E128"/>
  <c r="S127"/>
  <c r="R127"/>
  <c r="Q127"/>
  <c r="J127"/>
  <c r="K127" s="1"/>
  <c r="I127"/>
  <c r="H127"/>
  <c r="G127"/>
  <c r="F127"/>
  <c r="E127"/>
  <c r="D127"/>
  <c r="S126"/>
  <c r="R126"/>
  <c r="Q126"/>
  <c r="J126"/>
  <c r="K126" s="1"/>
  <c r="I126"/>
  <c r="H126"/>
  <c r="G126"/>
  <c r="F126"/>
  <c r="E126"/>
  <c r="D126"/>
  <c r="S125"/>
  <c r="R125"/>
  <c r="Q125"/>
  <c r="J125"/>
  <c r="K125" s="1"/>
  <c r="I125"/>
  <c r="H125"/>
  <c r="G125"/>
  <c r="F125"/>
  <c r="E125"/>
  <c r="D125"/>
  <c r="S122"/>
  <c r="R122"/>
  <c r="Q122"/>
  <c r="J122"/>
  <c r="K122" s="1"/>
  <c r="I122"/>
  <c r="H122"/>
  <c r="G122"/>
  <c r="F122"/>
  <c r="E122"/>
  <c r="D122"/>
  <c r="S121"/>
  <c r="R121"/>
  <c r="Q121"/>
  <c r="J121"/>
  <c r="I121"/>
  <c r="I120" s="1"/>
  <c r="H121"/>
  <c r="G121"/>
  <c r="F121"/>
  <c r="E121"/>
  <c r="D121"/>
  <c r="S119"/>
  <c r="S118" s="1"/>
  <c r="R119"/>
  <c r="R118" s="1"/>
  <c r="Q119"/>
  <c r="Q118" s="1"/>
  <c r="S113"/>
  <c r="R113"/>
  <c r="Q113"/>
  <c r="J113"/>
  <c r="K113" s="1"/>
  <c r="I113"/>
  <c r="H113"/>
  <c r="G113"/>
  <c r="F113"/>
  <c r="E113"/>
  <c r="D113"/>
  <c r="S106"/>
  <c r="S105" s="1"/>
  <c r="R106"/>
  <c r="R105" s="1"/>
  <c r="Q106"/>
  <c r="Q105" s="1"/>
  <c r="J106"/>
  <c r="J105" s="1"/>
  <c r="J211" s="1"/>
  <c r="K211" s="1"/>
  <c r="I106"/>
  <c r="I212" s="1"/>
  <c r="G106"/>
  <c r="G105" s="1"/>
  <c r="E106"/>
  <c r="E212" s="1"/>
  <c r="D106"/>
  <c r="D105" s="1"/>
  <c r="D211" s="1"/>
  <c r="H105"/>
  <c r="H211" s="1"/>
  <c r="F105"/>
  <c r="F211" s="1"/>
  <c r="D102"/>
  <c r="D208" s="1"/>
  <c r="H101"/>
  <c r="G101"/>
  <c r="F101"/>
  <c r="E101"/>
  <c r="Q98"/>
  <c r="Q97" s="1"/>
  <c r="J98"/>
  <c r="J97" s="1"/>
  <c r="K97" s="1"/>
  <c r="D98"/>
  <c r="D97" s="1"/>
  <c r="H97"/>
  <c r="H204" s="1"/>
  <c r="G97"/>
  <c r="G203" s="1"/>
  <c r="F97"/>
  <c r="F204" s="1"/>
  <c r="E97"/>
  <c r="E204" s="1"/>
  <c r="S94"/>
  <c r="R94"/>
  <c r="Q94"/>
  <c r="J94"/>
  <c r="K94" s="1"/>
  <c r="I94"/>
  <c r="H94"/>
  <c r="G94"/>
  <c r="F94"/>
  <c r="E94"/>
  <c r="D93"/>
  <c r="D180" s="1"/>
  <c r="D84"/>
  <c r="D174" s="1"/>
  <c r="X80"/>
  <c r="J80"/>
  <c r="J172" s="1"/>
  <c r="J73"/>
  <c r="K73" s="1"/>
  <c r="I73"/>
  <c r="H73"/>
  <c r="H71" s="1"/>
  <c r="H70" s="1"/>
  <c r="G73"/>
  <c r="F73"/>
  <c r="F71" s="1"/>
  <c r="F70" s="1"/>
  <c r="E73"/>
  <c r="E71" s="1"/>
  <c r="E70" s="1"/>
  <c r="D73"/>
  <c r="J67"/>
  <c r="K67" s="1"/>
  <c r="I67"/>
  <c r="H67"/>
  <c r="G67"/>
  <c r="F67"/>
  <c r="E67"/>
  <c r="D67"/>
  <c r="S64"/>
  <c r="R64"/>
  <c r="Q64"/>
  <c r="J64"/>
  <c r="K64" s="1"/>
  <c r="I64"/>
  <c r="H64"/>
  <c r="G64"/>
  <c r="F64"/>
  <c r="E64"/>
  <c r="D64"/>
  <c r="H62"/>
  <c r="G62"/>
  <c r="F62"/>
  <c r="E62"/>
  <c r="D60"/>
  <c r="D59" s="1"/>
  <c r="J59"/>
  <c r="K59" s="1"/>
  <c r="I59"/>
  <c r="H59"/>
  <c r="G59"/>
  <c r="F59"/>
  <c r="E59"/>
  <c r="S56"/>
  <c r="R56"/>
  <c r="Q56"/>
  <c r="J56"/>
  <c r="K56" s="1"/>
  <c r="I56"/>
  <c r="H56"/>
  <c r="G56"/>
  <c r="F56"/>
  <c r="E56"/>
  <c r="D56"/>
  <c r="S54"/>
  <c r="R54"/>
  <c r="Q54"/>
  <c r="J54"/>
  <c r="K54" s="1"/>
  <c r="I54"/>
  <c r="H54"/>
  <c r="G54"/>
  <c r="F54"/>
  <c r="E54"/>
  <c r="D54"/>
  <c r="D50"/>
  <c r="D151" s="1"/>
  <c r="S49"/>
  <c r="R49"/>
  <c r="Q49"/>
  <c r="J49"/>
  <c r="K49" s="1"/>
  <c r="I49"/>
  <c r="H49"/>
  <c r="G49"/>
  <c r="F49"/>
  <c r="E49"/>
  <c r="S47"/>
  <c r="S42" s="1"/>
  <c r="S143" s="1"/>
  <c r="R47"/>
  <c r="R42" s="1"/>
  <c r="R143" s="1"/>
  <c r="Q47"/>
  <c r="Q42" s="1"/>
  <c r="J47"/>
  <c r="J42" s="1"/>
  <c r="I47"/>
  <c r="I42" s="1"/>
  <c r="H47"/>
  <c r="H42" s="1"/>
  <c r="H143" s="1"/>
  <c r="G47"/>
  <c r="G42" s="1"/>
  <c r="G143" s="1"/>
  <c r="F47"/>
  <c r="F42" s="1"/>
  <c r="F143" s="1"/>
  <c r="E47"/>
  <c r="E42" s="1"/>
  <c r="D47"/>
  <c r="D42" s="1"/>
  <c r="D143" s="1"/>
  <c r="D41"/>
  <c r="D142" s="1"/>
  <c r="S38"/>
  <c r="R38"/>
  <c r="Q38"/>
  <c r="J38"/>
  <c r="K38" s="1"/>
  <c r="I38"/>
  <c r="H38"/>
  <c r="G38"/>
  <c r="F38"/>
  <c r="E38"/>
  <c r="D34"/>
  <c r="D136" s="1"/>
  <c r="S29"/>
  <c r="S131" s="1"/>
  <c r="R29"/>
  <c r="Q29"/>
  <c r="Q131" s="1"/>
  <c r="J29"/>
  <c r="J131" s="1"/>
  <c r="K131" s="1"/>
  <c r="I29"/>
  <c r="I131" s="1"/>
  <c r="H29"/>
  <c r="H131" s="1"/>
  <c r="G29"/>
  <c r="G131" s="1"/>
  <c r="F29"/>
  <c r="F131" s="1"/>
  <c r="E29"/>
  <c r="E131" s="1"/>
  <c r="D29"/>
  <c r="D131" s="1"/>
  <c r="S24"/>
  <c r="R24"/>
  <c r="R130" s="1"/>
  <c r="Q24"/>
  <c r="Q130" s="1"/>
  <c r="J24"/>
  <c r="J130" s="1"/>
  <c r="K130" s="1"/>
  <c r="I24"/>
  <c r="I130" s="1"/>
  <c r="H24"/>
  <c r="H130" s="1"/>
  <c r="G24"/>
  <c r="G130" s="1"/>
  <c r="F24"/>
  <c r="F130" s="1"/>
  <c r="E24"/>
  <c r="E130" s="1"/>
  <c r="D24"/>
  <c r="D130" s="1"/>
  <c r="S22"/>
  <c r="S128" s="1"/>
  <c r="R22"/>
  <c r="R128" s="1"/>
  <c r="Q22"/>
  <c r="S14"/>
  <c r="R14"/>
  <c r="Q14"/>
  <c r="J14"/>
  <c r="K14" s="1"/>
  <c r="I14"/>
  <c r="H14"/>
  <c r="G14"/>
  <c r="F14"/>
  <c r="E14"/>
  <c r="D14"/>
  <c r="S12"/>
  <c r="R12"/>
  <c r="Q12"/>
  <c r="J12"/>
  <c r="J119" s="1"/>
  <c r="J118" s="1"/>
  <c r="K118" s="1"/>
  <c r="I12"/>
  <c r="I119" s="1"/>
  <c r="I118" s="1"/>
  <c r="H12"/>
  <c r="H119" s="1"/>
  <c r="H118" s="1"/>
  <c r="G12"/>
  <c r="G119" s="1"/>
  <c r="G118" s="1"/>
  <c r="F12"/>
  <c r="F119" s="1"/>
  <c r="F118" s="1"/>
  <c r="E12"/>
  <c r="E119" s="1"/>
  <c r="E118" s="1"/>
  <c r="D12"/>
  <c r="D119" s="1"/>
  <c r="D118" s="1"/>
  <c r="D157" l="1"/>
  <c r="S559"/>
  <c r="S860"/>
  <c r="D230"/>
  <c r="H532"/>
  <c r="F439"/>
  <c r="F438" s="1"/>
  <c r="S703"/>
  <c r="H248"/>
  <c r="S236"/>
  <c r="S690"/>
  <c r="D512"/>
  <c r="H522"/>
  <c r="S230"/>
  <c r="Q92"/>
  <c r="Q198" s="1"/>
  <c r="G386"/>
  <c r="G385" s="1"/>
  <c r="G384" s="1"/>
  <c r="J532"/>
  <c r="K532" s="1"/>
  <c r="G834"/>
  <c r="K653"/>
  <c r="E236"/>
  <c r="I92"/>
  <c r="I198" s="1"/>
  <c r="S384"/>
  <c r="R827"/>
  <c r="P220"/>
  <c r="L220" s="1"/>
  <c r="F663"/>
  <c r="J902"/>
  <c r="R873"/>
  <c r="R730" s="1"/>
  <c r="G452"/>
  <c r="D485"/>
  <c r="D475" s="1"/>
  <c r="R465"/>
  <c r="R703"/>
  <c r="I806"/>
  <c r="F820"/>
  <c r="P950"/>
  <c r="L950" s="1"/>
  <c r="J439"/>
  <c r="J438" s="1"/>
  <c r="H1007"/>
  <c r="H992" s="1"/>
  <c r="K603"/>
  <c r="I703"/>
  <c r="I690"/>
  <c r="F853"/>
  <c r="J911"/>
  <c r="K911" s="1"/>
  <c r="R1045"/>
  <c r="R1003" s="1"/>
  <c r="E827"/>
  <c r="H834"/>
  <c r="R841"/>
  <c r="P415"/>
  <c r="S439"/>
  <c r="S438" s="1"/>
  <c r="H236"/>
  <c r="F813"/>
  <c r="P439"/>
  <c r="P438" s="1"/>
  <c r="L438" s="1"/>
  <c r="K438" s="1"/>
  <c r="E813"/>
  <c r="Q827"/>
  <c r="F841"/>
  <c r="I853"/>
  <c r="F874"/>
  <c r="S883"/>
  <c r="E1010"/>
  <c r="F522"/>
  <c r="H806"/>
  <c r="Q911"/>
  <c r="S873"/>
  <c r="S730" s="1"/>
  <c r="S461" s="1"/>
  <c r="S235" s="1"/>
  <c r="O874"/>
  <c r="O867" s="1"/>
  <c r="N990"/>
  <c r="G744"/>
  <c r="G80" s="1"/>
  <c r="G172" s="1"/>
  <c r="G168" s="1"/>
  <c r="G167" s="1"/>
  <c r="G96"/>
  <c r="G202" s="1"/>
  <c r="D49"/>
  <c r="D439"/>
  <c r="D438" s="1"/>
  <c r="G902"/>
  <c r="D1044"/>
  <c r="S433"/>
  <c r="R559"/>
  <c r="F642"/>
  <c r="D673"/>
  <c r="G853"/>
  <c r="R972"/>
  <c r="S673"/>
  <c r="E690"/>
  <c r="H726"/>
  <c r="H455" s="1"/>
  <c r="H227" s="1"/>
  <c r="Q972"/>
  <c r="D975"/>
  <c r="H943"/>
  <c r="H934" s="1"/>
  <c r="J972"/>
  <c r="K972" s="1"/>
  <c r="L939"/>
  <c r="J320"/>
  <c r="J319" s="1"/>
  <c r="K319" s="1"/>
  <c r="D841"/>
  <c r="G873"/>
  <c r="G730" s="1"/>
  <c r="J951"/>
  <c r="I957"/>
  <c r="I938" s="1"/>
  <c r="I928" s="1"/>
  <c r="I236"/>
  <c r="Q502"/>
  <c r="E522"/>
  <c r="Q456"/>
  <c r="Q228" s="1"/>
  <c r="F703"/>
  <c r="Q813"/>
  <c r="F827"/>
  <c r="G883"/>
  <c r="J892"/>
  <c r="K892" s="1"/>
  <c r="Q872"/>
  <c r="H673"/>
  <c r="R690"/>
  <c r="I813"/>
  <c r="S853"/>
  <c r="F860"/>
  <c r="D161"/>
  <c r="I384"/>
  <c r="G532"/>
  <c r="H744"/>
  <c r="F902"/>
  <c r="H873"/>
  <c r="H730" s="1"/>
  <c r="H461" s="1"/>
  <c r="H235" s="1"/>
  <c r="J931"/>
  <c r="K931" s="1"/>
  <c r="D972"/>
  <c r="L433"/>
  <c r="K433" s="1"/>
  <c r="R432"/>
  <c r="Q439"/>
  <c r="Q438" s="1"/>
  <c r="F532"/>
  <c r="J703"/>
  <c r="F834"/>
  <c r="I841"/>
  <c r="R927"/>
  <c r="D995"/>
  <c r="I1007"/>
  <c r="H120"/>
  <c r="G427"/>
  <c r="G420" s="1"/>
  <c r="I432"/>
  <c r="I230"/>
  <c r="H502"/>
  <c r="Q512"/>
  <c r="E532"/>
  <c r="D944"/>
  <c r="D935" s="1"/>
  <c r="S1010"/>
  <c r="L935"/>
  <c r="K935" s="1"/>
  <c r="L427"/>
  <c r="G120"/>
  <c r="J139"/>
  <c r="G204"/>
  <c r="R246"/>
  <c r="R222" s="1"/>
  <c r="D432"/>
  <c r="G502"/>
  <c r="G18"/>
  <c r="G17" s="1"/>
  <c r="I548"/>
  <c r="Q642"/>
  <c r="E682"/>
  <c r="Q820"/>
  <c r="G841"/>
  <c r="H883"/>
  <c r="J943"/>
  <c r="J934" s="1"/>
  <c r="K934" s="1"/>
  <c r="H956"/>
  <c r="J1010"/>
  <c r="K1010" s="1"/>
  <c r="D1007"/>
  <c r="Q1044"/>
  <c r="L475"/>
  <c r="H452"/>
  <c r="D834"/>
  <c r="D120"/>
  <c r="I157"/>
  <c r="S92"/>
  <c r="S198" s="1"/>
  <c r="S187" s="1"/>
  <c r="Q420"/>
  <c r="G631"/>
  <c r="Q627"/>
  <c r="H642"/>
  <c r="S663"/>
  <c r="D682"/>
  <c r="J728"/>
  <c r="H801"/>
  <c r="I804"/>
  <c r="Q236"/>
  <c r="L801"/>
  <c r="K1007"/>
  <c r="F187"/>
  <c r="I522"/>
  <c r="D586"/>
  <c r="D585" s="1"/>
  <c r="D584" s="1"/>
  <c r="D583" s="1"/>
  <c r="J602"/>
  <c r="K602" s="1"/>
  <c r="S806"/>
  <c r="E860"/>
  <c r="G892"/>
  <c r="R911"/>
  <c r="R935"/>
  <c r="S972"/>
  <c r="S925" s="1"/>
  <c r="R975"/>
  <c r="I994"/>
  <c r="F994"/>
  <c r="Q187"/>
  <c r="J92"/>
  <c r="J198" s="1"/>
  <c r="H420"/>
  <c r="H559"/>
  <c r="Q682"/>
  <c r="E726"/>
  <c r="E455" s="1"/>
  <c r="E227" s="1"/>
  <c r="E820"/>
  <c r="H827"/>
  <c r="D883"/>
  <c r="H939"/>
  <c r="H930" s="1"/>
  <c r="J987"/>
  <c r="J986" s="1"/>
  <c r="J970" s="1"/>
  <c r="J608"/>
  <c r="K608" s="1"/>
  <c r="H987"/>
  <c r="H986" s="1"/>
  <c r="H970" s="1"/>
  <c r="F1044"/>
  <c r="I139"/>
  <c r="F416"/>
  <c r="F487"/>
  <c r="R630"/>
  <c r="R463" s="1"/>
  <c r="D736"/>
  <c r="D735" s="1"/>
  <c r="J921"/>
  <c r="J920" s="1"/>
  <c r="J919" s="1"/>
  <c r="K919" s="1"/>
  <c r="E1002"/>
  <c r="D207"/>
  <c r="Q120"/>
  <c r="F157"/>
  <c r="R92"/>
  <c r="H228"/>
  <c r="H416"/>
  <c r="F453"/>
  <c r="D489"/>
  <c r="D488" s="1"/>
  <c r="D487" s="1"/>
  <c r="F502"/>
  <c r="I512"/>
  <c r="R522"/>
  <c r="S532"/>
  <c r="D548"/>
  <c r="G559"/>
  <c r="J625"/>
  <c r="J456" s="1"/>
  <c r="G673"/>
  <c r="I726"/>
  <c r="I455" s="1"/>
  <c r="I227" s="1"/>
  <c r="J801"/>
  <c r="D827"/>
  <c r="D860"/>
  <c r="E872"/>
  <c r="I902"/>
  <c r="H927"/>
  <c r="P933"/>
  <c r="P923" s="1"/>
  <c r="K768"/>
  <c r="F96"/>
  <c r="F202" s="1"/>
  <c r="E150"/>
  <c r="S248"/>
  <c r="I277"/>
  <c r="F281"/>
  <c r="G433"/>
  <c r="E453"/>
  <c r="H512"/>
  <c r="S548"/>
  <c r="F630"/>
  <c r="F624"/>
  <c r="G690"/>
  <c r="S827"/>
  <c r="Q853"/>
  <c r="H902"/>
  <c r="I911"/>
  <c r="G927"/>
  <c r="I939"/>
  <c r="I930" s="1"/>
  <c r="E994"/>
  <c r="G1012"/>
  <c r="G1005" s="1"/>
  <c r="E1016"/>
  <c r="E1006" s="1"/>
  <c r="E991" s="1"/>
  <c r="P423"/>
  <c r="P422" s="1"/>
  <c r="K1017"/>
  <c r="Q248"/>
  <c r="D92"/>
  <c r="D198" s="1"/>
  <c r="R207"/>
  <c r="D418"/>
  <c r="E420"/>
  <c r="H439"/>
  <c r="H438" s="1"/>
  <c r="Q532"/>
  <c r="R548"/>
  <c r="D642"/>
  <c r="J700"/>
  <c r="J699" s="1"/>
  <c r="J698" s="1"/>
  <c r="K698" s="1"/>
  <c r="I801"/>
  <c r="S841"/>
  <c r="J853"/>
  <c r="K853" s="1"/>
  <c r="I873"/>
  <c r="I730" s="1"/>
  <c r="D236"/>
  <c r="F1012"/>
  <c r="F1005" s="1"/>
  <c r="K1083"/>
  <c r="F386"/>
  <c r="F385" s="1"/>
  <c r="F384" s="1"/>
  <c r="J452"/>
  <c r="J220" s="1"/>
  <c r="J663"/>
  <c r="F883"/>
  <c r="H925"/>
  <c r="E228"/>
  <c r="K795"/>
  <c r="R427"/>
  <c r="R420" s="1"/>
  <c r="H453"/>
  <c r="I452"/>
  <c r="D806"/>
  <c r="J820"/>
  <c r="K820" s="1"/>
  <c r="J827"/>
  <c r="K827" s="1"/>
  <c r="R883"/>
  <c r="D960"/>
  <c r="F927"/>
  <c r="R1010"/>
  <c r="D1012"/>
  <c r="E1044"/>
  <c r="E1042" s="1"/>
  <c r="G1044"/>
  <c r="G1042" s="1"/>
  <c r="G998" s="1"/>
  <c r="L632"/>
  <c r="L484"/>
  <c r="O11"/>
  <c r="L252"/>
  <c r="L930"/>
  <c r="D150"/>
  <c r="E230"/>
  <c r="I228"/>
  <c r="G522"/>
  <c r="D559"/>
  <c r="D574"/>
  <c r="D580"/>
  <c r="D579" s="1"/>
  <c r="D578" s="1"/>
  <c r="D577" s="1"/>
  <c r="S630"/>
  <c r="E642"/>
  <c r="S642"/>
  <c r="G663"/>
  <c r="D666"/>
  <c r="D665" s="1"/>
  <c r="D664" s="1"/>
  <c r="D663" s="1"/>
  <c r="F690"/>
  <c r="Q703"/>
  <c r="E804"/>
  <c r="I827"/>
  <c r="Q883"/>
  <c r="R872"/>
  <c r="D902"/>
  <c r="E911"/>
  <c r="E927"/>
  <c r="S975"/>
  <c r="G150"/>
  <c r="G212"/>
  <c r="Q421"/>
  <c r="Q570"/>
  <c r="D804"/>
  <c r="H870"/>
  <c r="H725" s="1"/>
  <c r="D911"/>
  <c r="K803"/>
  <c r="I168"/>
  <c r="I167" s="1"/>
  <c r="F203"/>
  <c r="D321"/>
  <c r="D320" s="1"/>
  <c r="D319" s="1"/>
  <c r="F452"/>
  <c r="F220" s="1"/>
  <c r="G601"/>
  <c r="R673"/>
  <c r="S682"/>
  <c r="D723"/>
  <c r="G820"/>
  <c r="H841"/>
  <c r="Q975"/>
  <c r="I987"/>
  <c r="G994"/>
  <c r="E220"/>
  <c r="R484"/>
  <c r="R474" s="1"/>
  <c r="F601"/>
  <c r="G956"/>
  <c r="S1048"/>
  <c r="K1084"/>
  <c r="H187"/>
  <c r="H281"/>
  <c r="F726"/>
  <c r="F455" s="1"/>
  <c r="F227" s="1"/>
  <c r="S911"/>
  <c r="J994"/>
  <c r="K994" s="1"/>
  <c r="S1016"/>
  <c r="S1015" s="1"/>
  <c r="F1048"/>
  <c r="F1047" s="1"/>
  <c r="H220"/>
  <c r="D281"/>
  <c r="I559"/>
  <c r="J605"/>
  <c r="K605" s="1"/>
  <c r="I453"/>
  <c r="R456"/>
  <c r="R228" s="1"/>
  <c r="I673"/>
  <c r="R813"/>
  <c r="E841"/>
  <c r="D853"/>
  <c r="H876"/>
  <c r="H875" s="1"/>
  <c r="H868" s="1"/>
  <c r="I943"/>
  <c r="D927"/>
  <c r="R939"/>
  <c r="R930" s="1"/>
  <c r="H938"/>
  <c r="H928" s="1"/>
  <c r="J1016"/>
  <c r="J1006" s="1"/>
  <c r="J991" s="1"/>
  <c r="E1048"/>
  <c r="L875"/>
  <c r="G624"/>
  <c r="D424"/>
  <c r="D423" s="1"/>
  <c r="D422" s="1"/>
  <c r="D416"/>
  <c r="H407"/>
  <c r="H408"/>
  <c r="S172"/>
  <c r="Q252"/>
  <c r="Q229" s="1"/>
  <c r="Q394"/>
  <c r="Q393" s="1"/>
  <c r="J415"/>
  <c r="I394"/>
  <c r="I393" s="1"/>
  <c r="I379" s="1"/>
  <c r="I252"/>
  <c r="I229" s="1"/>
  <c r="Q950"/>
  <c r="Q938"/>
  <c r="H394"/>
  <c r="H393" s="1"/>
  <c r="H252"/>
  <c r="H229" s="1"/>
  <c r="H569"/>
  <c r="G252"/>
  <c r="G229" s="1"/>
  <c r="G394"/>
  <c r="G393" s="1"/>
  <c r="S974"/>
  <c r="S976"/>
  <c r="G971"/>
  <c r="G986"/>
  <c r="G970" s="1"/>
  <c r="D1055"/>
  <c r="D1045"/>
  <c r="D1003" s="1"/>
  <c r="Q208"/>
  <c r="Q207" s="1"/>
  <c r="Q101"/>
  <c r="D386"/>
  <c r="D385" s="1"/>
  <c r="D384" s="1"/>
  <c r="D248"/>
  <c r="J548"/>
  <c r="K549"/>
  <c r="D986"/>
  <c r="D971"/>
  <c r="I101"/>
  <c r="I208"/>
  <c r="I207" s="1"/>
  <c r="D573"/>
  <c r="D572" s="1"/>
  <c r="J750"/>
  <c r="J732" s="1"/>
  <c r="J464" s="1"/>
  <c r="K761"/>
  <c r="K1012"/>
  <c r="J332"/>
  <c r="K333"/>
  <c r="P331"/>
  <c r="L331" s="1"/>
  <c r="L332"/>
  <c r="I105"/>
  <c r="I211" s="1"/>
  <c r="E139"/>
  <c r="H150"/>
  <c r="H157"/>
  <c r="J157"/>
  <c r="K157" s="1"/>
  <c r="H168"/>
  <c r="H167" s="1"/>
  <c r="H246"/>
  <c r="H222" s="1"/>
  <c r="S321"/>
  <c r="S320" s="1"/>
  <c r="S319" s="1"/>
  <c r="I409"/>
  <c r="I407" s="1"/>
  <c r="E421"/>
  <c r="G485"/>
  <c r="G475" s="1"/>
  <c r="H479"/>
  <c r="H468" s="1"/>
  <c r="S484"/>
  <c r="S474" s="1"/>
  <c r="E502"/>
  <c r="R601"/>
  <c r="H639"/>
  <c r="H627" s="1"/>
  <c r="H630"/>
  <c r="H463" s="1"/>
  <c r="F675"/>
  <c r="F674" s="1"/>
  <c r="F673" s="1"/>
  <c r="F804"/>
  <c r="G872"/>
  <c r="F872"/>
  <c r="D873"/>
  <c r="D730" s="1"/>
  <c r="D461" s="1"/>
  <c r="D232" s="1"/>
  <c r="Q873"/>
  <c r="Q730" s="1"/>
  <c r="Q461" s="1"/>
  <c r="Q232" s="1"/>
  <c r="G939"/>
  <c r="G930" s="1"/>
  <c r="E957"/>
  <c r="E938" s="1"/>
  <c r="E928" s="1"/>
  <c r="Q939"/>
  <c r="Q930" s="1"/>
  <c r="G1006"/>
  <c r="G991" s="1"/>
  <c r="G1055"/>
  <c r="K550"/>
  <c r="K597"/>
  <c r="K836"/>
  <c r="K102"/>
  <c r="K301"/>
  <c r="K326"/>
  <c r="K363"/>
  <c r="K644"/>
  <c r="K42"/>
  <c r="K1041"/>
  <c r="K544"/>
  <c r="K1011"/>
  <c r="K247"/>
  <c r="L971"/>
  <c r="J873"/>
  <c r="J730" s="1"/>
  <c r="K917"/>
  <c r="J939"/>
  <c r="K958"/>
  <c r="P627"/>
  <c r="L627" s="1"/>
  <c r="L696"/>
  <c r="F432"/>
  <c r="E18"/>
  <c r="E17" s="1"/>
  <c r="Q139"/>
  <c r="I150"/>
  <c r="G157"/>
  <c r="F246"/>
  <c r="F222" s="1"/>
  <c r="H230"/>
  <c r="I281"/>
  <c r="D421"/>
  <c r="F427"/>
  <c r="F485"/>
  <c r="F475" s="1"/>
  <c r="I570"/>
  <c r="I628"/>
  <c r="E624"/>
  <c r="I663"/>
  <c r="H750"/>
  <c r="H749" s="1"/>
  <c r="D820"/>
  <c r="S902"/>
  <c r="H911"/>
  <c r="F935"/>
  <c r="E939"/>
  <c r="E930" s="1"/>
  <c r="D957"/>
  <c r="G972"/>
  <c r="G925" s="1"/>
  <c r="S986"/>
  <c r="F1006"/>
  <c r="F991" s="1"/>
  <c r="J1038"/>
  <c r="J992" s="1"/>
  <c r="J1044"/>
  <c r="K1044" s="1"/>
  <c r="S1044"/>
  <c r="S1042" s="1"/>
  <c r="K598"/>
  <c r="K912"/>
  <c r="K835"/>
  <c r="K762"/>
  <c r="K325"/>
  <c r="K645"/>
  <c r="K739"/>
  <c r="K139"/>
  <c r="K659"/>
  <c r="K997"/>
  <c r="K441"/>
  <c r="J996"/>
  <c r="K996" s="1"/>
  <c r="K1009"/>
  <c r="P938"/>
  <c r="L957"/>
  <c r="G512"/>
  <c r="J168"/>
  <c r="J167" s="1"/>
  <c r="F120"/>
  <c r="F168"/>
  <c r="F167" s="1"/>
  <c r="E246"/>
  <c r="E222" s="1"/>
  <c r="G228"/>
  <c r="S281"/>
  <c r="H277"/>
  <c r="Q277"/>
  <c r="D409"/>
  <c r="J457"/>
  <c r="K457" s="1"/>
  <c r="S502"/>
  <c r="S512"/>
  <c r="I532"/>
  <c r="H570"/>
  <c r="I642"/>
  <c r="Q673"/>
  <c r="I682"/>
  <c r="H703"/>
  <c r="G750"/>
  <c r="G749" s="1"/>
  <c r="S820"/>
  <c r="Q841"/>
  <c r="G870"/>
  <c r="G725" s="1"/>
  <c r="R902"/>
  <c r="E935"/>
  <c r="I925"/>
  <c r="D939"/>
  <c r="F972"/>
  <c r="H994"/>
  <c r="Q1012"/>
  <c r="E992"/>
  <c r="I1038"/>
  <c r="I1044"/>
  <c r="I1042" s="1"/>
  <c r="G1048"/>
  <c r="R1044"/>
  <c r="R1042" s="1"/>
  <c r="L487"/>
  <c r="K913"/>
  <c r="K937"/>
  <c r="K829"/>
  <c r="K763"/>
  <c r="L320"/>
  <c r="K320" s="1"/>
  <c r="K283"/>
  <c r="K685"/>
  <c r="K714"/>
  <c r="L393"/>
  <c r="K486"/>
  <c r="K440"/>
  <c r="J120"/>
  <c r="K120" s="1"/>
  <c r="K121"/>
  <c r="J427"/>
  <c r="J423" s="1"/>
  <c r="K428"/>
  <c r="I601"/>
  <c r="E124"/>
  <c r="E123" s="1"/>
  <c r="E120"/>
  <c r="E157"/>
  <c r="E168"/>
  <c r="E167" s="1"/>
  <c r="F233"/>
  <c r="R248"/>
  <c r="F228"/>
  <c r="F230"/>
  <c r="J281"/>
  <c r="K281" s="1"/>
  <c r="G281"/>
  <c r="F362"/>
  <c r="F361" s="1"/>
  <c r="H433"/>
  <c r="E439"/>
  <c r="E438" s="1"/>
  <c r="F484"/>
  <c r="F474" s="1"/>
  <c r="I496"/>
  <c r="I484" s="1"/>
  <c r="I474" s="1"/>
  <c r="R502"/>
  <c r="R512"/>
  <c r="F559"/>
  <c r="D598"/>
  <c r="D597" s="1"/>
  <c r="D596" s="1"/>
  <c r="D595" s="1"/>
  <c r="J617"/>
  <c r="K617" s="1"/>
  <c r="I624"/>
  <c r="D627"/>
  <c r="G703"/>
  <c r="G806"/>
  <c r="J814"/>
  <c r="J800" s="1"/>
  <c r="R820"/>
  <c r="R860"/>
  <c r="E972"/>
  <c r="F1070"/>
  <c r="F1069" s="1"/>
  <c r="F1002" s="1"/>
  <c r="K548"/>
  <c r="K1049"/>
  <c r="K524"/>
  <c r="K592"/>
  <c r="K877"/>
  <c r="K914"/>
  <c r="K927"/>
  <c r="K1040"/>
  <c r="K1077"/>
  <c r="K828"/>
  <c r="K101"/>
  <c r="K794"/>
  <c r="K314"/>
  <c r="K362"/>
  <c r="K396"/>
  <c r="K944"/>
  <c r="K425"/>
  <c r="L630"/>
  <c r="J938"/>
  <c r="J928" s="1"/>
  <c r="K951"/>
  <c r="D101"/>
  <c r="D96" s="1"/>
  <c r="D202" s="1"/>
  <c r="E105"/>
  <c r="E211" s="1"/>
  <c r="H139"/>
  <c r="R281"/>
  <c r="H496"/>
  <c r="H484" s="1"/>
  <c r="H474" s="1"/>
  <c r="J614"/>
  <c r="K614" s="1"/>
  <c r="Q690"/>
  <c r="R853"/>
  <c r="J1002"/>
  <c r="K29"/>
  <c r="L432"/>
  <c r="K876"/>
  <c r="K905"/>
  <c r="K1076"/>
  <c r="K315"/>
  <c r="K634"/>
  <c r="K675"/>
  <c r="K705"/>
  <c r="K658"/>
  <c r="K999"/>
  <c r="J485"/>
  <c r="K497"/>
  <c r="J967"/>
  <c r="K968"/>
  <c r="E673"/>
  <c r="G139"/>
  <c r="F160"/>
  <c r="J236"/>
  <c r="F394"/>
  <c r="F393" s="1"/>
  <c r="F379" s="1"/>
  <c r="D420"/>
  <c r="D484"/>
  <c r="D474" s="1"/>
  <c r="E663"/>
  <c r="D690"/>
  <c r="G465"/>
  <c r="G239" s="1"/>
  <c r="R1016"/>
  <c r="R1015" s="1"/>
  <c r="R1005" s="1"/>
  <c r="D1019"/>
  <c r="I1002"/>
  <c r="K24"/>
  <c r="K574"/>
  <c r="K586"/>
  <c r="K904"/>
  <c r="K98"/>
  <c r="K822"/>
  <c r="K784"/>
  <c r="K307"/>
  <c r="K357"/>
  <c r="K375"/>
  <c r="K674"/>
  <c r="K222"/>
  <c r="K156"/>
  <c r="K861"/>
  <c r="P230"/>
  <c r="L230" s="1"/>
  <c r="J338"/>
  <c r="K339"/>
  <c r="R627"/>
  <c r="F139"/>
  <c r="I220"/>
  <c r="J386"/>
  <c r="J385" s="1"/>
  <c r="K385" s="1"/>
  <c r="J459"/>
  <c r="J233" s="1"/>
  <c r="K233" s="1"/>
  <c r="D480"/>
  <c r="D469" s="1"/>
  <c r="Q559"/>
  <c r="S456"/>
  <c r="S228" s="1"/>
  <c r="G627"/>
  <c r="I820"/>
  <c r="Q834"/>
  <c r="H1002"/>
  <c r="K424"/>
  <c r="L474"/>
  <c r="K573"/>
  <c r="K583"/>
  <c r="L1006"/>
  <c r="K821"/>
  <c r="K808"/>
  <c r="K789"/>
  <c r="K308"/>
  <c r="K355"/>
  <c r="K374"/>
  <c r="K676"/>
  <c r="K246"/>
  <c r="K543"/>
  <c r="K469"/>
  <c r="K434"/>
  <c r="J226"/>
  <c r="K226" s="1"/>
  <c r="K249"/>
  <c r="J1023"/>
  <c r="K1023" s="1"/>
  <c r="K1024"/>
  <c r="P730"/>
  <c r="L873"/>
  <c r="S120"/>
  <c r="J150"/>
  <c r="K150" s="1"/>
  <c r="E187"/>
  <c r="R230"/>
  <c r="D532"/>
  <c r="J570"/>
  <c r="F627"/>
  <c r="Q750"/>
  <c r="Q732" s="1"/>
  <c r="Q464" s="1"/>
  <c r="K542"/>
  <c r="K893"/>
  <c r="K1071"/>
  <c r="K778"/>
  <c r="K309"/>
  <c r="K356"/>
  <c r="K373"/>
  <c r="K665"/>
  <c r="K862"/>
  <c r="K562"/>
  <c r="K313"/>
  <c r="K224"/>
  <c r="J234"/>
  <c r="K234" s="1"/>
  <c r="K460"/>
  <c r="D139"/>
  <c r="R120"/>
  <c r="D187"/>
  <c r="G220"/>
  <c r="S416"/>
  <c r="Q432"/>
  <c r="R439"/>
  <c r="R438" s="1"/>
  <c r="G236"/>
  <c r="G453"/>
  <c r="G479"/>
  <c r="G468" s="1"/>
  <c r="J564"/>
  <c r="K564" s="1"/>
  <c r="H682"/>
  <c r="D703"/>
  <c r="S750"/>
  <c r="S749" s="1"/>
  <c r="S452"/>
  <c r="S220" s="1"/>
  <c r="E883"/>
  <c r="G911"/>
  <c r="D1002"/>
  <c r="K632"/>
  <c r="K584"/>
  <c r="K894"/>
  <c r="K854"/>
  <c r="K779"/>
  <c r="K278"/>
  <c r="K350"/>
  <c r="K369"/>
  <c r="K666"/>
  <c r="K692"/>
  <c r="K47"/>
  <c r="K633"/>
  <c r="K119"/>
  <c r="K769"/>
  <c r="K1075"/>
  <c r="K706"/>
  <c r="J872"/>
  <c r="K872" s="1"/>
  <c r="K881"/>
  <c r="R452"/>
  <c r="R220" s="1"/>
  <c r="S804"/>
  <c r="G860"/>
  <c r="F911"/>
  <c r="K957"/>
  <c r="G992"/>
  <c r="H1010"/>
  <c r="K387"/>
  <c r="K585"/>
  <c r="K895"/>
  <c r="L236"/>
  <c r="K1070"/>
  <c r="K855"/>
  <c r="K303"/>
  <c r="K349"/>
  <c r="K368"/>
  <c r="L663"/>
  <c r="K663" s="1"/>
  <c r="K693"/>
  <c r="K149"/>
  <c r="K718"/>
  <c r="K382"/>
  <c r="K106"/>
  <c r="K936"/>
  <c r="R726"/>
  <c r="R455" s="1"/>
  <c r="R227" s="1"/>
  <c r="R804"/>
  <c r="G801"/>
  <c r="G827"/>
  <c r="J841"/>
  <c r="K841" s="1"/>
  <c r="I872"/>
  <c r="F870"/>
  <c r="F725" s="1"/>
  <c r="F873"/>
  <c r="F730" s="1"/>
  <c r="F461" s="1"/>
  <c r="F235" s="1"/>
  <c r="S939"/>
  <c r="S930" s="1"/>
  <c r="D1016"/>
  <c r="D1015" s="1"/>
  <c r="F992"/>
  <c r="I1055"/>
  <c r="I1047" s="1"/>
  <c r="I1036" s="1"/>
  <c r="K248"/>
  <c r="K480"/>
  <c r="K560"/>
  <c r="K815"/>
  <c r="K774"/>
  <c r="K279"/>
  <c r="K351"/>
  <c r="K664"/>
  <c r="K12"/>
  <c r="K381"/>
  <c r="K941"/>
  <c r="K1013"/>
  <c r="K142"/>
  <c r="J230"/>
  <c r="K253"/>
  <c r="J344"/>
  <c r="K345"/>
  <c r="Q230"/>
  <c r="R663"/>
  <c r="F150"/>
  <c r="R277"/>
  <c r="Q281"/>
  <c r="H384"/>
  <c r="H379" s="1"/>
  <c r="D502"/>
  <c r="R532"/>
  <c r="S601"/>
  <c r="R642"/>
  <c r="H690"/>
  <c r="Q804"/>
  <c r="I883"/>
  <c r="E870"/>
  <c r="E725" s="1"/>
  <c r="E873"/>
  <c r="E730" s="1"/>
  <c r="E461" s="1"/>
  <c r="Q935"/>
  <c r="G943"/>
  <c r="S938"/>
  <c r="F1045"/>
  <c r="F1003" s="1"/>
  <c r="H1055"/>
  <c r="R1070"/>
  <c r="R1069" s="1"/>
  <c r="R1002" s="1"/>
  <c r="K807"/>
  <c r="K561"/>
  <c r="K596"/>
  <c r="K802"/>
  <c r="K843"/>
  <c r="K302"/>
  <c r="K327"/>
  <c r="K361"/>
  <c r="K691"/>
  <c r="K411"/>
  <c r="K105"/>
  <c r="K159"/>
  <c r="J1045"/>
  <c r="J1003" s="1"/>
  <c r="J1055"/>
  <c r="J1047" s="1"/>
  <c r="J1036" s="1"/>
  <c r="K1056"/>
  <c r="K1057"/>
  <c r="R1048"/>
  <c r="R1047" s="1"/>
  <c r="R992"/>
  <c r="Q994"/>
  <c r="R461"/>
  <c r="R235" s="1"/>
  <c r="S892"/>
  <c r="S872"/>
  <c r="D892"/>
  <c r="Q892"/>
  <c r="I892"/>
  <c r="H892"/>
  <c r="H872"/>
  <c r="D872"/>
  <c r="J522"/>
  <c r="K522" s="1"/>
  <c r="K533"/>
  <c r="K534"/>
  <c r="K514"/>
  <c r="J479"/>
  <c r="J468" s="1"/>
  <c r="K504"/>
  <c r="K503"/>
  <c r="J488"/>
  <c r="K488" s="1"/>
  <c r="K483"/>
  <c r="K470"/>
  <c r="J453"/>
  <c r="K489"/>
  <c r="K482"/>
  <c r="K805"/>
  <c r="E834"/>
  <c r="Q465"/>
  <c r="S834"/>
  <c r="J465"/>
  <c r="K465" s="1"/>
  <c r="R834"/>
  <c r="H465"/>
  <c r="S465"/>
  <c r="S239" s="1"/>
  <c r="I834"/>
  <c r="J834"/>
  <c r="K834" s="1"/>
  <c r="I465"/>
  <c r="P407"/>
  <c r="L407" s="1"/>
  <c r="L409"/>
  <c r="K409" s="1"/>
  <c r="J726"/>
  <c r="J455" s="1"/>
  <c r="J227" s="1"/>
  <c r="K746"/>
  <c r="K80"/>
  <c r="K744"/>
  <c r="J71"/>
  <c r="J70" s="1"/>
  <c r="K172"/>
  <c r="O241"/>
  <c r="L408"/>
  <c r="K408" s="1"/>
  <c r="L394"/>
  <c r="L229"/>
  <c r="L37"/>
  <c r="M379"/>
  <c r="L379" s="1"/>
  <c r="L167"/>
  <c r="K167" s="1"/>
  <c r="M703"/>
  <c r="L703" s="1"/>
  <c r="K703" s="1"/>
  <c r="L704"/>
  <c r="K704" s="1"/>
  <c r="M621"/>
  <c r="M237"/>
  <c r="L237" s="1"/>
  <c r="L463"/>
  <c r="L622"/>
  <c r="P71"/>
  <c r="P70" s="1"/>
  <c r="P11" s="1"/>
  <c r="L92"/>
  <c r="K92" s="1"/>
  <c r="O259"/>
  <c r="O254" s="1"/>
  <c r="M270"/>
  <c r="M259"/>
  <c r="N11"/>
  <c r="M749"/>
  <c r="M734" s="1"/>
  <c r="L750"/>
  <c r="K750" s="1"/>
  <c r="L198"/>
  <c r="K198" s="1"/>
  <c r="L208"/>
  <c r="L207"/>
  <c r="M464"/>
  <c r="M721"/>
  <c r="K723"/>
  <c r="O451"/>
  <c r="O219" s="1"/>
  <c r="N451"/>
  <c r="N219" s="1"/>
  <c r="N721"/>
  <c r="N450" s="1"/>
  <c r="O721"/>
  <c r="K736"/>
  <c r="P456"/>
  <c r="L625"/>
  <c r="K625" s="1"/>
  <c r="L202"/>
  <c r="L96"/>
  <c r="L187"/>
  <c r="M1002"/>
  <c r="L1002" s="1"/>
  <c r="L1069"/>
  <c r="K1069" s="1"/>
  <c r="L1055"/>
  <c r="L1003"/>
  <c r="L1045"/>
  <c r="M239"/>
  <c r="M998"/>
  <c r="L1048"/>
  <c r="K1048" s="1"/>
  <c r="N1037"/>
  <c r="N991" s="1"/>
  <c r="P221"/>
  <c r="L221" s="1"/>
  <c r="P1015"/>
  <c r="L1016"/>
  <c r="M970"/>
  <c r="L970" s="1"/>
  <c r="L986"/>
  <c r="L924"/>
  <c r="L925"/>
  <c r="L942"/>
  <c r="M933"/>
  <c r="L726"/>
  <c r="M902"/>
  <c r="L902" s="1"/>
  <c r="L903"/>
  <c r="K903" s="1"/>
  <c r="K728"/>
  <c r="M451"/>
  <c r="M219" s="1"/>
  <c r="L870"/>
  <c r="L725"/>
  <c r="H804"/>
  <c r="F465"/>
  <c r="Q860"/>
  <c r="D733"/>
  <c r="D465" s="1"/>
  <c r="J860"/>
  <c r="K860" s="1"/>
  <c r="I860"/>
  <c r="J804"/>
  <c r="K804" s="1"/>
  <c r="H860"/>
  <c r="J885"/>
  <c r="K886"/>
  <c r="J735"/>
  <c r="K735" s="1"/>
  <c r="J579"/>
  <c r="J578" s="1"/>
  <c r="J577" s="1"/>
  <c r="K577" s="1"/>
  <c r="K580"/>
  <c r="K570"/>
  <c r="J262"/>
  <c r="K263"/>
  <c r="L168"/>
  <c r="K168" s="1"/>
  <c r="P590"/>
  <c r="L591"/>
  <c r="K591" s="1"/>
  <c r="P569"/>
  <c r="L569" s="1"/>
  <c r="M567"/>
  <c r="L453"/>
  <c r="L502"/>
  <c r="L452"/>
  <c r="M477"/>
  <c r="M466" s="1"/>
  <c r="L479"/>
  <c r="L468"/>
  <c r="M467"/>
  <c r="L467" s="1"/>
  <c r="L478"/>
  <c r="L439"/>
  <c r="K439" s="1"/>
  <c r="L415"/>
  <c r="M422"/>
  <c r="L992"/>
  <c r="L1038"/>
  <c r="M1036"/>
  <c r="L1047"/>
  <c r="M991"/>
  <c r="L455"/>
  <c r="L227"/>
  <c r="L22"/>
  <c r="K22" s="1"/>
  <c r="M128"/>
  <c r="M18"/>
  <c r="M17" s="1"/>
  <c r="M11" s="1"/>
  <c r="N259"/>
  <c r="N270"/>
  <c r="N261" s="1"/>
  <c r="N734"/>
  <c r="N720" s="1"/>
  <c r="N449" s="1"/>
  <c r="O621"/>
  <c r="O631"/>
  <c r="O620" s="1"/>
  <c r="O729"/>
  <c r="O458" s="1"/>
  <c r="O734"/>
  <c r="P276"/>
  <c r="P259" s="1"/>
  <c r="P254" s="1"/>
  <c r="P477"/>
  <c r="P466" s="1"/>
  <c r="P690"/>
  <c r="L690" s="1"/>
  <c r="P239"/>
  <c r="P722"/>
  <c r="L722" s="1"/>
  <c r="P454"/>
  <c r="P1042"/>
  <c r="P998" s="1"/>
  <c r="P749"/>
  <c r="P732"/>
  <c r="P464" s="1"/>
  <c r="P631"/>
  <c r="P621"/>
  <c r="P800"/>
  <c r="L800" s="1"/>
  <c r="P806"/>
  <c r="P571"/>
  <c r="P868"/>
  <c r="L868" s="1"/>
  <c r="P874"/>
  <c r="P867" s="1"/>
  <c r="P243"/>
  <c r="L243" s="1"/>
  <c r="P262"/>
  <c r="L262" s="1"/>
  <c r="S994"/>
  <c r="S1006"/>
  <c r="S1005"/>
  <c r="R994"/>
  <c r="Q1006"/>
  <c r="Q991" s="1"/>
  <c r="Q1015"/>
  <c r="Q1007"/>
  <c r="Q992" s="1"/>
  <c r="S943"/>
  <c r="S927"/>
  <c r="Q927"/>
  <c r="S870"/>
  <c r="S725" s="1"/>
  <c r="R870"/>
  <c r="R725" s="1"/>
  <c r="Q870"/>
  <c r="Q725" s="1"/>
  <c r="S801"/>
  <c r="S453"/>
  <c r="R453"/>
  <c r="Q453"/>
  <c r="Q726"/>
  <c r="Q455" s="1"/>
  <c r="Q227" s="1"/>
  <c r="Q452"/>
  <c r="Q220" s="1"/>
  <c r="S627"/>
  <c r="Q663"/>
  <c r="R624"/>
  <c r="Q631"/>
  <c r="S624"/>
  <c r="R633"/>
  <c r="R632" s="1"/>
  <c r="R631" s="1"/>
  <c r="Q624"/>
  <c r="S479"/>
  <c r="S468" s="1"/>
  <c r="Q487"/>
  <c r="S415"/>
  <c r="R416"/>
  <c r="Q416"/>
  <c r="R424"/>
  <c r="S1055"/>
  <c r="S1037"/>
  <c r="Q1048"/>
  <c r="Q1047" s="1"/>
  <c r="G187"/>
  <c r="F181"/>
  <c r="G160"/>
  <c r="H37"/>
  <c r="G37"/>
  <c r="E160"/>
  <c r="S18"/>
  <c r="S17" s="1"/>
  <c r="Q18"/>
  <c r="Q17" s="1"/>
  <c r="R18"/>
  <c r="R17" s="1"/>
  <c r="S157"/>
  <c r="R157"/>
  <c r="Q157"/>
  <c r="R150"/>
  <c r="Q150"/>
  <c r="S150"/>
  <c r="S139"/>
  <c r="R139"/>
  <c r="J96"/>
  <c r="J204"/>
  <c r="K204" s="1"/>
  <c r="J203"/>
  <c r="K203" s="1"/>
  <c r="I420"/>
  <c r="I423"/>
  <c r="I422" s="1"/>
  <c r="G569"/>
  <c r="G572"/>
  <c r="J124"/>
  <c r="J123" s="1"/>
  <c r="H601"/>
  <c r="Q143"/>
  <c r="I204"/>
  <c r="I203"/>
  <c r="J37"/>
  <c r="J143"/>
  <c r="K143" s="1"/>
  <c r="D204"/>
  <c r="D203"/>
  <c r="S252"/>
  <c r="S229" s="1"/>
  <c r="S394"/>
  <c r="S393" s="1"/>
  <c r="S379" s="1"/>
  <c r="D478"/>
  <c r="D467" s="1"/>
  <c r="D522"/>
  <c r="D479"/>
  <c r="D468" s="1"/>
  <c r="H18"/>
  <c r="H17" s="1"/>
  <c r="H128"/>
  <c r="E651"/>
  <c r="E627"/>
  <c r="I37"/>
  <c r="I143"/>
  <c r="Q408"/>
  <c r="Q243"/>
  <c r="Q407"/>
  <c r="J502"/>
  <c r="F478"/>
  <c r="F467" s="1"/>
  <c r="F479"/>
  <c r="F468" s="1"/>
  <c r="F512"/>
  <c r="F477" s="1"/>
  <c r="F466" s="1"/>
  <c r="J187"/>
  <c r="H242"/>
  <c r="F18"/>
  <c r="F17" s="1"/>
  <c r="F128"/>
  <c r="F124" s="1"/>
  <c r="F123" s="1"/>
  <c r="S631"/>
  <c r="S621"/>
  <c r="J673"/>
  <c r="K673" s="1"/>
  <c r="I187"/>
  <c r="Q601"/>
  <c r="J394"/>
  <c r="J393" s="1"/>
  <c r="J252"/>
  <c r="J229" s="1"/>
  <c r="I439"/>
  <c r="I438" s="1"/>
  <c r="I415"/>
  <c r="D18"/>
  <c r="D17" s="1"/>
  <c r="D128"/>
  <c r="D124" s="1"/>
  <c r="D123" s="1"/>
  <c r="I571"/>
  <c r="I567" s="1"/>
  <c r="I568"/>
  <c r="S568"/>
  <c r="S571"/>
  <c r="S567" s="1"/>
  <c r="I124"/>
  <c r="I123" s="1"/>
  <c r="E143"/>
  <c r="E37"/>
  <c r="Q522"/>
  <c r="Q479"/>
  <c r="Q468" s="1"/>
  <c r="H732"/>
  <c r="H464" s="1"/>
  <c r="H124"/>
  <c r="H123" s="1"/>
  <c r="R198"/>
  <c r="R187" s="1"/>
  <c r="R243"/>
  <c r="R385"/>
  <c r="R384" s="1"/>
  <c r="F408"/>
  <c r="F407"/>
  <c r="E423"/>
  <c r="E415"/>
  <c r="E571"/>
  <c r="E567" s="1"/>
  <c r="E568"/>
  <c r="S208"/>
  <c r="S207" s="1"/>
  <c r="S101"/>
  <c r="S96" s="1"/>
  <c r="S202" s="1"/>
  <c r="E408"/>
  <c r="E243"/>
  <c r="E407"/>
  <c r="R479"/>
  <c r="R468" s="1"/>
  <c r="E394"/>
  <c r="E393" s="1"/>
  <c r="E379" s="1"/>
  <c r="E252"/>
  <c r="E229" s="1"/>
  <c r="E631"/>
  <c r="E621"/>
  <c r="F37"/>
  <c r="Q478"/>
  <c r="Q467" s="1"/>
  <c r="Q96"/>
  <c r="Q203"/>
  <c r="D394"/>
  <c r="D393" s="1"/>
  <c r="D379" s="1"/>
  <c r="D252"/>
  <c r="D229" s="1"/>
  <c r="Q415"/>
  <c r="I622"/>
  <c r="R806"/>
  <c r="R800"/>
  <c r="I875"/>
  <c r="I869"/>
  <c r="E869"/>
  <c r="E903"/>
  <c r="E902" s="1"/>
  <c r="J18"/>
  <c r="J17" s="1"/>
  <c r="J208"/>
  <c r="J207" s="1"/>
  <c r="R236"/>
  <c r="D263"/>
  <c r="G277"/>
  <c r="G276" s="1"/>
  <c r="E281"/>
  <c r="Q320"/>
  <c r="Q319" s="1"/>
  <c r="G416"/>
  <c r="I421"/>
  <c r="H424"/>
  <c r="E465"/>
  <c r="Q484"/>
  <c r="Q474" s="1"/>
  <c r="Q630"/>
  <c r="Q463" s="1"/>
  <c r="I632"/>
  <c r="G644"/>
  <c r="G643" s="1"/>
  <c r="G642" s="1"/>
  <c r="F682"/>
  <c r="E736"/>
  <c r="R750"/>
  <c r="Q749"/>
  <c r="Q806"/>
  <c r="Q800"/>
  <c r="H813"/>
  <c r="I18"/>
  <c r="I17" s="1"/>
  <c r="H96"/>
  <c r="H202" s="1"/>
  <c r="G211"/>
  <c r="F236"/>
  <c r="F277"/>
  <c r="F276" s="1"/>
  <c r="Q384"/>
  <c r="Q379" s="1"/>
  <c r="J407"/>
  <c r="H421"/>
  <c r="S427"/>
  <c r="S420" s="1"/>
  <c r="E432"/>
  <c r="J512"/>
  <c r="K512" s="1"/>
  <c r="I630"/>
  <c r="I463" s="1"/>
  <c r="G409"/>
  <c r="G246"/>
  <c r="G222" s="1"/>
  <c r="J572"/>
  <c r="K572" s="1"/>
  <c r="D700"/>
  <c r="D699" s="1"/>
  <c r="D698" s="1"/>
  <c r="D625"/>
  <c r="D456" s="1"/>
  <c r="D228" s="1"/>
  <c r="E966"/>
  <c r="E941"/>
  <c r="E932" s="1"/>
  <c r="R971"/>
  <c r="R986"/>
  <c r="D1037"/>
  <c r="D994"/>
  <c r="I1003"/>
  <c r="G128"/>
  <c r="G124" s="1"/>
  <c r="G123" s="1"/>
  <c r="E277"/>
  <c r="R394"/>
  <c r="R393" s="1"/>
  <c r="E416"/>
  <c r="E496"/>
  <c r="E484" s="1"/>
  <c r="E474" s="1"/>
  <c r="E570"/>
  <c r="H578"/>
  <c r="H577" s="1"/>
  <c r="E622"/>
  <c r="G630"/>
  <c r="S992"/>
  <c r="S478"/>
  <c r="S467" s="1"/>
  <c r="S487"/>
  <c r="D631"/>
  <c r="D715"/>
  <c r="D714"/>
  <c r="D713" s="1"/>
  <c r="R934"/>
  <c r="R942"/>
  <c r="R974"/>
  <c r="R976"/>
  <c r="Q986"/>
  <c r="Q971"/>
  <c r="J212"/>
  <c r="K212" s="1"/>
  <c r="R408"/>
  <c r="R570"/>
  <c r="R573"/>
  <c r="J630"/>
  <c r="J652"/>
  <c r="Q942"/>
  <c r="Q934"/>
  <c r="Q976"/>
  <c r="Q974"/>
  <c r="D277"/>
  <c r="Q332"/>
  <c r="Q331" s="1"/>
  <c r="G415"/>
  <c r="I416"/>
  <c r="S463"/>
  <c r="S237" s="1"/>
  <c r="R488"/>
  <c r="G484"/>
  <c r="G474" s="1"/>
  <c r="I502"/>
  <c r="S569"/>
  <c r="E630"/>
  <c r="E463" s="1"/>
  <c r="Q622"/>
  <c r="F750"/>
  <c r="D875"/>
  <c r="D869"/>
  <c r="D976"/>
  <c r="D974"/>
  <c r="D1029"/>
  <c r="D1028" s="1"/>
  <c r="D38"/>
  <c r="D37" s="1"/>
  <c r="H203"/>
  <c r="I243"/>
  <c r="I248"/>
  <c r="I332"/>
  <c r="I331" s="1"/>
  <c r="I408"/>
  <c r="S522"/>
  <c r="Q621"/>
  <c r="D630"/>
  <c r="D463" s="1"/>
  <c r="J642"/>
  <c r="K642" s="1"/>
  <c r="R736"/>
  <c r="E750"/>
  <c r="S736"/>
  <c r="S726"/>
  <c r="S455" s="1"/>
  <c r="S227" s="1"/>
  <c r="F806"/>
  <c r="F800"/>
  <c r="S874"/>
  <c r="S868"/>
  <c r="Q903"/>
  <c r="Q902" s="1"/>
  <c r="Q869"/>
  <c r="I1015"/>
  <c r="I1005" s="1"/>
  <c r="I1006"/>
  <c r="I991" s="1"/>
  <c r="S130"/>
  <c r="S124" s="1"/>
  <c r="S123" s="1"/>
  <c r="I569"/>
  <c r="E569"/>
  <c r="H663"/>
  <c r="F622"/>
  <c r="F632"/>
  <c r="E806"/>
  <c r="E800"/>
  <c r="D814"/>
  <c r="D813" s="1"/>
  <c r="D801"/>
  <c r="H1015"/>
  <c r="H1005" s="1"/>
  <c r="H1006"/>
  <c r="H991" s="1"/>
  <c r="R101"/>
  <c r="R96" s="1"/>
  <c r="R202" s="1"/>
  <c r="F243"/>
  <c r="R239"/>
  <c r="S277"/>
  <c r="S276" s="1"/>
  <c r="H308"/>
  <c r="H307" s="1"/>
  <c r="G332"/>
  <c r="G331" s="1"/>
  <c r="H478"/>
  <c r="H467" s="1"/>
  <c r="S409"/>
  <c r="S243" s="1"/>
  <c r="S246"/>
  <c r="S222" s="1"/>
  <c r="G487"/>
  <c r="G478"/>
  <c r="G467" s="1"/>
  <c r="G732"/>
  <c r="G464" s="1"/>
  <c r="F971"/>
  <c r="F986"/>
  <c r="F970" s="1"/>
  <c r="E203"/>
  <c r="H243"/>
  <c r="I750"/>
  <c r="I488"/>
  <c r="I479"/>
  <c r="I468" s="1"/>
  <c r="J684"/>
  <c r="J683" s="1"/>
  <c r="J682" s="1"/>
  <c r="K682" s="1"/>
  <c r="J624"/>
  <c r="K624" s="1"/>
  <c r="H874"/>
  <c r="F942"/>
  <c r="F933" s="1"/>
  <c r="F934"/>
  <c r="E971"/>
  <c r="E986"/>
  <c r="E970" s="1"/>
  <c r="R131"/>
  <c r="R124" s="1"/>
  <c r="R123" s="1"/>
  <c r="D212"/>
  <c r="F415"/>
  <c r="Q423"/>
  <c r="J432"/>
  <c r="E478"/>
  <c r="E467" s="1"/>
  <c r="S570"/>
  <c r="G570"/>
  <c r="G454" s="1"/>
  <c r="G225" s="1"/>
  <c r="Q585"/>
  <c r="Q584" s="1"/>
  <c r="Q583" s="1"/>
  <c r="Q567" s="1"/>
  <c r="S622"/>
  <c r="G628"/>
  <c r="D750"/>
  <c r="G938"/>
  <c r="G928" s="1"/>
  <c r="E512"/>
  <c r="E479"/>
  <c r="E468" s="1"/>
  <c r="F573"/>
  <c r="F570"/>
  <c r="H624"/>
  <c r="H633"/>
  <c r="J696"/>
  <c r="J690" s="1"/>
  <c r="J628"/>
  <c r="G874"/>
  <c r="G868"/>
  <c r="E942"/>
  <c r="E934"/>
  <c r="Q128"/>
  <c r="Q124" s="1"/>
  <c r="Q123" s="1"/>
  <c r="J277"/>
  <c r="J276" s="1"/>
  <c r="J259" s="1"/>
  <c r="J416"/>
  <c r="K416" s="1"/>
  <c r="Q548"/>
  <c r="E601"/>
  <c r="R682"/>
  <c r="H571"/>
  <c r="D726"/>
  <c r="D455" s="1"/>
  <c r="D227" s="1"/>
  <c r="D744"/>
  <c r="J875"/>
  <c r="K875" s="1"/>
  <c r="D415"/>
  <c r="J421"/>
  <c r="K421" s="1"/>
  <c r="J496"/>
  <c r="J631"/>
  <c r="I627"/>
  <c r="E801"/>
  <c r="S814"/>
  <c r="H821"/>
  <c r="H820" s="1"/>
  <c r="H799" s="1"/>
  <c r="S869"/>
  <c r="R894"/>
  <c r="J950"/>
  <c r="R951"/>
  <c r="R950" s="1"/>
  <c r="F957"/>
  <c r="F938" s="1"/>
  <c r="F928" s="1"/>
  <c r="D1049"/>
  <c r="E1055"/>
  <c r="E1047" s="1"/>
  <c r="E1036" s="1"/>
  <c r="G1070"/>
  <c r="G1069" s="1"/>
  <c r="G1002" s="1"/>
  <c r="Q1076"/>
  <c r="Q1075" s="1"/>
  <c r="Q1002" s="1"/>
  <c r="I1010"/>
  <c r="W721"/>
  <c r="D938"/>
  <c r="F939"/>
  <c r="F930" s="1"/>
  <c r="S956"/>
  <c r="Q1045"/>
  <c r="Q1003" s="1"/>
  <c r="G804"/>
  <c r="R956"/>
  <c r="H1044"/>
  <c r="H1042" s="1"/>
  <c r="H998" s="1"/>
  <c r="R801"/>
  <c r="D803"/>
  <c r="D724" s="1"/>
  <c r="D453" s="1"/>
  <c r="J870"/>
  <c r="Q956"/>
  <c r="I800"/>
  <c r="Q801"/>
  <c r="G814"/>
  <c r="G869"/>
  <c r="I870"/>
  <c r="I725" s="1"/>
  <c r="F894"/>
  <c r="J956"/>
  <c r="K956" s="1"/>
  <c r="H1048"/>
  <c r="S1070"/>
  <c r="S1069" s="1"/>
  <c r="S1002" s="1"/>
  <c r="D800"/>
  <c r="F801"/>
  <c r="D870"/>
  <c r="D725" s="1"/>
  <c r="D799" l="1"/>
  <c r="D928"/>
  <c r="D943"/>
  <c r="D934" s="1"/>
  <c r="D924" s="1"/>
  <c r="Q925"/>
  <c r="I237"/>
  <c r="H181"/>
  <c r="K236"/>
  <c r="J749"/>
  <c r="J729" s="1"/>
  <c r="E242"/>
  <c r="I242"/>
  <c r="K452"/>
  <c r="G71"/>
  <c r="G70" s="1"/>
  <c r="I71"/>
  <c r="I70" s="1"/>
  <c r="E998"/>
  <c r="I992"/>
  <c r="Q202"/>
  <c r="W61"/>
  <c r="J202"/>
  <c r="K202" s="1"/>
  <c r="G181"/>
  <c r="G423"/>
  <c r="G422" s="1"/>
  <c r="G414" s="1"/>
  <c r="R423"/>
  <c r="R422" s="1"/>
  <c r="R414" s="1"/>
  <c r="F242"/>
  <c r="S620"/>
  <c r="G461"/>
  <c r="S867"/>
  <c r="Q729"/>
  <c r="Q458" s="1"/>
  <c r="E990"/>
  <c r="I558"/>
  <c r="K920"/>
  <c r="D276"/>
  <c r="D259" s="1"/>
  <c r="D254" s="1"/>
  <c r="Q242"/>
  <c r="K902"/>
  <c r="E1015"/>
  <c r="E1005" s="1"/>
  <c r="H237"/>
  <c r="J238"/>
  <c r="Q799"/>
  <c r="S1047"/>
  <c r="S1036" s="1"/>
  <c r="S990" s="1"/>
  <c r="K921"/>
  <c r="R232"/>
  <c r="K873"/>
  <c r="J925"/>
  <c r="K925" s="1"/>
  <c r="H867"/>
  <c r="D414"/>
  <c r="K1016"/>
  <c r="K970"/>
  <c r="K1002"/>
  <c r="K801"/>
  <c r="O720"/>
  <c r="O449" s="1"/>
  <c r="O217" s="1"/>
  <c r="O1087" s="1"/>
  <c r="H942"/>
  <c r="H933" s="1"/>
  <c r="H923" s="1"/>
  <c r="Q239"/>
  <c r="F799"/>
  <c r="S729"/>
  <c r="S458" s="1"/>
  <c r="K220"/>
  <c r="G11"/>
  <c r="J1015"/>
  <c r="J1005" s="1"/>
  <c r="J990" s="1"/>
  <c r="R1006"/>
  <c r="R991" s="1"/>
  <c r="G379"/>
  <c r="H567"/>
  <c r="H558" s="1"/>
  <c r="Q1005"/>
  <c r="K1006"/>
  <c r="D452"/>
  <c r="D220" s="1"/>
  <c r="H138"/>
  <c r="H117" s="1"/>
  <c r="R998"/>
  <c r="I799"/>
  <c r="G722"/>
  <c r="S732"/>
  <c r="S464" s="1"/>
  <c r="F138"/>
  <c r="F117" s="1"/>
  <c r="P414"/>
  <c r="I221"/>
  <c r="D569"/>
  <c r="E239"/>
  <c r="K987"/>
  <c r="R276"/>
  <c r="R270" s="1"/>
  <c r="R261" s="1"/>
  <c r="K943"/>
  <c r="G867"/>
  <c r="K700"/>
  <c r="F463"/>
  <c r="F237" s="1"/>
  <c r="Q237"/>
  <c r="L423"/>
  <c r="K423" s="1"/>
  <c r="S928"/>
  <c r="K459"/>
  <c r="D930"/>
  <c r="D237" s="1"/>
  <c r="S423"/>
  <c r="S422" s="1"/>
  <c r="S414" s="1"/>
  <c r="E924"/>
  <c r="D970"/>
  <c r="K1038"/>
  <c r="D624"/>
  <c r="H221"/>
  <c r="F221"/>
  <c r="G621"/>
  <c r="S232"/>
  <c r="K986"/>
  <c r="G221"/>
  <c r="J971"/>
  <c r="J924" s="1"/>
  <c r="K924" s="1"/>
  <c r="J942"/>
  <c r="J933" s="1"/>
  <c r="J923" s="1"/>
  <c r="D925"/>
  <c r="Q422"/>
  <c r="Q414" s="1"/>
  <c r="J1042"/>
  <c r="J998" s="1"/>
  <c r="R925"/>
  <c r="F454"/>
  <c r="F225" s="1"/>
  <c r="F1036"/>
  <c r="F990" s="1"/>
  <c r="G477"/>
  <c r="G466" s="1"/>
  <c r="D239"/>
  <c r="G1047"/>
  <c r="I239"/>
  <c r="J384"/>
  <c r="K384" s="1"/>
  <c r="I96"/>
  <c r="I202" s="1"/>
  <c r="H971"/>
  <c r="H924" s="1"/>
  <c r="I276"/>
  <c r="I259" s="1"/>
  <c r="I254" s="1"/>
  <c r="K96"/>
  <c r="F923"/>
  <c r="Q970"/>
  <c r="R970"/>
  <c r="J11"/>
  <c r="F239"/>
  <c r="D621"/>
  <c r="H487"/>
  <c r="H477" s="1"/>
  <c r="H466" s="1"/>
  <c r="S998"/>
  <c r="K1045"/>
  <c r="H276"/>
  <c r="E867"/>
  <c r="Q276"/>
  <c r="Q259" s="1"/>
  <c r="F1042"/>
  <c r="F998" s="1"/>
  <c r="R237"/>
  <c r="J221"/>
  <c r="K221" s="1"/>
  <c r="H869"/>
  <c r="H722" s="1"/>
  <c r="H454"/>
  <c r="H225" s="1"/>
  <c r="R415"/>
  <c r="K1055"/>
  <c r="D1005"/>
  <c r="K699"/>
  <c r="D1042"/>
  <c r="D998" s="1"/>
  <c r="I986"/>
  <c r="I970" s="1"/>
  <c r="I971"/>
  <c r="G463"/>
  <c r="G237" s="1"/>
  <c r="J622"/>
  <c r="K622" s="1"/>
  <c r="D570"/>
  <c r="S991"/>
  <c r="E620"/>
  <c r="K690"/>
  <c r="I454"/>
  <c r="I225" s="1"/>
  <c r="I942"/>
  <c r="I933" s="1"/>
  <c r="I934"/>
  <c r="E868"/>
  <c r="E933"/>
  <c r="E923" s="1"/>
  <c r="E454"/>
  <c r="E225" s="1"/>
  <c r="I722"/>
  <c r="I451" s="1"/>
  <c r="H232"/>
  <c r="I461"/>
  <c r="Q924"/>
  <c r="K992"/>
  <c r="K187"/>
  <c r="K394"/>
  <c r="K407"/>
  <c r="G138"/>
  <c r="G117" s="1"/>
  <c r="F232"/>
  <c r="E221"/>
  <c r="E235"/>
  <c r="E232"/>
  <c r="J651"/>
  <c r="K651" s="1"/>
  <c r="K652"/>
  <c r="S558"/>
  <c r="S84"/>
  <c r="G934"/>
  <c r="G924" s="1"/>
  <c r="G942"/>
  <c r="G933" s="1"/>
  <c r="G923" s="1"/>
  <c r="J813"/>
  <c r="K813" s="1"/>
  <c r="K814"/>
  <c r="J270"/>
  <c r="J261" s="1"/>
  <c r="R924"/>
  <c r="D477"/>
  <c r="D466" s="1"/>
  <c r="D235"/>
  <c r="F925"/>
  <c r="K485"/>
  <c r="J475"/>
  <c r="K475" s="1"/>
  <c r="J930"/>
  <c r="K930" s="1"/>
  <c r="K939"/>
  <c r="K432"/>
  <c r="K338"/>
  <c r="J337"/>
  <c r="K337" s="1"/>
  <c r="F420"/>
  <c r="F423"/>
  <c r="F422" s="1"/>
  <c r="F414" s="1"/>
  <c r="R379"/>
  <c r="J484"/>
  <c r="K496"/>
  <c r="J966"/>
  <c r="K966" s="1"/>
  <c r="K967"/>
  <c r="D407"/>
  <c r="D408"/>
  <c r="P928"/>
  <c r="L928" s="1"/>
  <c r="K928" s="1"/>
  <c r="L938"/>
  <c r="K938" s="1"/>
  <c r="I414"/>
  <c r="K630"/>
  <c r="S970"/>
  <c r="K950"/>
  <c r="K332"/>
  <c r="J331"/>
  <c r="K331" s="1"/>
  <c r="Q867"/>
  <c r="Q928"/>
  <c r="G620"/>
  <c r="Q1036"/>
  <c r="R1036"/>
  <c r="R990" s="1"/>
  <c r="K230"/>
  <c r="J601"/>
  <c r="K601" s="1"/>
  <c r="K393"/>
  <c r="K696"/>
  <c r="Q620"/>
  <c r="K344"/>
  <c r="J343"/>
  <c r="K343" s="1"/>
  <c r="J422"/>
  <c r="J414" s="1"/>
  <c r="I990"/>
  <c r="E96"/>
  <c r="E202" s="1"/>
  <c r="E181" s="1"/>
  <c r="K800"/>
  <c r="D1006"/>
  <c r="E925"/>
  <c r="Q558"/>
  <c r="Q84"/>
  <c r="H1047"/>
  <c r="H1036" s="1"/>
  <c r="D221"/>
  <c r="H568"/>
  <c r="E237"/>
  <c r="J243"/>
  <c r="K243" s="1"/>
  <c r="R799"/>
  <c r="E558"/>
  <c r="J254"/>
  <c r="Q235"/>
  <c r="K415"/>
  <c r="K208"/>
  <c r="J228"/>
  <c r="K684"/>
  <c r="K207"/>
  <c r="J420"/>
  <c r="K420" s="1"/>
  <c r="K427"/>
  <c r="K277"/>
  <c r="K252"/>
  <c r="L730"/>
  <c r="K730" s="1"/>
  <c r="P461"/>
  <c r="K229"/>
  <c r="J559"/>
  <c r="K559" s="1"/>
  <c r="E138"/>
  <c r="E117" s="1"/>
  <c r="K37"/>
  <c r="K386"/>
  <c r="K683"/>
  <c r="K1047"/>
  <c r="K1003"/>
  <c r="Q221"/>
  <c r="N218"/>
  <c r="L1037"/>
  <c r="K1037" s="1"/>
  <c r="K502"/>
  <c r="K479"/>
  <c r="K468"/>
  <c r="J478"/>
  <c r="J467" s="1"/>
  <c r="K467" s="1"/>
  <c r="J487"/>
  <c r="K487" s="1"/>
  <c r="K453"/>
  <c r="J461"/>
  <c r="K628"/>
  <c r="J239"/>
  <c r="E799"/>
  <c r="L239"/>
  <c r="H239"/>
  <c r="K726"/>
  <c r="K455"/>
  <c r="K227"/>
  <c r="J379"/>
  <c r="K379" s="1"/>
  <c r="L991"/>
  <c r="K991" s="1"/>
  <c r="M620"/>
  <c r="L631"/>
  <c r="K631" s="1"/>
  <c r="O450"/>
  <c r="O218" s="1"/>
  <c r="L70"/>
  <c r="K70" s="1"/>
  <c r="L71"/>
  <c r="K71" s="1"/>
  <c r="O238"/>
  <c r="O231"/>
  <c r="O61" s="1"/>
  <c r="L276"/>
  <c r="K276" s="1"/>
  <c r="M261"/>
  <c r="M241" s="1"/>
  <c r="L259"/>
  <c r="K259" s="1"/>
  <c r="M254"/>
  <c r="K262"/>
  <c r="N241"/>
  <c r="N217" s="1"/>
  <c r="N1087" s="1"/>
  <c r="M729"/>
  <c r="M458" s="1"/>
  <c r="L749"/>
  <c r="L464"/>
  <c r="K464" s="1"/>
  <c r="L732"/>
  <c r="K732" s="1"/>
  <c r="P799"/>
  <c r="L799" s="1"/>
  <c r="L806"/>
  <c r="K806" s="1"/>
  <c r="P228"/>
  <c r="L228" s="1"/>
  <c r="L456"/>
  <c r="K456" s="1"/>
  <c r="L621"/>
  <c r="M238"/>
  <c r="L998"/>
  <c r="L1042"/>
  <c r="L1015"/>
  <c r="K1015" s="1"/>
  <c r="P1005"/>
  <c r="M923"/>
  <c r="L923" s="1"/>
  <c r="L933"/>
  <c r="M867"/>
  <c r="L867" s="1"/>
  <c r="L874"/>
  <c r="J884"/>
  <c r="J868" s="1"/>
  <c r="K885"/>
  <c r="J869"/>
  <c r="J725"/>
  <c r="K725" s="1"/>
  <c r="K870"/>
  <c r="J569"/>
  <c r="K579"/>
  <c r="K578"/>
  <c r="P451"/>
  <c r="L451" s="1"/>
  <c r="P589"/>
  <c r="L589" s="1"/>
  <c r="K589" s="1"/>
  <c r="L590"/>
  <c r="K590" s="1"/>
  <c r="P568"/>
  <c r="L568" s="1"/>
  <c r="L571"/>
  <c r="M558"/>
  <c r="P225"/>
  <c r="L225" s="1"/>
  <c r="L454"/>
  <c r="M450"/>
  <c r="M218" s="1"/>
  <c r="L466"/>
  <c r="L477"/>
  <c r="M414"/>
  <c r="L422"/>
  <c r="L1036"/>
  <c r="K1036" s="1"/>
  <c r="M990"/>
  <c r="L17"/>
  <c r="K17" s="1"/>
  <c r="L18"/>
  <c r="K18" s="1"/>
  <c r="M124"/>
  <c r="L128"/>
  <c r="K128" s="1"/>
  <c r="L11"/>
  <c r="N238"/>
  <c r="N254"/>
  <c r="N231" s="1"/>
  <c r="N61" s="1"/>
  <c r="P270"/>
  <c r="P261" s="1"/>
  <c r="P241" s="1"/>
  <c r="P238"/>
  <c r="P620"/>
  <c r="P721"/>
  <c r="L721" s="1"/>
  <c r="P729"/>
  <c r="P458" s="1"/>
  <c r="P231" s="1"/>
  <c r="P61" s="1"/>
  <c r="P734"/>
  <c r="P242"/>
  <c r="L242" s="1"/>
  <c r="R221"/>
  <c r="S934"/>
  <c r="S924" s="1"/>
  <c r="S942"/>
  <c r="S933" s="1"/>
  <c r="S923" s="1"/>
  <c r="S221"/>
  <c r="S454"/>
  <c r="S225" s="1"/>
  <c r="Q722"/>
  <c r="Q454"/>
  <c r="Q225" s="1"/>
  <c r="R454"/>
  <c r="R225" s="1"/>
  <c r="R622"/>
  <c r="R620"/>
  <c r="R621"/>
  <c r="Q477"/>
  <c r="Q466" s="1"/>
  <c r="R569"/>
  <c r="R572"/>
  <c r="D571"/>
  <c r="D567" s="1"/>
  <c r="D558" s="1"/>
  <c r="D568"/>
  <c r="H990"/>
  <c r="Q868"/>
  <c r="Q721" s="1"/>
  <c r="D270"/>
  <c r="D622"/>
  <c r="S477"/>
  <c r="S466" s="1"/>
  <c r="Q568"/>
  <c r="E422"/>
  <c r="E414" s="1"/>
  <c r="U244"/>
  <c r="E487"/>
  <c r="E477" s="1"/>
  <c r="E466" s="1"/>
  <c r="G408"/>
  <c r="G242" s="1"/>
  <c r="G243"/>
  <c r="G407"/>
  <c r="F270"/>
  <c r="F261" s="1"/>
  <c r="F241" s="1"/>
  <c r="F259"/>
  <c r="Q569"/>
  <c r="G729"/>
  <c r="G458" s="1"/>
  <c r="G734"/>
  <c r="I621"/>
  <c r="I631"/>
  <c r="I620" s="1"/>
  <c r="D262"/>
  <c r="D243"/>
  <c r="Q933"/>
  <c r="Q923" s="1"/>
  <c r="D620"/>
  <c r="J627"/>
  <c r="K627" s="1"/>
  <c r="R893"/>
  <c r="R869"/>
  <c r="R722" s="1"/>
  <c r="S722"/>
  <c r="S451" s="1"/>
  <c r="S219" s="1"/>
  <c r="S735"/>
  <c r="S270"/>
  <c r="S261" s="1"/>
  <c r="S259"/>
  <c r="F631"/>
  <c r="F620" s="1"/>
  <c r="F621"/>
  <c r="F732"/>
  <c r="F464" s="1"/>
  <c r="F749"/>
  <c r="G270"/>
  <c r="G261" s="1"/>
  <c r="G241" s="1"/>
  <c r="G259"/>
  <c r="J621"/>
  <c r="J568"/>
  <c r="J571"/>
  <c r="J567" s="1"/>
  <c r="G800"/>
  <c r="G721" s="1"/>
  <c r="G813"/>
  <c r="G799" s="1"/>
  <c r="F572"/>
  <c r="F569"/>
  <c r="R487"/>
  <c r="R477" s="1"/>
  <c r="R466" s="1"/>
  <c r="R478"/>
  <c r="R467" s="1"/>
  <c r="F924"/>
  <c r="H800"/>
  <c r="H721" s="1"/>
  <c r="D1048"/>
  <c r="D1047" s="1"/>
  <c r="D1036" s="1"/>
  <c r="D1038"/>
  <c r="D992" s="1"/>
  <c r="G571"/>
  <c r="G567" s="1"/>
  <c r="G558" s="1"/>
  <c r="G568"/>
  <c r="R938"/>
  <c r="R928" s="1"/>
  <c r="H11"/>
  <c r="E722"/>
  <c r="E451" s="1"/>
  <c r="E735"/>
  <c r="D80"/>
  <c r="D722"/>
  <c r="H632"/>
  <c r="H622"/>
  <c r="E749"/>
  <c r="E729" s="1"/>
  <c r="E458" s="1"/>
  <c r="E732"/>
  <c r="E464" s="1"/>
  <c r="R732"/>
  <c r="R464" s="1"/>
  <c r="R749"/>
  <c r="R729" s="1"/>
  <c r="R458" s="1"/>
  <c r="H423"/>
  <c r="H422" s="1"/>
  <c r="H414" s="1"/>
  <c r="H415"/>
  <c r="R933"/>
  <c r="R923" s="1"/>
  <c r="R735"/>
  <c r="F869"/>
  <c r="F722" s="1"/>
  <c r="F893"/>
  <c r="J874"/>
  <c r="G235"/>
  <c r="G232"/>
  <c r="I749"/>
  <c r="I732"/>
  <c r="I464" s="1"/>
  <c r="H729"/>
  <c r="H458" s="1"/>
  <c r="H734"/>
  <c r="H720" s="1"/>
  <c r="G1036"/>
  <c r="G990" s="1"/>
  <c r="R242"/>
  <c r="G622"/>
  <c r="G451" s="1"/>
  <c r="D991"/>
  <c r="J477"/>
  <c r="J466" s="1"/>
  <c r="I874"/>
  <c r="I867" s="1"/>
  <c r="I868"/>
  <c r="I721" s="1"/>
  <c r="S813"/>
  <c r="S799" s="1"/>
  <c r="S800"/>
  <c r="D749"/>
  <c r="D732"/>
  <c r="D464" s="1"/>
  <c r="D238" s="1"/>
  <c r="I487"/>
  <c r="I477" s="1"/>
  <c r="I466" s="1"/>
  <c r="I478"/>
  <c r="I467" s="1"/>
  <c r="S407"/>
  <c r="S408"/>
  <c r="S242" s="1"/>
  <c r="I998"/>
  <c r="Q734"/>
  <c r="Q1042"/>
  <c r="Q998" s="1"/>
  <c r="E276"/>
  <c r="J242"/>
  <c r="D874"/>
  <c r="D867" s="1"/>
  <c r="D868"/>
  <c r="D721" s="1"/>
  <c r="F11"/>
  <c r="J734" l="1"/>
  <c r="I219"/>
  <c r="R241"/>
  <c r="K749"/>
  <c r="D942"/>
  <c r="D933" s="1"/>
  <c r="D923" s="1"/>
  <c r="I923"/>
  <c r="P62"/>
  <c r="P162"/>
  <c r="O62"/>
  <c r="O162"/>
  <c r="N62"/>
  <c r="N162"/>
  <c r="Q990"/>
  <c r="Q720"/>
  <c r="Q449" s="1"/>
  <c r="J799"/>
  <c r="K799" s="1"/>
  <c r="K422"/>
  <c r="Q270"/>
  <c r="Q261" s="1"/>
  <c r="Q241" s="1"/>
  <c r="D450"/>
  <c r="K998"/>
  <c r="K1042"/>
  <c r="D451"/>
  <c r="D219" s="1"/>
  <c r="K923"/>
  <c r="D454"/>
  <c r="D225" s="1"/>
  <c r="I270"/>
  <c r="I261" s="1"/>
  <c r="I241" s="1"/>
  <c r="R259"/>
  <c r="R254" s="1"/>
  <c r="K942"/>
  <c r="L414"/>
  <c r="K414" s="1"/>
  <c r="K933"/>
  <c r="E219"/>
  <c r="F451"/>
  <c r="F219" s="1"/>
  <c r="J241"/>
  <c r="K971"/>
  <c r="U232"/>
  <c r="J558"/>
  <c r="G450"/>
  <c r="G218" s="1"/>
  <c r="I11"/>
  <c r="H259"/>
  <c r="H270"/>
  <c r="H261" s="1"/>
  <c r="H241" s="1"/>
  <c r="I238"/>
  <c r="K11"/>
  <c r="K228"/>
  <c r="U219"/>
  <c r="J620"/>
  <c r="I924"/>
  <c r="H451"/>
  <c r="H219" s="1"/>
  <c r="D990"/>
  <c r="K571"/>
  <c r="I235"/>
  <c r="I232"/>
  <c r="E11"/>
  <c r="K874"/>
  <c r="Q451"/>
  <c r="Q219" s="1"/>
  <c r="Q174"/>
  <c r="Q168" s="1"/>
  <c r="Q167" s="1"/>
  <c r="Q71"/>
  <c r="Q70" s="1"/>
  <c r="S174"/>
  <c r="S168" s="1"/>
  <c r="S167" s="1"/>
  <c r="S71"/>
  <c r="S70" s="1"/>
  <c r="K621"/>
  <c r="J474"/>
  <c r="K484"/>
  <c r="L461"/>
  <c r="K461" s="1"/>
  <c r="P235"/>
  <c r="L235" s="1"/>
  <c r="P232"/>
  <c r="L232" s="1"/>
  <c r="Q450"/>
  <c r="Q218" s="1"/>
  <c r="K242"/>
  <c r="J463"/>
  <c r="K478"/>
  <c r="K466"/>
  <c r="K477"/>
  <c r="J232"/>
  <c r="J235"/>
  <c r="K239"/>
  <c r="L620"/>
  <c r="L270"/>
  <c r="K270" s="1"/>
  <c r="L254"/>
  <c r="K254" s="1"/>
  <c r="M231"/>
  <c r="M61" s="1"/>
  <c r="L241"/>
  <c r="L261"/>
  <c r="K261" s="1"/>
  <c r="L458"/>
  <c r="L729"/>
  <c r="K729" s="1"/>
  <c r="P720"/>
  <c r="L734"/>
  <c r="K734" s="1"/>
  <c r="L238"/>
  <c r="K238" s="1"/>
  <c r="P990"/>
  <c r="L990" s="1"/>
  <c r="K990" s="1"/>
  <c r="L1005"/>
  <c r="K1005" s="1"/>
  <c r="M720"/>
  <c r="I450"/>
  <c r="J721"/>
  <c r="K721" s="1"/>
  <c r="K868"/>
  <c r="J883"/>
  <c r="K883" s="1"/>
  <c r="K884"/>
  <c r="J722"/>
  <c r="K722" s="1"/>
  <c r="K869"/>
  <c r="J454"/>
  <c r="J225" s="1"/>
  <c r="K225" s="1"/>
  <c r="K569"/>
  <c r="K568"/>
  <c r="P219"/>
  <c r="L219" s="1"/>
  <c r="P450"/>
  <c r="P218" s="1"/>
  <c r="L218" s="1"/>
  <c r="P567"/>
  <c r="M123"/>
  <c r="L124"/>
  <c r="K124" s="1"/>
  <c r="R451"/>
  <c r="R219" s="1"/>
  <c r="S241"/>
  <c r="S238"/>
  <c r="S254"/>
  <c r="S231" s="1"/>
  <c r="S61" s="1"/>
  <c r="F238"/>
  <c r="F254"/>
  <c r="Q238"/>
  <c r="Q254"/>
  <c r="Q231" s="1"/>
  <c r="Q61" s="1"/>
  <c r="R734"/>
  <c r="F729"/>
  <c r="F458" s="1"/>
  <c r="F734"/>
  <c r="E270"/>
  <c r="E261" s="1"/>
  <c r="E241" s="1"/>
  <c r="E259"/>
  <c r="F892"/>
  <c r="F867" s="1"/>
  <c r="F868"/>
  <c r="F721" s="1"/>
  <c r="R568"/>
  <c r="R571"/>
  <c r="R567" s="1"/>
  <c r="D729"/>
  <c r="D458" s="1"/>
  <c r="D231" s="1"/>
  <c r="D734"/>
  <c r="D720" s="1"/>
  <c r="D449" s="1"/>
  <c r="G254"/>
  <c r="G231" s="1"/>
  <c r="G238"/>
  <c r="E734"/>
  <c r="E720" s="1"/>
  <c r="E449" s="1"/>
  <c r="E721"/>
  <c r="E450" s="1"/>
  <c r="E218" s="1"/>
  <c r="R892"/>
  <c r="R867" s="1"/>
  <c r="R868"/>
  <c r="R721" s="1"/>
  <c r="G720"/>
  <c r="G449" s="1"/>
  <c r="G217" s="1"/>
  <c r="G1087" s="1"/>
  <c r="D172"/>
  <c r="D168" s="1"/>
  <c r="D167" s="1"/>
  <c r="D71"/>
  <c r="D70" s="1"/>
  <c r="D11" s="1"/>
  <c r="R231"/>
  <c r="R61" s="1"/>
  <c r="F571"/>
  <c r="F567" s="1"/>
  <c r="F558" s="1"/>
  <c r="F568"/>
  <c r="I729"/>
  <c r="I458" s="1"/>
  <c r="I231" s="1"/>
  <c r="I734"/>
  <c r="I720" s="1"/>
  <c r="I449" s="1"/>
  <c r="H621"/>
  <c r="H450" s="1"/>
  <c r="H218" s="1"/>
  <c r="H631"/>
  <c r="H620" s="1"/>
  <c r="H449" s="1"/>
  <c r="S721"/>
  <c r="S450" s="1"/>
  <c r="S218" s="1"/>
  <c r="S734"/>
  <c r="S720" s="1"/>
  <c r="S449" s="1"/>
  <c r="D261"/>
  <c r="D241" s="1"/>
  <c r="D242"/>
  <c r="G219"/>
  <c r="P160" l="1"/>
  <c r="P183"/>
  <c r="P182" s="1"/>
  <c r="O183"/>
  <c r="O182" s="1"/>
  <c r="O181" s="1"/>
  <c r="O160"/>
  <c r="O138" s="1"/>
  <c r="O117" s="1"/>
  <c r="N183"/>
  <c r="N182" s="1"/>
  <c r="N181" s="1"/>
  <c r="N160"/>
  <c r="N138" s="1"/>
  <c r="N117" s="1"/>
  <c r="L231"/>
  <c r="L61" s="1"/>
  <c r="L62" s="1"/>
  <c r="Q217"/>
  <c r="D218"/>
  <c r="I217"/>
  <c r="I1087" s="1"/>
  <c r="I61" s="1"/>
  <c r="R238"/>
  <c r="R450"/>
  <c r="R218" s="1"/>
  <c r="K620"/>
  <c r="I218"/>
  <c r="K241"/>
  <c r="H254"/>
  <c r="H231" s="1"/>
  <c r="H238"/>
  <c r="H217"/>
  <c r="H1087" s="1"/>
  <c r="K454"/>
  <c r="K232"/>
  <c r="K235"/>
  <c r="J458"/>
  <c r="J231" s="1"/>
  <c r="J61" s="1"/>
  <c r="K474"/>
  <c r="J237"/>
  <c r="K237" s="1"/>
  <c r="K463"/>
  <c r="R558"/>
  <c r="R84"/>
  <c r="L720"/>
  <c r="M449"/>
  <c r="M217" s="1"/>
  <c r="M1087" s="1"/>
  <c r="F450"/>
  <c r="F218" s="1"/>
  <c r="F720"/>
  <c r="F449" s="1"/>
  <c r="F217" s="1"/>
  <c r="F1087" s="1"/>
  <c r="J867"/>
  <c r="J451"/>
  <c r="J450"/>
  <c r="J218" s="1"/>
  <c r="K218" s="1"/>
  <c r="L450"/>
  <c r="P558"/>
  <c r="L567"/>
  <c r="K567" s="1"/>
  <c r="L123"/>
  <c r="K123" s="1"/>
  <c r="R720"/>
  <c r="S162"/>
  <c r="S62"/>
  <c r="S59" s="1"/>
  <c r="S37" s="1"/>
  <c r="S11" s="1"/>
  <c r="R162"/>
  <c r="R62"/>
  <c r="R59" s="1"/>
  <c r="R37" s="1"/>
  <c r="D217"/>
  <c r="D1087" s="1"/>
  <c r="D61" s="1"/>
  <c r="E238"/>
  <c r="E254"/>
  <c r="E231" s="1"/>
  <c r="E217"/>
  <c r="E1087" s="1"/>
  <c r="F231"/>
  <c r="S217"/>
  <c r="K458" l="1"/>
  <c r="K231"/>
  <c r="K61" s="1"/>
  <c r="K62" s="1"/>
  <c r="J62"/>
  <c r="M62"/>
  <c r="M162"/>
  <c r="P138"/>
  <c r="P181"/>
  <c r="U233"/>
  <c r="R449"/>
  <c r="R217" s="1"/>
  <c r="R174"/>
  <c r="R168" s="1"/>
  <c r="R167" s="1"/>
  <c r="R71"/>
  <c r="R70" s="1"/>
  <c r="R11" s="1"/>
  <c r="K867"/>
  <c r="J720"/>
  <c r="J219"/>
  <c r="K219" s="1"/>
  <c r="K451"/>
  <c r="K450"/>
  <c r="P449"/>
  <c r="L558"/>
  <c r="K558" s="1"/>
  <c r="S1087"/>
  <c r="D62"/>
  <c r="D162"/>
  <c r="S183"/>
  <c r="S182" s="1"/>
  <c r="S181" s="1"/>
  <c r="S160"/>
  <c r="S138" s="1"/>
  <c r="S117" s="1"/>
  <c r="R183"/>
  <c r="R182" s="1"/>
  <c r="R181" s="1"/>
  <c r="R160"/>
  <c r="R138" s="1"/>
  <c r="I62"/>
  <c r="I162"/>
  <c r="J162" l="1"/>
  <c r="J183" s="1"/>
  <c r="M183"/>
  <c r="M160"/>
  <c r="L162"/>
  <c r="P117"/>
  <c r="R1087"/>
  <c r="R117"/>
  <c r="K720"/>
  <c r="J449"/>
  <c r="J217" s="1"/>
  <c r="J1087" s="1"/>
  <c r="J1089" s="1"/>
  <c r="L449"/>
  <c r="P217"/>
  <c r="D183"/>
  <c r="D182" s="1"/>
  <c r="D181" s="1"/>
  <c r="D160"/>
  <c r="D138" s="1"/>
  <c r="D117" s="1"/>
  <c r="I160"/>
  <c r="I138" s="1"/>
  <c r="I117" s="1"/>
  <c r="I183"/>
  <c r="I182" s="1"/>
  <c r="I181" s="1"/>
  <c r="J160" l="1"/>
  <c r="J138" s="1"/>
  <c r="K162"/>
  <c r="M182"/>
  <c r="L183"/>
  <c r="K183" s="1"/>
  <c r="M138"/>
  <c r="L160"/>
  <c r="J182"/>
  <c r="K449"/>
  <c r="P1087"/>
  <c r="L1087" s="1"/>
  <c r="K1087" s="1"/>
  <c r="L217"/>
  <c r="K217" s="1"/>
  <c r="K160" l="1"/>
  <c r="M181"/>
  <c r="L181" s="1"/>
  <c r="L182"/>
  <c r="K182" s="1"/>
  <c r="M117"/>
  <c r="L117" s="1"/>
  <c r="L138"/>
  <c r="K138" s="1"/>
  <c r="J181"/>
  <c r="J117"/>
  <c r="K181" l="1"/>
  <c r="K117"/>
  <c r="Q160" l="1"/>
  <c r="Q138" s="1"/>
  <c r="Q117" s="1"/>
  <c r="Q62"/>
  <c r="Q59" s="1"/>
  <c r="Q37" s="1"/>
  <c r="Q11" s="1"/>
  <c r="Q1087" s="1"/>
  <c r="Q162"/>
  <c r="Q183" s="1"/>
  <c r="Q182" s="1"/>
  <c r="Q181" s="1"/>
</calcChain>
</file>

<file path=xl/comments1.xml><?xml version="1.0" encoding="utf-8"?>
<comments xmlns="http://schemas.openxmlformats.org/spreadsheetml/2006/main">
  <authors>
    <author>larisa</author>
    <author>corina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total 45750*90%=41175 mii lei</t>
        </r>
      </text>
    </comment>
    <comment ref="D21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cost 2019: 713 conf standard cost
713*90%=641 mii lei </t>
        </r>
      </text>
    </comment>
    <comment ref="D91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Pod Babana si 
 DJ 725</t>
        </r>
      </text>
    </comment>
    <comment ref="D985" authorId="1">
      <text>
        <r>
          <rPr>
            <b/>
            <sz val="9"/>
            <color indexed="81"/>
            <rFont val="Tahoma"/>
            <family val="2"/>
            <charset val="238"/>
          </rPr>
          <t>corina:</t>
        </r>
        <r>
          <rPr>
            <sz val="9"/>
            <color indexed="81"/>
            <rFont val="Tahoma"/>
            <family val="2"/>
            <charset val="238"/>
          </rPr>
          <t xml:space="preserve">
Discutat cu Violeta 19,01,2017</t>
        </r>
      </text>
    </comment>
  </commentList>
</comments>
</file>

<file path=xl/sharedStrings.xml><?xml version="1.0" encoding="utf-8"?>
<sst xmlns="http://schemas.openxmlformats.org/spreadsheetml/2006/main" count="1972" uniqueCount="910">
  <si>
    <t>PROIECT</t>
  </si>
  <si>
    <t>Nr. crt.</t>
  </si>
  <si>
    <t>DENUMIRE INDICATORI</t>
  </si>
  <si>
    <t>COD</t>
  </si>
  <si>
    <t>I</t>
  </si>
  <si>
    <t>II</t>
  </si>
  <si>
    <t>III</t>
  </si>
  <si>
    <t>IV</t>
  </si>
  <si>
    <t>A</t>
  </si>
  <si>
    <t>IMPOZIT PE PROFIT</t>
  </si>
  <si>
    <t xml:space="preserve">Impozit pe profit de la agentii economici </t>
  </si>
  <si>
    <t>01.02.01</t>
  </si>
  <si>
    <t>B</t>
  </si>
  <si>
    <t>COTE SI SUME DEF DIN IMPOZITUL PE VENIT</t>
  </si>
  <si>
    <t>.04.02.01</t>
  </si>
  <si>
    <t>.04.02.04</t>
  </si>
  <si>
    <t>C</t>
  </si>
  <si>
    <t>SUME DEFALCATE DIN TVA (1+2+3)</t>
  </si>
  <si>
    <t>11.02.</t>
  </si>
  <si>
    <t>11.02.01</t>
  </si>
  <si>
    <t xml:space="preserve">Sustinerea sistemului de protectie a copilului </t>
  </si>
  <si>
    <t>c</t>
  </si>
  <si>
    <t>Camine persoane varstnice</t>
  </si>
  <si>
    <t>d</t>
  </si>
  <si>
    <t>e</t>
  </si>
  <si>
    <t>Fructe</t>
  </si>
  <si>
    <t>1.salarii, sporuri , indemnizatii si alte drepturi salariale</t>
  </si>
  <si>
    <t xml:space="preserve">            2.  institutii de cultura preluate</t>
  </si>
  <si>
    <t>Sume def din TVA pentru evidenta populatiei</t>
  </si>
  <si>
    <t>h.</t>
  </si>
  <si>
    <t>Sume def din TVA reprez. drepturi pt copii cu cerinte educationale speciale integrati in invatamantul de masa H.G. 904/2014</t>
  </si>
  <si>
    <t>Sume def din TVA  pentru drumuri</t>
  </si>
  <si>
    <t>11.02.05</t>
  </si>
  <si>
    <t>Sume def din TVA  pt echil bugete locale</t>
  </si>
  <si>
    <t>11.02.06</t>
  </si>
  <si>
    <t>D</t>
  </si>
  <si>
    <t>Taxe pe utilizarea bunurilor, autoriz. utiliz. bunurilor</t>
  </si>
  <si>
    <t>Impozit asupra mijloacelor de transport pers fizice</t>
  </si>
  <si>
    <t>16.02.02.01</t>
  </si>
  <si>
    <t>Impozit asupra mijloacelor de transport pers juridice</t>
  </si>
  <si>
    <t>16.02.02.02</t>
  </si>
  <si>
    <t>Taxe si tarife pt elib de licente, autorizatii de functionare</t>
  </si>
  <si>
    <t>16.02.03</t>
  </si>
  <si>
    <t>Venituri din proprietate(30.02+31.02)</t>
  </si>
  <si>
    <t>00.13</t>
  </si>
  <si>
    <t>Varsaminte din profitul net</t>
  </si>
  <si>
    <t>30.02.01</t>
  </si>
  <si>
    <t>Restituiri de fonduri din anii precedenti</t>
  </si>
  <si>
    <t>30.02.03</t>
  </si>
  <si>
    <t>Venituri din concesiuni si inchirieri</t>
  </si>
  <si>
    <t>30.02.05</t>
  </si>
  <si>
    <t>Venituri din dividende</t>
  </si>
  <si>
    <t>30.02.08</t>
  </si>
  <si>
    <t>Venituri din dobanzi</t>
  </si>
  <si>
    <t>31.02</t>
  </si>
  <si>
    <t>Alte venituri din dobanzi</t>
  </si>
  <si>
    <t>31.02.03</t>
  </si>
  <si>
    <t>Venituri din prestari servicii si alte activitati</t>
  </si>
  <si>
    <t>Contributia lunara a parintilor</t>
  </si>
  <si>
    <t>33.02.27</t>
  </si>
  <si>
    <t>Venituri din recuperarea cheltuielilor</t>
  </si>
  <si>
    <t>33.02.28</t>
  </si>
  <si>
    <t>33.02.50</t>
  </si>
  <si>
    <t>Amenzi, penalitati si confiscari</t>
  </si>
  <si>
    <t>Venituri din amenzi si alte sanctiuni</t>
  </si>
  <si>
    <t>35.02.01</t>
  </si>
  <si>
    <t>Diverse venituri</t>
  </si>
  <si>
    <t xml:space="preserve">Sume provenite din finantarea </t>
  </si>
  <si>
    <t>36.02.01</t>
  </si>
  <si>
    <t>Alte venituri</t>
  </si>
  <si>
    <t>36.02.50</t>
  </si>
  <si>
    <t>Transferuri voluntare</t>
  </si>
  <si>
    <t>Donatii si sponsorizari</t>
  </si>
  <si>
    <t>37.02.01</t>
  </si>
  <si>
    <t>Varsaminte din sectiunea de functionare pentru finantarea sectiunii de dezvoltare a bugetului local</t>
  </si>
  <si>
    <t>37.02.03</t>
  </si>
  <si>
    <t>Varsaminte din sectiunea de dezvoltare</t>
  </si>
  <si>
    <t>37.02.04</t>
  </si>
  <si>
    <t>Alte transferuri voluntare</t>
  </si>
  <si>
    <t>37.02.50</t>
  </si>
  <si>
    <t>Venituri din capital</t>
  </si>
  <si>
    <t>Venituri din valorif unor bunuri ale instit publice</t>
  </si>
  <si>
    <t>39.02.01</t>
  </si>
  <si>
    <t>Venituri din vanzarea unor bunuri dom. Privat</t>
  </si>
  <si>
    <t>39,02,07</t>
  </si>
  <si>
    <t>Incasari  din rambursarea imprumuturilor acordate</t>
  </si>
  <si>
    <t>Sume din execedentul bugetului</t>
  </si>
  <si>
    <t>E</t>
  </si>
  <si>
    <t>SUBVENTII</t>
  </si>
  <si>
    <t>.00.17</t>
  </si>
  <si>
    <t>Subventii de la bugetul de stat</t>
  </si>
  <si>
    <t xml:space="preserve">Subventii fin prog de pietruire drumuri </t>
  </si>
  <si>
    <t>42.02.09.01</t>
  </si>
  <si>
    <t>Subventii pt finantarea investitiilor in sanatate</t>
  </si>
  <si>
    <t>42.02.16</t>
  </si>
  <si>
    <t>Subv pt.fin aparatura medicala si echip comunic urgenta in sanatate</t>
  </si>
  <si>
    <t>42.02.16.01</t>
  </si>
  <si>
    <t>Subv pt fin rep capitale in sanatate</t>
  </si>
  <si>
    <t>42.02.16.02</t>
  </si>
  <si>
    <t xml:space="preserve">Subv.ptr finant altor investitii in sanatate </t>
  </si>
  <si>
    <t>42.02.16.03</t>
  </si>
  <si>
    <t>Subventii din veniturile proprii ale ministerului Sanatatii catre bug locale pt fin  investitiilor in sanatate</t>
  </si>
  <si>
    <t>42.02.18</t>
  </si>
  <si>
    <t>Asistenta in pregatirea proiectelor prin Programul  Op reg 2007-2013</t>
  </si>
  <si>
    <t>42.02.19</t>
  </si>
  <si>
    <t>Subventii pt sustinerea Proiecte FEN postaderare</t>
  </si>
  <si>
    <t>42.02.20</t>
  </si>
  <si>
    <t>Finantarea drepturilor persoanelor cu handicap</t>
  </si>
  <si>
    <t>42.02.21</t>
  </si>
  <si>
    <t>Subventii primite din Fondul de Interventie</t>
  </si>
  <si>
    <t>42.02.28</t>
  </si>
  <si>
    <t>Subventii din bugetul de stat pentru finantarea sanatatii</t>
  </si>
  <si>
    <t>42.02.41</t>
  </si>
  <si>
    <t>Subventii primite in cadrul prog FEGA  implementate de APIA</t>
  </si>
  <si>
    <t>42.02.42</t>
  </si>
  <si>
    <t>Subventii pt finantarea UAMS</t>
  </si>
  <si>
    <t>42.02.35</t>
  </si>
  <si>
    <t>Subventii  pentru finantarea camerelor agricole</t>
  </si>
  <si>
    <t>42.02.44</t>
  </si>
  <si>
    <t>Subventii ptr realizarea obiectivelor de inv in turism</t>
  </si>
  <si>
    <t>42.02.40</t>
  </si>
  <si>
    <t>Subventii primite de la bugetul de stat pt finantarea unor programe de interes national</t>
  </si>
  <si>
    <t>42.02.51.01</t>
  </si>
  <si>
    <t>Subventii de la bugetul de stat pt. fin. investitiilor pt. instit. publ. de asist. soc. si UAMS</t>
  </si>
  <si>
    <t>42.02.52</t>
  </si>
  <si>
    <t>Subventii primite de la bugetul de stat pt finantarea subprogramului infrastructura la nivel judetean</t>
  </si>
  <si>
    <t>42.02.59</t>
  </si>
  <si>
    <t>Sume alocate din bugetul de stat aferente corectiilor financiare</t>
  </si>
  <si>
    <t>42.02.62</t>
  </si>
  <si>
    <t>Finantarea Programului National de Dezvoltare Locala</t>
  </si>
  <si>
    <t>42.02.65</t>
  </si>
  <si>
    <t>F</t>
  </si>
  <si>
    <t>Sume primite in contul platilor efectuate in anul curent</t>
  </si>
  <si>
    <t>Sume primite in contul platilor efectuate in anii anteriori</t>
  </si>
  <si>
    <t>Prefinantare</t>
  </si>
  <si>
    <t>45.02.02.02</t>
  </si>
  <si>
    <t xml:space="preserve">PCF PER 2007-2013 </t>
  </si>
  <si>
    <t>Sume primite in contul platilor efectuate in anii curent</t>
  </si>
  <si>
    <t>PROGRAMUL NORVEGIAN</t>
  </si>
  <si>
    <t>45.02.18</t>
  </si>
  <si>
    <t>VENITURI - SECTIUNEA FUNCTIONARE</t>
  </si>
  <si>
    <t xml:space="preserve">Cote defalcate din impozitul pe venit </t>
  </si>
  <si>
    <t xml:space="preserve">Sume din impozit pe venit  pentru echilibrare </t>
  </si>
  <si>
    <t>Sume def din TVA pt fin chelt descentraliz</t>
  </si>
  <si>
    <t>Invatamant special</t>
  </si>
  <si>
    <t>Cultura si culte din care:</t>
  </si>
  <si>
    <t xml:space="preserve">               personal neclerical</t>
  </si>
  <si>
    <t xml:space="preserve">               institutii de cultura preluate</t>
  </si>
  <si>
    <t>Taxe pe utilizarea bunurilor, autorizarea uiliz bunurilor</t>
  </si>
  <si>
    <t>Taxe si tarife pt elib de licente, autorizatii de funct</t>
  </si>
  <si>
    <t>Venituri din aplicarea prescriptiei extinctive</t>
  </si>
  <si>
    <t>Varsaminte din sectiunea de functionare</t>
  </si>
  <si>
    <t>Incasari din ramb imprum acordate</t>
  </si>
  <si>
    <t>Subventii pt fin UMS</t>
  </si>
  <si>
    <t>Subventii primite de la bugetul de stat pt finantarea unor programe de interes national destinate sectiunii de functionare a bugetului local</t>
  </si>
  <si>
    <t>VENITURI - SECTIUNEA  DE DEZVOLTARE</t>
  </si>
  <si>
    <t>Transferuri voluntare, altele decat subventiile</t>
  </si>
  <si>
    <t>37.02</t>
  </si>
  <si>
    <t>42.02</t>
  </si>
  <si>
    <t>Subventii pt sustinerea Proiectelor FEN postaderare</t>
  </si>
  <si>
    <t>SECTIUNEA DE FUNCTIONARE</t>
  </si>
  <si>
    <t>Cheltuieli curente</t>
  </si>
  <si>
    <t xml:space="preserve">  I.             cheltuieli de personal</t>
  </si>
  <si>
    <t xml:space="preserve"> II.              cheltuieli materiale</t>
  </si>
  <si>
    <t>III. Dobanzi aferente datoriei publice interne</t>
  </si>
  <si>
    <t>V. Fond de rezerva bugetara</t>
  </si>
  <si>
    <t>VI. Transferuri catre institutii publice</t>
  </si>
  <si>
    <t>VII Alte transferuri interne</t>
  </si>
  <si>
    <t>VIII Asistenta sociala</t>
  </si>
  <si>
    <t xml:space="preserve">IX Alte cheltuieli </t>
  </si>
  <si>
    <t>Operatiuni financiare</t>
  </si>
  <si>
    <t>Plati efectuate in anii precedenti si recuperate in anul curent</t>
  </si>
  <si>
    <t>SECTIUNEA DE DEZVOLTARE</t>
  </si>
  <si>
    <t xml:space="preserve">Transferuri intre unitati ale administratiei publice </t>
  </si>
  <si>
    <t>Transferuri pentru finantarea investitiilor la spitale</t>
  </si>
  <si>
    <t>51.02.12</t>
  </si>
  <si>
    <t>Transferuri pt fin chelt de capital din domeniul sanatatii</t>
  </si>
  <si>
    <t>51.02.28</t>
  </si>
  <si>
    <t>Alte transferuri  de capital catre institutii publice</t>
  </si>
  <si>
    <t>51.02.29</t>
  </si>
  <si>
    <t xml:space="preserve">Alte transferuri </t>
  </si>
  <si>
    <t>Proiecte cu finantare FEN</t>
  </si>
  <si>
    <t>X Cheltuieli de capital</t>
  </si>
  <si>
    <t>V. fond de rezerva bugetara</t>
  </si>
  <si>
    <t>Ajutoare sociale in numerar</t>
  </si>
  <si>
    <t>Alte cheltuieli</t>
  </si>
  <si>
    <t>VI Transferuri intre unitati ale admin. Publice</t>
  </si>
  <si>
    <t>Alte transf. de capital catre institutii publice</t>
  </si>
  <si>
    <t>Transferuri interne</t>
  </si>
  <si>
    <t>AUTORITATI PUBLICE SI ACTIUNI EXTERNE</t>
  </si>
  <si>
    <t>51.02.01.03</t>
  </si>
  <si>
    <t>Alte transferuri curente interne</t>
  </si>
  <si>
    <t>55.01.18</t>
  </si>
  <si>
    <t>57.02</t>
  </si>
  <si>
    <t xml:space="preserve">Transferuri de capital   </t>
  </si>
  <si>
    <t>51.02</t>
  </si>
  <si>
    <t>Transferuri din bugetele proprii ale judetelor catre bugetele locale in vederea asig fd necesare implementarii proiectelor finantate din FEN</t>
  </si>
  <si>
    <t>51.02.45</t>
  </si>
  <si>
    <t>55.01</t>
  </si>
  <si>
    <t>Programe de dezvoltare</t>
  </si>
  <si>
    <t>55.01.13</t>
  </si>
  <si>
    <t>X. Cheltuieli de capital</t>
  </si>
  <si>
    <t>Constructii</t>
  </si>
  <si>
    <t>71.01.01</t>
  </si>
  <si>
    <t>Masini, echipamente si mijloace de transport</t>
  </si>
  <si>
    <t>71.01.02</t>
  </si>
  <si>
    <t>Mobilier, aparatura birotica</t>
  </si>
  <si>
    <t>71.01.03</t>
  </si>
  <si>
    <t>Alte active fixe</t>
  </si>
  <si>
    <t>71.01.30</t>
  </si>
  <si>
    <t>Reparatii capitale</t>
  </si>
  <si>
    <t>71.03</t>
  </si>
  <si>
    <t xml:space="preserve">Finanatare nationala </t>
  </si>
  <si>
    <t>56.01.01</t>
  </si>
  <si>
    <t>Finantare de la UE</t>
  </si>
  <si>
    <t>56.01.02</t>
  </si>
  <si>
    <t>56.01.03</t>
  </si>
  <si>
    <t>Cheltuieli neeligibile</t>
  </si>
  <si>
    <t>54.02</t>
  </si>
  <si>
    <t>2.a</t>
  </si>
  <si>
    <t>V. FONDURI DE REZERVA</t>
  </si>
  <si>
    <t xml:space="preserve"> Fond de rezerva bugetara la dispozitia autoritatilor locale</t>
  </si>
  <si>
    <t>50.04</t>
  </si>
  <si>
    <t>2.b</t>
  </si>
  <si>
    <t>54.02.10</t>
  </si>
  <si>
    <t>51.01.01</t>
  </si>
  <si>
    <t xml:space="preserve"> Alte  transferuri de capital catre institutii publice</t>
  </si>
  <si>
    <t>2.c</t>
  </si>
  <si>
    <t xml:space="preserve">   RAMBURSARI DE CREDITE</t>
  </si>
  <si>
    <t>54.02.50</t>
  </si>
  <si>
    <t>XIII. Rambursari de credite</t>
  </si>
  <si>
    <t xml:space="preserve">Rambursare imprumuturi interne </t>
  </si>
  <si>
    <t>81.02.05</t>
  </si>
  <si>
    <t>Rambursare imprumuturi externe</t>
  </si>
  <si>
    <t>81.01.05</t>
  </si>
  <si>
    <t>2.d</t>
  </si>
  <si>
    <t>ALTE SERVICII PUBLICE GENERALE - ALEGERI</t>
  </si>
  <si>
    <t>CAPITAL</t>
  </si>
  <si>
    <t>2.e</t>
  </si>
  <si>
    <t xml:space="preserve"> TRANFERURI CATRE UNITATILE IN EXTREMA DIFICULTATE</t>
  </si>
  <si>
    <t>Transferuri din bugetele consiliilor locale şi judeţene pentru acordarea unor ajutoare către unităţile administrativ-teritoriale în situaţii de extremă dificultate</t>
  </si>
  <si>
    <t>51.01.24</t>
  </si>
  <si>
    <t xml:space="preserve">TRANZACTII PRIVIND DATORIA PUBLICA </t>
  </si>
  <si>
    <t>55.02</t>
  </si>
  <si>
    <t>20.24.02</t>
  </si>
  <si>
    <t xml:space="preserve">III. Dobanzi aferente datoriei publice </t>
  </si>
  <si>
    <t xml:space="preserve">         Dobanzi aferente datoriei publice interne</t>
  </si>
  <si>
    <t>30.01.01</t>
  </si>
  <si>
    <t xml:space="preserve">         Dobanzi aferente datoriei publice externe</t>
  </si>
  <si>
    <t>Alte cheltuieli - ajutoare calamitati</t>
  </si>
  <si>
    <t>59.02</t>
  </si>
  <si>
    <t>1.a</t>
  </si>
  <si>
    <t>CENTRUL MILITAR JUDETEAN ARGES</t>
  </si>
  <si>
    <t>60.02.02</t>
  </si>
  <si>
    <t>Masini , echipamente si mijloace de transport</t>
  </si>
  <si>
    <t>1.b</t>
  </si>
  <si>
    <t>STRUCTURA TERITORIALA PENTRU PROBLEME SPECIALE ARGES</t>
  </si>
  <si>
    <t>INSPECTORATUL GENERAL PENTRU SITUATII DE URGENTA</t>
  </si>
  <si>
    <t>61.02.05.02</t>
  </si>
  <si>
    <t>VI Transferuri</t>
  </si>
  <si>
    <t>85.01</t>
  </si>
  <si>
    <t>Transferuri de capital - pt fin investitiilor la spitale</t>
  </si>
  <si>
    <t>Alte transferuri</t>
  </si>
  <si>
    <t>65.02</t>
  </si>
  <si>
    <t>1.1.</t>
  </si>
  <si>
    <t>65.02.07.04</t>
  </si>
  <si>
    <t>Asistenta sociala</t>
  </si>
  <si>
    <t>1.1.a</t>
  </si>
  <si>
    <t>CENTRUL SCOLAR DE EDUCATIE INCLUZIVA "SF. FILOFTEIA" STEFANESTI</t>
  </si>
  <si>
    <t>65.02.07.04.01</t>
  </si>
  <si>
    <t xml:space="preserve">Ajutoare sociale </t>
  </si>
  <si>
    <t>1.1.b</t>
  </si>
  <si>
    <t>CENTRUL SCOLAR DE EDUCATIE INCLUZIVA "SF. NICOLAE" CAMPULUNG</t>
  </si>
  <si>
    <t>65.02.07.04.02</t>
  </si>
  <si>
    <t>1.1.c</t>
  </si>
  <si>
    <t>SCOALA SPECIALA PENTRU COPII CU DEFICIENTE ASOCIATE "SF. STELIAN" COSTESTI</t>
  </si>
  <si>
    <t>65.02.07.04.03</t>
  </si>
  <si>
    <t>Asistenta sociala- Ajutoare sociale in numerar</t>
  </si>
  <si>
    <t>57.02.01</t>
  </si>
  <si>
    <t xml:space="preserve">X. Cheltuieli de capital  </t>
  </si>
  <si>
    <t>1.1.d</t>
  </si>
  <si>
    <t>GRADINITA SPECIALA " SF. ELENA" PITESTI</t>
  </si>
  <si>
    <t>65.02.07.04.04</t>
  </si>
  <si>
    <t>1.1.e</t>
  </si>
  <si>
    <t>1.2.</t>
  </si>
  <si>
    <t>65.02.50</t>
  </si>
  <si>
    <t>Transferuri de la bugetul judetului catre bugetele locale pentru plata drepturilor de care beneficiaza copiii cu cerinte educationale speciale integrati in invatamantul de masa</t>
  </si>
  <si>
    <t>51.01.64</t>
  </si>
  <si>
    <t>Ajutoare sociale in natura</t>
  </si>
  <si>
    <t>57.02.02</t>
  </si>
  <si>
    <t>1.1.f</t>
  </si>
  <si>
    <t>CENTRUL JUDETEAN DE RESURSE SI ASISTENTA EDUCATIONALA</t>
  </si>
  <si>
    <t>65.02.11.30</t>
  </si>
  <si>
    <t>2.1.</t>
  </si>
  <si>
    <t>ALTE INSTITUTII SI ACTIUNI SANITARE</t>
  </si>
  <si>
    <t>66.02.50.50</t>
  </si>
  <si>
    <t>VI Transferuri curente, din care:</t>
  </si>
  <si>
    <t>51.01</t>
  </si>
  <si>
    <t>Actiuni de sanatate</t>
  </si>
  <si>
    <t>51.01.03</t>
  </si>
  <si>
    <t>2.2.</t>
  </si>
  <si>
    <t>66.02.06.03</t>
  </si>
  <si>
    <t>VI Transferuri pt fin UMS</t>
  </si>
  <si>
    <t>51.01.39</t>
  </si>
  <si>
    <t>2.2.a</t>
  </si>
  <si>
    <t>UNITATEA DE ASISTENTA MEDICO-SOCIALA CALINESTI</t>
  </si>
  <si>
    <t>2.2.b</t>
  </si>
  <si>
    <t>UNITATEA DE ASISTENTA MEDICO-SOCIALA DEDULESTI</t>
  </si>
  <si>
    <t>2.2.c</t>
  </si>
  <si>
    <t>UNITATEA DE ASISTENTA MEDICO-SOCIALA  SUICI</t>
  </si>
  <si>
    <t>2.2.d</t>
  </si>
  <si>
    <t xml:space="preserve">UNITATEA DE ASISTENTA MEDICO-SOCIALA RUCAR </t>
  </si>
  <si>
    <t>2.2.e</t>
  </si>
  <si>
    <t>UNITATEA DE ASISTENTA MEDICO-SOCIALA  DOMNESTI</t>
  </si>
  <si>
    <t>67.02</t>
  </si>
  <si>
    <t>3.1.</t>
  </si>
  <si>
    <t>BIBLIOTECA JUDETEANA "DINICU GOLESCU"</t>
  </si>
  <si>
    <t>67.02.03</t>
  </si>
  <si>
    <t>56.16.03</t>
  </si>
  <si>
    <t>3.2.</t>
  </si>
  <si>
    <t>MUZEUL JUDETEAN ARGES</t>
  </si>
  <si>
    <t>67.02.03.02.01</t>
  </si>
  <si>
    <t>PROIECT " Muzeul Judetean Arges - mostenire culturala, istorie si continuitate</t>
  </si>
  <si>
    <t>67.02.03.02</t>
  </si>
  <si>
    <t>Finantare nationala</t>
  </si>
  <si>
    <t>PROIECT " Castru Jidova simbol al Romei la granita imperiu si lumea barbara"</t>
  </si>
  <si>
    <t>67.02.50</t>
  </si>
  <si>
    <t>Finantare UE</t>
  </si>
  <si>
    <t>MUZEUL VITICULTURII SI POMICULTURII GOLESTI</t>
  </si>
  <si>
    <t>67.02.03.02.02</t>
  </si>
  <si>
    <t>TEATRUL "AL. DAVILA" PITESTI</t>
  </si>
  <si>
    <t>67.02.03.04</t>
  </si>
  <si>
    <t>SCOALA POPULARA DE ARTE SI MESERII PITESTI</t>
  </si>
  <si>
    <t>67.02.03.05</t>
  </si>
  <si>
    <t>67.02.03.08</t>
  </si>
  <si>
    <t>PERSONAL NECLERICAL</t>
  </si>
  <si>
    <t>67.02.50.02</t>
  </si>
  <si>
    <t>IX Alte cheltuieli - contrib salariz pers neclerical</t>
  </si>
  <si>
    <t>67.02.50.01</t>
  </si>
  <si>
    <t>Programe Phare si alte progr. cu finantare neramb.</t>
  </si>
  <si>
    <t>55.01.08</t>
  </si>
  <si>
    <t>SERVICII RECREATIVE SI SPORTIVE</t>
  </si>
  <si>
    <t>67.02.05.02</t>
  </si>
  <si>
    <t>68.02.06</t>
  </si>
  <si>
    <t>Ajutoare sociale in natura -tichete</t>
  </si>
  <si>
    <t xml:space="preserve">Alte cheltuieli </t>
  </si>
  <si>
    <t>Drepturi persoane cu handicap</t>
  </si>
  <si>
    <t xml:space="preserve">        Cheltuieli materiale - drepturi pers handicap</t>
  </si>
  <si>
    <t xml:space="preserve">        Asist. Soc.- drepturi pers cu handicap</t>
  </si>
  <si>
    <t xml:space="preserve">Ajutoare sociale in natura </t>
  </si>
  <si>
    <t>Fnantare nationala</t>
  </si>
  <si>
    <t>56.02</t>
  </si>
  <si>
    <t>Mobilier , aparatura birotica</t>
  </si>
  <si>
    <t>4.2.</t>
  </si>
  <si>
    <t>68.02.04</t>
  </si>
  <si>
    <t>4.2.a</t>
  </si>
  <si>
    <t>CENTRUL DE INGRIJIRE SI ASISTENTA PITESTI</t>
  </si>
  <si>
    <t>68.02.04.01</t>
  </si>
  <si>
    <t>4.2.b</t>
  </si>
  <si>
    <t>CENTRUL DE INGRIJIRE SI ASISTENTA BASCOVELE</t>
  </si>
  <si>
    <t>68.02.04.02</t>
  </si>
  <si>
    <t>4.2.c.1</t>
  </si>
  <si>
    <t>CENTRUL DE INTEGRARE PRIN TERAPIE OCUPATIONALA TIGVENI</t>
  </si>
  <si>
    <t>68.02.05.02.01</t>
  </si>
  <si>
    <t>COMPLEXUL DE LOCUINTE PROTEJATE TIGVENI</t>
  </si>
  <si>
    <t>COMPLEXUL DE SERVICII PENTRU PERSOANE CU DIZABILITATI VULTURESTI</t>
  </si>
  <si>
    <t>68.02.05.02.03</t>
  </si>
  <si>
    <t>CENTRUL VULTURESTI</t>
  </si>
  <si>
    <t>68.02.05.02.04</t>
  </si>
  <si>
    <t>4.2.e</t>
  </si>
  <si>
    <t>CAMIN PERSOANE VARSTNICE MOZACENI</t>
  </si>
  <si>
    <t>4.3.</t>
  </si>
  <si>
    <t>68.02.50</t>
  </si>
  <si>
    <t>4.3.a</t>
  </si>
  <si>
    <t>68.02.50.01</t>
  </si>
  <si>
    <t>4.3.b</t>
  </si>
  <si>
    <t>68.02.50.02</t>
  </si>
  <si>
    <t>4.3.c</t>
  </si>
  <si>
    <t>UNITATEA DE ASISTENTA MEDICO-SOCIALA SUICI</t>
  </si>
  <si>
    <t>68.02.50.03</t>
  </si>
  <si>
    <t>4.3.d</t>
  </si>
  <si>
    <t>UNITATEA DE ASISTENTA MEDICO-SOCIALA RUCAR</t>
  </si>
  <si>
    <t>4.3.e</t>
  </si>
  <si>
    <t>UNITATEA DE ASISTENTA MEDICO-SOCIALA DOMNESTI</t>
  </si>
  <si>
    <t>4.4.</t>
  </si>
  <si>
    <t>ALTE ACTIUNI DE ASISTENTA SOCIALA</t>
  </si>
  <si>
    <t>68.02.50.04</t>
  </si>
  <si>
    <t>SERVICIUL PUBLIC JUDETEAN SALVAMONT ARGES</t>
  </si>
  <si>
    <t>70.02.50</t>
  </si>
  <si>
    <t>PROIECT "Zona montana a Argesului  si Muscelului diversitate si unicitate in Romania"</t>
  </si>
  <si>
    <t>1.3.</t>
  </si>
  <si>
    <t>PROIECT "Extindere si reabilitare  infrastructura de apa si apa uzata"</t>
  </si>
  <si>
    <t>70.02.05.01</t>
  </si>
  <si>
    <t>1.4.</t>
  </si>
  <si>
    <t>20.30.30</t>
  </si>
  <si>
    <t>Cheltuieli materiale</t>
  </si>
  <si>
    <t>Sume FEN postaderare</t>
  </si>
  <si>
    <t>COLECTARE , TRATARE  DESEURI - UIP</t>
  </si>
  <si>
    <t>74.02.05.02</t>
  </si>
  <si>
    <t>MANAGEMENTUL INTEGRAT AL DESEURILOR SOLIDE JUDETUL ARGES</t>
  </si>
  <si>
    <t>Finanatare de la UE</t>
  </si>
  <si>
    <t xml:space="preserve">Cheltuieli neeligibile </t>
  </si>
  <si>
    <t>V</t>
  </si>
  <si>
    <t>Transferuri curente</t>
  </si>
  <si>
    <t>VII ALTE TRANSFERURI - Progr de dezvoltare</t>
  </si>
  <si>
    <t>Transferuri din bugetul local către asociaţiile de dezvoltare intercomunitară</t>
  </si>
  <si>
    <t>55.01.42</t>
  </si>
  <si>
    <t xml:space="preserve"> II.  cheltuieli materiale</t>
  </si>
  <si>
    <t>PROGRAME DE DEZVOLTARE REGIONALA</t>
  </si>
  <si>
    <t>80.02.01.10</t>
  </si>
  <si>
    <t>80.02.01.30</t>
  </si>
  <si>
    <t>20.30.02</t>
  </si>
  <si>
    <t>PREVENIRE SI COMBATERE INUNDATII</t>
  </si>
  <si>
    <t>80.02.01.06</t>
  </si>
  <si>
    <t>Alte cheltuieli  - alte ajutoare</t>
  </si>
  <si>
    <t>AGRICULTURA SI SILVICULTURA</t>
  </si>
  <si>
    <t>Alte cheltuieli in domeniul agriculturii</t>
  </si>
  <si>
    <t>83.02.03</t>
  </si>
  <si>
    <t>CAMERA AGRICOLA ARGES</t>
  </si>
  <si>
    <t>83.02.03.07</t>
  </si>
  <si>
    <t>Transferuri  din bugetele locale pentru finantarea camerelor agricole</t>
  </si>
  <si>
    <t>51.01.49</t>
  </si>
  <si>
    <t xml:space="preserve">TRANSPORTURI </t>
  </si>
  <si>
    <t xml:space="preserve">DRUMURI SI PODURI JUDETENE </t>
  </si>
  <si>
    <t>84.02.03.01</t>
  </si>
  <si>
    <t>CHELTUIELI DE CAPITAL  - INVESTITII</t>
  </si>
  <si>
    <t>87,02,04</t>
  </si>
  <si>
    <t>ProiecteFEN</t>
  </si>
  <si>
    <t xml:space="preserve"> DEFICIT</t>
  </si>
  <si>
    <t>Proiect "Sprijin pentru pregatirea aplicatiei de finantare si a documentatiiilor de atribuire  pentru Proiectul Regional de Dezvoltare a Infrastructurii de apa si apa uzata  din judetul Arges in perioada 2014-2020"</t>
  </si>
  <si>
    <t xml:space="preserve">Programe din Fondul European de Dezvoltare Regionala </t>
  </si>
  <si>
    <t>58,01,03</t>
  </si>
  <si>
    <t>ANUL 2021</t>
  </si>
  <si>
    <t xml:space="preserve">Contributia de intretinere a persoanelor asitate </t>
  </si>
  <si>
    <t>33,02,13</t>
  </si>
  <si>
    <t>PROIECT "Restaurarea galeriei de Arta"Rudolf Schweitzer-Cumpana"-Consolidarea, protejarea si valorificarea patrimoniului cultural</t>
  </si>
  <si>
    <t>PROIECT "Restaurarea Muzeului Judetean Arges- Consolidarea, protejarea  si valorificarea patrimoniului cultural"</t>
  </si>
  <si>
    <t>PROIECT "Conservarea si consolidarea Cetatii Poienari"</t>
  </si>
  <si>
    <t xml:space="preserve">PROIECT "Cresterea eficientei energetice a Spitalului de Recuperare Bradet </t>
  </si>
  <si>
    <t>PROIECT "Modernizarea drumului judetean DJ504 lim Jud Teleorman-Popesti-Izvoru-Recea-Cornatel-Vulpesti(DN 65A),km 110+700-136+695, L=25,995 km, pe raza Com. Popesti, Izvoru, Recea, Buzoiesti, Jud Arges</t>
  </si>
  <si>
    <t xml:space="preserve">Despagubiri civile </t>
  </si>
  <si>
    <t xml:space="preserve"> Servicii de expertiza tehnica structurala, studii de teren, audit energetic, DALI/SF, documentatii, avize solicitate  prin Certificat de Urbanism pentru obiectivul "Extindere modernizare si dotare spatii Urgenta Spitalul de Pediatrie  Pitesti</t>
  </si>
  <si>
    <t xml:space="preserve"> Servicii de expertiza tehnica structurala, studii de teren, audit energetic, DALI/SF, documentatii, avize solicitate  prin Certificat de Urbanism pentru obiectivul"Extindere si dotare spatii Urgenta si amenajari incinta Spitalul de Urgenta  Pitesti</t>
  </si>
  <si>
    <t xml:space="preserve">SF Extindere spatiu  Ambulatoriu integrat al Spitalului Judetean de Urgenta Pitesti precum si dotarea acestuia </t>
  </si>
  <si>
    <t>SFExtindere, modernizarea si dotarea  Ambulatoriului Integrat al spitalului cu componentele structurale Centrul de Sanatate Mintala si Laboratorul de recuperare, medicina fizica si balneologie (baza de tratament)</t>
  </si>
  <si>
    <t>Sume def din TVA pentru finantarea cheltuielilor descentralizate  :</t>
  </si>
  <si>
    <t>hotarari judecatoresti</t>
  </si>
  <si>
    <t xml:space="preserve">       Drepturi copii cu cerinte educationale speciale care frecventeaza invatamantul special </t>
  </si>
  <si>
    <t>mii lei</t>
  </si>
  <si>
    <t xml:space="preserve">ASOCIATIA DE DEZVOLTARE INTERCOMUNITARA MOLIVISU - </t>
  </si>
  <si>
    <t xml:space="preserve">ALTE ACTIUNI ECONOMICE </t>
  </si>
  <si>
    <t xml:space="preserve">Servicii de expertiza tehnica structurala , studii de teren SF , documentatii, avize solicitate prin Certificatul de Urbanism pentru obiectivul de investitii Cale de acces mecanizata Cetatea Poienari </t>
  </si>
  <si>
    <t>4.2.d</t>
  </si>
  <si>
    <t>4.2.f</t>
  </si>
  <si>
    <t>4.2.g</t>
  </si>
  <si>
    <t>4.2.h</t>
  </si>
  <si>
    <t>SUME PRIMITE DE LA UE /ALTI DONATORI IN CONTUL PLATILOR EFECTUATE SI PREFINANTARI AFERENTE CADRULUI FINANCIAR 2014-2020</t>
  </si>
  <si>
    <t>48.02.01.01</t>
  </si>
  <si>
    <t>48.02.01.02</t>
  </si>
  <si>
    <t>48.02.01.03</t>
  </si>
  <si>
    <t>48.02.01</t>
  </si>
  <si>
    <t>48.02</t>
  </si>
  <si>
    <t>Proiecte cu finantare FEN aferente cadrului financiar 2014-2020</t>
  </si>
  <si>
    <t xml:space="preserve">Finantare externa nerambursabila </t>
  </si>
  <si>
    <t>58.01.02</t>
  </si>
  <si>
    <t>58.01.03</t>
  </si>
  <si>
    <t>SF + PT - Marirea capacitatii sistemului de alimentare cu apa in Comuna Cuca si Moraresti</t>
  </si>
  <si>
    <t xml:space="preserve">Expertiza tehnica si PT pentru reamplasarea punctului termic si a instalatiilor aferente existente - centrul de Radioterapie - Spitalul Judetean de Urgenta </t>
  </si>
  <si>
    <t xml:space="preserve">CENTRUL   CULTURAL JUDETEAN ARGES </t>
  </si>
  <si>
    <t xml:space="preserve">                alte cheltuieli</t>
  </si>
  <si>
    <t xml:space="preserve">                 alte cheltuieli</t>
  </si>
  <si>
    <t>b</t>
  </si>
  <si>
    <t>a</t>
  </si>
  <si>
    <t>g</t>
  </si>
  <si>
    <t xml:space="preserve">Centrele pentru persoane adulte cu handicap </t>
  </si>
  <si>
    <t xml:space="preserve">Programul pentru scoli  al Romaniei </t>
  </si>
  <si>
    <t>.3.6</t>
  </si>
  <si>
    <t>.3.7</t>
  </si>
  <si>
    <t>.3.8</t>
  </si>
  <si>
    <t>.3.9</t>
  </si>
  <si>
    <t>.3.10</t>
  </si>
  <si>
    <t>.3.11</t>
  </si>
  <si>
    <t>.2.1</t>
  </si>
  <si>
    <t>.2.2</t>
  </si>
  <si>
    <t>.3.1</t>
  </si>
  <si>
    <t xml:space="preserve"> Cheltuieli de capital - Total, din care:</t>
  </si>
  <si>
    <t xml:space="preserve">  ALTE CHELTUIELI - PROGRAMUL PENTRU SCOLI AL ROMANIEI </t>
  </si>
  <si>
    <t xml:space="preserve">      Cheltuieli cu bunuri si servicii</t>
  </si>
  <si>
    <r>
      <t xml:space="preserve">                                                                                                                            </t>
    </r>
    <r>
      <rPr>
        <b/>
        <u/>
        <sz val="11"/>
        <rFont val="Times New Roman"/>
        <family val="1"/>
        <charset val="238"/>
      </rPr>
      <t xml:space="preserve"> PARTEA I SERVICII PUBLICE  GENERALE (1+2+3)</t>
    </r>
    <r>
      <rPr>
        <b/>
        <sz val="11"/>
        <rFont val="Times New Roman"/>
        <family val="1"/>
        <charset val="238"/>
      </rPr>
      <t xml:space="preserve"> </t>
    </r>
  </si>
  <si>
    <r>
      <t xml:space="preserve">sume pentru aplicarea Legii nr. </t>
    </r>
    <r>
      <rPr>
        <b/>
        <sz val="11"/>
        <rFont val="Times New Roman"/>
        <family val="1"/>
        <charset val="238"/>
      </rPr>
      <t>85/2016 (hotarari judecatoresti)</t>
    </r>
  </si>
  <si>
    <t xml:space="preserve">ESTIMARI </t>
  </si>
  <si>
    <t>Invatamant special , din care :</t>
  </si>
  <si>
    <t xml:space="preserve"> DIRECTIA GENERALA DE ASISTENTA SOCIALA SI PROTECTIA COPILULUI ARGES</t>
  </si>
  <si>
    <t>.4.1.1</t>
  </si>
  <si>
    <t>.4.1.2</t>
  </si>
  <si>
    <t>ALTE CHELTUIELI PENTRU ACTIUNI GENERALE ECONOMICE</t>
  </si>
  <si>
    <t>71,01,02</t>
  </si>
  <si>
    <t xml:space="preserve">Alte chelt </t>
  </si>
  <si>
    <t>ANUL 2022</t>
  </si>
  <si>
    <t>CENTRUL DE  EDUCATIE INCLUZIVA SF.  MARINA
 CURTEA DE ARGES</t>
  </si>
  <si>
    <t xml:space="preserve">          Finantare nationala</t>
  </si>
  <si>
    <t>58.01.01</t>
  </si>
  <si>
    <t xml:space="preserve">          Fonduri externe nerambursabile</t>
  </si>
  <si>
    <t xml:space="preserve">         Cofinantare si chelt neeligibile</t>
  </si>
  <si>
    <t>PROIECT "Cresterea eficientei energetice a Palatului Administrativ, Pitesti Piata Vasile Milea nr. 1, Jud Arges</t>
  </si>
  <si>
    <t>PROIECT " Certificarea activitatilor Consiliului Judetean Arges si dezvoltarea abilitatilor personalului in concordanta cu prevederile SCAP  (PROGRAMUL Operational Capacitate Administrativa )</t>
  </si>
  <si>
    <t>PNDL I</t>
  </si>
  <si>
    <t>PNDL II</t>
  </si>
  <si>
    <t xml:space="preserve">ALTE OBIECTIVE </t>
  </si>
  <si>
    <t>PNDL II Consolidare si Reabilitare Spital Judetean De Urgenta Pitesti</t>
  </si>
  <si>
    <t>Subventii pt sustinerea Proiecte FEN postaderare AFERENTE 2014-2020</t>
  </si>
  <si>
    <t>42.02.69</t>
  </si>
  <si>
    <t>58.02.01</t>
  </si>
  <si>
    <t>58.02.02</t>
  </si>
  <si>
    <t>58.02.03</t>
  </si>
  <si>
    <t xml:space="preserve">Subventii pentru realizarea activitatii de colectare transport depozitare si neutralizare a deseurilor de origine animala </t>
  </si>
  <si>
    <t>42.02.73</t>
  </si>
  <si>
    <t xml:space="preserve">ALTE SUME PRIMITE DE LA UNIUNEA EUROPEANA </t>
  </si>
  <si>
    <t>46.02</t>
  </si>
  <si>
    <t>48.02.02</t>
  </si>
  <si>
    <t>48.02.02.01</t>
  </si>
  <si>
    <t>48.02.02.02</t>
  </si>
  <si>
    <t>48.02.02.03</t>
  </si>
  <si>
    <t>48.02.15</t>
  </si>
  <si>
    <t>48.02.15.01</t>
  </si>
  <si>
    <t>48.02.15.02</t>
  </si>
  <si>
    <t>48.02.15.03</t>
  </si>
  <si>
    <t>PROIECT " Imbunatatirea accesului populatiei din judetele Arges, Teleorman si Calarasi la servicii medicale de urgenta "</t>
  </si>
  <si>
    <t>PROIECT " Asigurarea accesului la servicii de sanatate in regim ambulatoriu pentru populatia judetelor  Arges, Teleorman si Calarasi"</t>
  </si>
  <si>
    <t xml:space="preserve">s a term </t>
  </si>
  <si>
    <t xml:space="preserve">PROIECT "TEAM-UP: Progres in calitatea ingrijirii alternative a copiilor </t>
  </si>
  <si>
    <t>58.15.01</t>
  </si>
  <si>
    <t>58.15.02</t>
  </si>
  <si>
    <t>58.15.03</t>
  </si>
  <si>
    <t>PROIECT " Alternative for Social Suport Inspiring Transformation" ASSIST- 785710</t>
  </si>
  <si>
    <t>plati efectuate in anii precedenti si recuperate in anul curen85,01</t>
  </si>
  <si>
    <t>Plati</t>
  </si>
  <si>
    <t>Plati efectuate in anii precedenti</t>
  </si>
  <si>
    <t xml:space="preserve">TOTAL </t>
  </si>
  <si>
    <t>57.02,01</t>
  </si>
  <si>
    <t>PROIECT "Extindere, modernizare si dotare spatii urgenta  Spitalul de Pediatrie Pitesti"</t>
  </si>
  <si>
    <t xml:space="preserve">FONDUL EUROPEAN DE DEZVOLTARE REGIONALA </t>
  </si>
  <si>
    <t xml:space="preserve">FONDUL SOCIAL EUROPEAN </t>
  </si>
  <si>
    <t>58.02</t>
  </si>
  <si>
    <t>42,02,73</t>
  </si>
  <si>
    <t>Cap. 51.02 - AUTORITATI EXECUTIVE</t>
  </si>
  <si>
    <t>Cofinantare Proiecte cu finantare FEN</t>
  </si>
  <si>
    <t>Cheltuieli de capital</t>
  </si>
  <si>
    <t>Servicii elaborare Plan de Amenajare a Teritoriului Judetean Arges</t>
  </si>
  <si>
    <t>Servicii de expertiza tehnica structurala, studii de teren SF, documentatii avize solicitate prin Certificat de Urbanism pentru obiectivul de investitii "Cale de acces mecanizata Cetatea Poienari"</t>
  </si>
  <si>
    <t>Amenajare cale de acces mecanizata Cetatea Poienari - Plan Urbanistic Zonal</t>
  </si>
  <si>
    <t>Cap. 65.02 - INVATAMANT</t>
  </si>
  <si>
    <t>Cap. 66.02 - SANATATE</t>
  </si>
  <si>
    <t>3.1</t>
  </si>
  <si>
    <t>SPITALUL JUDETEAN DE URGENTA PITESTI</t>
  </si>
  <si>
    <t>SPITALUL DE PEDIATRIE PITESTI</t>
  </si>
  <si>
    <t>SPITALUL PNF VALEA IASULUI</t>
  </si>
  <si>
    <t>SPITALUL DE PSIHIATRIE VEDEA</t>
  </si>
  <si>
    <t>SPITALUL CALINESTI</t>
  </si>
  <si>
    <t>Cap. 67.02 - CULTURA, RECREERE SI RELIGIE</t>
  </si>
  <si>
    <t>5.1</t>
  </si>
  <si>
    <t>BIBLIOTECA JUDETEANA " DINICU GOLESCU" PITESTI</t>
  </si>
  <si>
    <t>Proiect "Centrul Europe Direct Arges"</t>
  </si>
  <si>
    <t>5.2</t>
  </si>
  <si>
    <t>1</t>
  </si>
  <si>
    <t>5.3</t>
  </si>
  <si>
    <t>5.4</t>
  </si>
  <si>
    <t>CENTRUL CULTURAL JUDETEAN ARGES</t>
  </si>
  <si>
    <t>Cap. 68.02 - ASIGURARI SI ASISTENTA SOCIALA</t>
  </si>
  <si>
    <t>6.1</t>
  </si>
  <si>
    <t>DIRECTIA GENERALA DE ASISTENTA SOCIALA SI PROTECTIA COPILULUI ARGES</t>
  </si>
  <si>
    <t>6.2</t>
  </si>
  <si>
    <t>6.3</t>
  </si>
  <si>
    <t>6.4</t>
  </si>
  <si>
    <t>6.5</t>
  </si>
  <si>
    <t>COMPLEXUL DE LOCUINTE PROTEJATE BUZOESTI</t>
  </si>
  <si>
    <t>UNITATEA DE ASISTENTA MEDICO SOCIALA DEDULESTI</t>
  </si>
  <si>
    <t>Masina de spalat vase</t>
  </si>
  <si>
    <t>UNITATEA DE ASISTENTA MEDICO SOCIALA SUICI</t>
  </si>
  <si>
    <t>Cap. 70.02 LOCUINTE, SERVICII SI DEZVOLTARE ECONOMICA</t>
  </si>
  <si>
    <t>7.1</t>
  </si>
  <si>
    <t>Cap. 84.02 TRANSPORTURI</t>
  </si>
  <si>
    <t>Cofinantare Proiecte din Programul National de Dezvoltare Locala I si II</t>
  </si>
  <si>
    <t>Modernizare DJ 725 Stoenesti-Dragoslavele, km 3+313-6+626, L=3,313 km, in comunele Stoenesti si Dragoslavele</t>
  </si>
  <si>
    <t>Cheltuieli de capital - Drumuri Judetene</t>
  </si>
  <si>
    <t>Pod peste raul Neajlov, in satul Silistea, comuna Cateasca, judetul Arges</t>
  </si>
  <si>
    <t>I.B.U. DJ 742 Leordeni (DJ 703 B)-Glimbocata (DN 7), km 0+000-11+050, in com.Leordeni</t>
  </si>
  <si>
    <t>I.B.U. pe DJ 679 C Caldararu (DN 65A)-Izvoru-Mozaceni (DJ 659), km 22+215-23+515, L=1 km, la Mozaceni</t>
  </si>
  <si>
    <t>Modernizare DJ 659 A Bradu-Costesti, km 5+060-9+744, L=4,684 km, la Costesti</t>
  </si>
  <si>
    <t>Modernizare pe DJ 679 D Negrasi (DJ 659) - Mozacu, km 34+500 - 39+500, L = 5,0 km, comuna Negrasi</t>
  </si>
  <si>
    <t xml:space="preserve">Modernizare DJ 704H Merisani-Baiculesti-Curtea de Arges, km 13+035-17+600, L=4,565 km </t>
  </si>
  <si>
    <t>Cap. 87.02 ALTE ACTIUNI ECONOMICE</t>
  </si>
  <si>
    <t>Construire Partie de Schi Vidraru A1 Ghitu-Molivisu</t>
  </si>
  <si>
    <t xml:space="preserve">Contributia de intretinere a persoanelor asistate </t>
  </si>
  <si>
    <t>PROIECT "Complex de 3 Locuinte protejate si centru  de zi, Comuna Babana, sat Lupueni, Judetul Arges"</t>
  </si>
  <si>
    <t>PROIECT "Complex de 4 Locuinte protejate si centru  de zi, Comuna Tigveni, sat Barsestii de Jos, Judetul Arges"</t>
  </si>
  <si>
    <t>PROIECT "Complex de 4 Locuinte protejate si centru  de zi, Comuna Tigveni, sat Balilesti, Judetul Arges"</t>
  </si>
  <si>
    <t>PROIECT "Complex de 4 Locuinte protejate si centru  de zi, Comuna Ciofrangeni, sat Ciofrangeni, Judetul Arges"</t>
  </si>
  <si>
    <t xml:space="preserve">X. Cheltuieli de capital </t>
  </si>
  <si>
    <t xml:space="preserve"> Fondul European de Dezvoltare Regională (FEDR)  </t>
  </si>
  <si>
    <t>Fondul Social European (FSE)</t>
  </si>
  <si>
    <t>Alte programe comunitare finantate in perioada 2014-2020(APC)</t>
  </si>
  <si>
    <t>Cap. 61.02 - ORDINE PUBLICA SI SIGURANTA NATIONALA</t>
  </si>
  <si>
    <t>INSPECTORATUL PENTRU SITUATII DE URGENTA ARGES</t>
  </si>
  <si>
    <t>4.1</t>
  </si>
  <si>
    <t>4.2</t>
  </si>
  <si>
    <t>4.3</t>
  </si>
  <si>
    <t>SPITALUL ORASENESC "REGELE CAROL I" COSTESTI</t>
  </si>
  <si>
    <t>4.4</t>
  </si>
  <si>
    <t>4.5</t>
  </si>
  <si>
    <t>SPITALUL PNF LEORDENI</t>
  </si>
  <si>
    <t>SPITALUL DE BOLI CRONICE SI GERIATRIE STEFANESTI</t>
  </si>
  <si>
    <t>"Alternative for Social Suport Inspiring Transformation" ASSIST</t>
  </si>
  <si>
    <t xml:space="preserve">"TEAM-UP Progres in calitatea ingrijirii alternative a copiilor" </t>
  </si>
  <si>
    <t>"Complex de 4 Locuinte protejate si Centru de zi, comuna Tigveni, sat Barsestii de Jos"</t>
  </si>
  <si>
    <t xml:space="preserve">"Complex de 4 Locuinte protejate si Centru de zi, comuna Tigveni, sat Balilesti" </t>
  </si>
  <si>
    <t>Cap. 80.02 ACTIUNI GENERALE ECONOMICE</t>
  </si>
  <si>
    <t>8.1</t>
  </si>
  <si>
    <t>Program de Dezvoltare Regionala</t>
  </si>
  <si>
    <t>PROIECT "Modernizarea drumului judetean DJ 503 lim. Jud. Dambovita- Slobozia - Rociu - Oarja - Catanele  (DJ702 G - KM 3+824), KM 98+000 -140+034 (42,034 KM) , Jud Arges</t>
  </si>
  <si>
    <t>.2.3</t>
  </si>
  <si>
    <t xml:space="preserve">Finantare nationala </t>
  </si>
  <si>
    <t xml:space="preserve">COLECTARE  TRATARE   SI DISTRUGERE DESEURI </t>
  </si>
  <si>
    <t>f</t>
  </si>
  <si>
    <t>h</t>
  </si>
  <si>
    <t>i</t>
  </si>
  <si>
    <t>.3.3</t>
  </si>
  <si>
    <t>.3.4.</t>
  </si>
  <si>
    <t>.3.5</t>
  </si>
  <si>
    <t>PROIECT "Extindere si dotare spatii urgenta si amenajari incinta  Spitalul  Judetean de Urgenta Pitesti"</t>
  </si>
  <si>
    <t>ANUL 2023</t>
  </si>
  <si>
    <t xml:space="preserve">PROPUNERE </t>
  </si>
  <si>
    <t>EXECUTIA</t>
  </si>
  <si>
    <t>BUGET</t>
  </si>
  <si>
    <t xml:space="preserve">EXECUTIA </t>
  </si>
  <si>
    <t>?TREC SUMA?</t>
  </si>
  <si>
    <t>SPITALE GENERALE(2.3.a+2.3.b)</t>
  </si>
  <si>
    <t>66.02.06.01</t>
  </si>
  <si>
    <t>2.3.a</t>
  </si>
  <si>
    <t>Transferuri din bugetele locale pentru finantarea 
cheltuielilor de capital din domeniul sanatatii</t>
  </si>
  <si>
    <t>2.3.b</t>
  </si>
  <si>
    <t>SPITALUL ORASENESC COSTESTI</t>
  </si>
  <si>
    <t>SPITALUL DE PSIHIATRIE SF.MARIA VEDEA</t>
  </si>
  <si>
    <t>SPITALUL DE PNEUMOFTIZIOLOGIE LEORDENI</t>
  </si>
  <si>
    <t>SPITALUL DE RECUPERARE BRADET</t>
  </si>
  <si>
    <t>CULTE RELIGIOASE</t>
  </si>
  <si>
    <t>Sustinerea cultelor</t>
  </si>
  <si>
    <t>67.02.06</t>
  </si>
  <si>
    <t>59.12</t>
  </si>
  <si>
    <t>ALTE SUME PRIMITE DE LA UE</t>
  </si>
  <si>
    <t>Alte sume primite de la uniunea europeana pentru programele operationale finantate din cadrul financiar 2014-2020</t>
  </si>
  <si>
    <t>46.02.04</t>
  </si>
  <si>
    <t xml:space="preserve">alin stoicea </t>
  </si>
  <si>
    <t>ALIMENTARE CU APA- S.C. Administrare si
Exploatare a Patrimoniului si Serviciilor de Utilitati Publice
Arges S.A.</t>
  </si>
  <si>
    <t xml:space="preserve">SECTIUNEA DE DEZVOLTARE </t>
  </si>
  <si>
    <t>Active financiare</t>
  </si>
  <si>
    <t>72.01</t>
  </si>
  <si>
    <t>Participare la capitalul social al societatilor comerciale</t>
  </si>
  <si>
    <t>72.01.01</t>
  </si>
  <si>
    <t>?</t>
  </si>
  <si>
    <t>SOLICITARE</t>
  </si>
  <si>
    <t>PROIECT "Extinderea si dotarea Ambulatoriului Integrat al Spitalului  Judetean de Urgenta Pitesti"cod SMIS 123890</t>
  </si>
  <si>
    <t>PROIECT "Extinderea, modernizarea si dotarea Ambulatoriului Integrat al Spitalului de Pediatrie Pitesti"cod SMIS 125102</t>
  </si>
  <si>
    <t>CENTRUL DE ABILITARE SI REABILITARE PENTRU PERSOANE ADULTE CU DIZABILITATI CALINESTI</t>
  </si>
  <si>
    <t>CENTRUL DE CULTURA DINU LIPATTI</t>
  </si>
  <si>
    <t>Subventii</t>
  </si>
  <si>
    <t xml:space="preserve">Modernizare DJ uri din buget local </t>
  </si>
  <si>
    <t xml:space="preserve"> cofinantare PNDL</t>
  </si>
  <si>
    <t xml:space="preserve">De la bugetul de stat </t>
  </si>
  <si>
    <t xml:space="preserve">Implementarea unor masuri si instrumente destinate imbunatatirii proceselor administrative in cadrul Consiliului Judetean Arges"
 </t>
  </si>
  <si>
    <t>Restaurarea Galeriei de Arta Rudolf Schweitzer-Cumpana - Consolidarea, protejarea si valorificarea patrimoniului cultural</t>
  </si>
  <si>
    <t>Restaurarea Muzeului Judetean Arges- consolidarea, protejarea si valorificarea patrimoniului cultural</t>
  </si>
  <si>
    <t>Conservarea si Consolidarea Cetatii Poienari Arges</t>
  </si>
  <si>
    <t>Cresterea eficientei energetice a Spitalului de Recuperare Bradet</t>
  </si>
  <si>
    <t>Extindere, modernizare si dotare spatii urgenta Spitalul de Pediatrie Pitesti</t>
  </si>
  <si>
    <t>Extindere si dotare spatii Urgenta si amenajari incinta Spitalul Judetean de Urgenta Pitesti</t>
  </si>
  <si>
    <t>Extinderea, modernizarea si dotarea Ambulatorului Integrat al Spitalului de Pediatrie Pitesti</t>
  </si>
  <si>
    <t>Extinderea si dotarea Ambulatorului Integrat al Spitalului Judetean de Urgente Pitesti</t>
  </si>
  <si>
    <t>Servicii de actualizare a documentatiei de Avizare a Lucrarilor de Interventie si expertiza tehnica pentru obiectivul de investitii " Conservarea si consolidarea Cetatii Poenari Arges"</t>
  </si>
  <si>
    <t>Servicii de verificare a documentatiei de Avizare a Lucrarilor de Investitie pentru obiectivul de investitii " Conservarea si consolidarea Cetatii Poenari Arges"</t>
  </si>
  <si>
    <t>Documentatie tehnica pentru obiectivul "Operationalizarea Dispeceratului Integrat la nivelul judetului Arges"</t>
  </si>
  <si>
    <t xml:space="preserve">Centrala termica </t>
  </si>
  <si>
    <t>GRADINITA SPECIALA "SF. ELENA" PITESTI</t>
  </si>
  <si>
    <t>Licente Microsoft,  Windows si Microsoft Office</t>
  </si>
  <si>
    <t>Licente Office</t>
  </si>
  <si>
    <t>CENTRUL JUDETEAN DE RESURSE SI ASISTENTA EDUCATIONALA ARGES</t>
  </si>
  <si>
    <t>Licente Microsoft  Windows si  Office</t>
  </si>
  <si>
    <t>CENTRUL SCOLAR DE EDUCATIE INCLUZIVA "SF. STELIAN" COSTESTI</t>
  </si>
  <si>
    <t>Achizitie si montaj centrale termice</t>
  </si>
  <si>
    <t>Server</t>
  </si>
  <si>
    <t>Licente Microsoft  Windows, Microsoft Office si Antivirus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</si>
  <si>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</si>
  <si>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</si>
  <si>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</si>
  <si>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</si>
  <si>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</si>
  <si>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</si>
  <si>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</si>
  <si>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</si>
  <si>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</si>
  <si>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</si>
  <si>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</si>
  <si>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Reabilitare Constructie aferenta sediului SJML-executie lucrari</t>
  </si>
  <si>
    <t>13</t>
  </si>
  <si>
    <t>Reparatii capitale instalatii apa calda si caldura sectiile Boli infectioase copii si adulti</t>
  </si>
  <si>
    <t>14</t>
  </si>
  <si>
    <t>15</t>
  </si>
  <si>
    <t>Echipament radiologie(GRAFIE/SCOPIE)</t>
  </si>
  <si>
    <t>Electroencefalograf 25 canale cu accesorii , cu sistem PC cu monitor, imprimata compatibila si sistem de supraveghere video</t>
  </si>
  <si>
    <t>Carucior de curatenie cu sistem preimpregnare lavete si mopuri</t>
  </si>
  <si>
    <t>Actualizare "Servicii de proiectare de Reparatii capitale etaj 4 "( fazele DALI, PT+CS+DE, verificare tehnica a proiectului, asistenta tehnica din partea proiectantului)</t>
  </si>
  <si>
    <t>Actualizare studiu de fezabilitate "Montare rezervor stocare apa de 150 mc"</t>
  </si>
  <si>
    <t>Lucrari de reparatii capitale Etaj 4</t>
  </si>
  <si>
    <t>Montare rezervor  stocare apa de 150 mc</t>
  </si>
  <si>
    <t>Reparatii capitale lifturi (2 buc)</t>
  </si>
  <si>
    <t>Multicar</t>
  </si>
  <si>
    <t>Sistem elevare la Sectia de Pediatrie</t>
  </si>
  <si>
    <t>Scara de incendiu pentru Sectia OG</t>
  </si>
  <si>
    <t>Scara de incendiu pentru cladirea Pediatrie</t>
  </si>
  <si>
    <t>Sistem ventilatie evacuare abur si gaze arse bucatarie</t>
  </si>
  <si>
    <t>Aparat anestezie</t>
  </si>
  <si>
    <t>Proiectare si executie reparatie capitala/modernizare ascensor electric persoane</t>
  </si>
  <si>
    <t>Proiectare si executie imprejmuire proprietate</t>
  </si>
  <si>
    <t>Modernizare paviment sectii si laboratoare medicale cu covor antistatic si antibacterian</t>
  </si>
  <si>
    <t>Paturi spital multifunctionale</t>
  </si>
  <si>
    <t>5.5</t>
  </si>
  <si>
    <t>Construire cladire birouri administrative P+1E</t>
  </si>
  <si>
    <t>Sistem video 32 camere</t>
  </si>
  <si>
    <t>Licenta Windows 10 Pro 64b</t>
  </si>
  <si>
    <t xml:space="preserve">Licenta Office </t>
  </si>
  <si>
    <t>Aparat pentru stimularea expectoratiei</t>
  </si>
  <si>
    <t>5.6</t>
  </si>
  <si>
    <t>Combina electroterapie cu 2 canale, ultrasunet si laser</t>
  </si>
  <si>
    <t>Lampa solux cu stativ</t>
  </si>
  <si>
    <t xml:space="preserve">Calandru spalatorie  </t>
  </si>
  <si>
    <t>5.7</t>
  </si>
  <si>
    <t>5.8</t>
  </si>
  <si>
    <t xml:space="preserve"> Amenajare parc agrement</t>
  </si>
  <si>
    <t xml:space="preserve"> Constructie sala de vestiare si circuit separare transport lenjerie</t>
  </si>
  <si>
    <t>Aparat masaj limfatic</t>
  </si>
  <si>
    <t>Electrocardiograf</t>
  </si>
  <si>
    <t>Baie galvanica 4 celulara</t>
  </si>
  <si>
    <t>Aparat diatermie</t>
  </si>
  <si>
    <t>Bicicleta ergometrica</t>
  </si>
  <si>
    <t>Sistem de alarma (Nurse Call) cu butoane de alarma</t>
  </si>
  <si>
    <t>Multifunctional laser A3</t>
  </si>
  <si>
    <t>Soft interpretare rezultate CT/RMN</t>
  </si>
  <si>
    <t>Proiect ,avize, autorizatii si asistenta tehnica amenajare parc agrement</t>
  </si>
  <si>
    <t>Proiect ,avize, autorizatii si asistenta tehnica constructie sala vestiare personal si circuit separare transport lenjerie</t>
  </si>
  <si>
    <t xml:space="preserve"> Documentatii in vederea obtinerii autorizatiei de  securitate la incendiu</t>
  </si>
  <si>
    <r>
      <t xml:space="preserve"> Avize, autorizatii si asistenta tehnica "Lucrari de construire in vederea conformarii imobilului la cerinta esentiala de calitate "</t>
    </r>
    <r>
      <rPr>
        <i/>
        <sz val="11"/>
        <rFont val="Times New Roman"/>
        <family val="1"/>
      </rPr>
      <t>Securitate la incendiu</t>
    </r>
    <r>
      <rPr>
        <sz val="11"/>
        <rFont val="Times New Roman"/>
        <family val="1"/>
      </rPr>
      <t>""</t>
    </r>
  </si>
  <si>
    <t>16</t>
  </si>
  <si>
    <t>Lucrari de construire in vederea conformarii imobilului la cerinta esentiala de calitate "Securitate la incendiu"</t>
  </si>
  <si>
    <t>5.9</t>
  </si>
  <si>
    <t>Concentrator oxigen (10 buc)</t>
  </si>
  <si>
    <t>Promovarea potentialului turistic si crearea infrastructurii necesare, in scopul cresterii atractivitatii Romaniei ca destinatie turistica - Castrul Campulung Jidova - un simbol al Romei la granita dintre imperiu si lumea barbara</t>
  </si>
  <si>
    <t>Usa garaj electrica</t>
  </si>
  <si>
    <t>Sistem de supraveghere video corp B</t>
  </si>
  <si>
    <t>Extractor local cu motor, varianta ATEX</t>
  </si>
  <si>
    <t>Bazin de spalare</t>
  </si>
  <si>
    <t>Specrofotometru cu doua fascicule UV</t>
  </si>
  <si>
    <t>Microscop digital cu stativ</t>
  </si>
  <si>
    <t>Sistem ventilatie cu recuperare de caldura VENT-AXIA HR 200WK DEBIT AER 220MC/H cu buton de control</t>
  </si>
  <si>
    <t>Sistem sonorizare</t>
  </si>
  <si>
    <t xml:space="preserve">PT  Sistem climatizare </t>
  </si>
  <si>
    <t>PT si executie sistem detectie incendiu</t>
  </si>
  <si>
    <t>Achizitie cabina gardieni</t>
  </si>
  <si>
    <t>Achizitie 2 pavilioane exterioare</t>
  </si>
  <si>
    <t>Achizitie generator electric 14,5 kw</t>
  </si>
  <si>
    <t>"Complex de 3 Locuinte protejate si Centru de zi, comuna Babana" sat Lupuieni</t>
  </si>
  <si>
    <t xml:space="preserve">"Complex de 4 Locuinte protejate si Centru de zi, comuna Ciofrangeni, sat Ciofrangeni" </t>
  </si>
  <si>
    <t xml:space="preserve">"Venus - Impreuna pentru o viata in siguranta" </t>
  </si>
  <si>
    <t>7.2</t>
  </si>
  <si>
    <t>7.3</t>
  </si>
  <si>
    <t>Reabilitare, refunctionalizare si modernizare (extindere) a UAMS Dedulesti ( constructie corp B)</t>
  </si>
  <si>
    <t>Amenajari exterioare, alei, accese rutiere, in incinta UAMS Dedulesti, comuna Moraresti</t>
  </si>
  <si>
    <t xml:space="preserve">Achizitie si montaj centrala termica </t>
  </si>
  <si>
    <t>7.4</t>
  </si>
  <si>
    <t>Proiectare si Executie Amenajare Parc si Alei UAMS Suici</t>
  </si>
  <si>
    <t>Montare sistem panou solar 500 litri spalatorie</t>
  </si>
  <si>
    <t>7.5</t>
  </si>
  <si>
    <t>Sistem videointerfonie si buton de panica</t>
  </si>
  <si>
    <t>Generator electric</t>
  </si>
  <si>
    <t>9.1</t>
  </si>
  <si>
    <t xml:space="preserve">"Modernizarea  DJ 503 lim jud. Dambovita-Slobozia-Rociu-Oarja-Catanele (DJ 702G-km 3+824), km 98+000-140+034 (42,034 km), jud. Arges"  </t>
  </si>
  <si>
    <t>Modernizare DJ 702 A Ciupa-Răteşti, km 33+030-35+696, la Ratesti</t>
  </si>
  <si>
    <t>Pod pe DJ 741 Piteşti-Valea Mare-Făgetu-Mioveni, km 2+060, peste pârâul Valea Mare (Ploscaru), la Ştefăneşti</t>
  </si>
  <si>
    <t>Modernizare DJ 703 B Costeşti (DN 65 A)-Şerbăneşti (DJ 659), km 60+325-68+783, L=8,458km, la Costeşti şi Rociu</t>
  </si>
  <si>
    <t>Pod pe DJ 703 H Curtea de Argeş (DN 7 C)-Valea Danului-Cepari, km 0+597, L=152m, în comuna Valea Danului</t>
  </si>
  <si>
    <t>Pod pe DJ 738 Jugur-Drăghici-Mihăeşti peste râul Târgului, km 21+900, în comuna Mihăeşti</t>
  </si>
  <si>
    <t>Modernizare DJ 703 B Şerbăneşti (DJ 659)-Siliştea, km 70+410-77+826, L=7,416km, în comunele Rociu şi Căteasca</t>
  </si>
  <si>
    <t>Modernizare drum judetean DJ 703 B lim. jud. Olt - Marghia - Padureti, km 41+275 - 41+775, L=500 m, com. Lunca Corbului, jud. Arges</t>
  </si>
  <si>
    <t>Modernizare drum judetean DJ 742 Leordeni (DJ 703B)-Baloteasca-Cotu Malului-Glambocata-Leordeni (DN 7), km 5+100-6+100, L=1,0 km, la Leordeni, jud. Arges</t>
  </si>
  <si>
    <t>Modernizare drum judetean DJ 508 Cateasca (DJ 703B)-Furduiesti-Teiu-Buta (DJ 659), km 12+400-17+217, L=4,817 km, com. Teiu si Negrasi, jud. Arges</t>
  </si>
  <si>
    <t>Modernizare drum judetean DJ 703 Moraresti-Cuca-Ciomagesti-lim. Jud. Olt, km 13+400-16+600, L=3,2 km, comuna Cuca, jud. Arges</t>
  </si>
  <si>
    <t>Modernizare DJ 731 D, km 7+450-19+674, L=12,224 km, judetul Arges”</t>
  </si>
  <si>
    <t>Modernizare DJ 703 B Padureti (DJ 679)-Costesti (DN 65A), km 48+975-59+287, L=10,312 km, la Lunca Corbului si Costesti</t>
  </si>
  <si>
    <t>Transferuri din bugetul local catre asociatii de dezvoltare intercomunitara</t>
  </si>
  <si>
    <t xml:space="preserve">Finantare din Excedentul bugetului local </t>
  </si>
  <si>
    <t xml:space="preserve"> sistemul de protectie a copilului si a centrelor persoane cu handicap </t>
  </si>
  <si>
    <t>pentru finantarea SECTIUNII DE FUNCTIONARE</t>
  </si>
  <si>
    <t xml:space="preserve">pentru finantarea SECTIUNII DE DEZVOLTARE </t>
  </si>
  <si>
    <t>JUDETUL ARGES</t>
  </si>
  <si>
    <t>DIRECTIA ECONOMICA</t>
  </si>
  <si>
    <t xml:space="preserve">SERVICIUL BUGET IMPOZITE TAXE SI VENITURI </t>
  </si>
  <si>
    <t>BUGET DE VENITURI SI CHELTUIELI</t>
  </si>
  <si>
    <t>PE ANUL 2020</t>
  </si>
  <si>
    <t xml:space="preserve">DIRECTIA ECONOMICA </t>
  </si>
  <si>
    <t>VENITURI - TOTAL</t>
  </si>
  <si>
    <t xml:space="preserve">SUME DEFALCATE DIN TVA </t>
  </si>
  <si>
    <t xml:space="preserve">VENITURI PROPRII </t>
  </si>
  <si>
    <r>
      <t xml:space="preserve">Cote defalcate din impozitul pe venit </t>
    </r>
    <r>
      <rPr>
        <b/>
        <sz val="11"/>
        <rFont val="Times New Roman"/>
        <family val="1"/>
        <charset val="238"/>
      </rPr>
      <t xml:space="preserve">(14% </t>
    </r>
    <r>
      <rPr>
        <sz val="11"/>
        <rFont val="Times New Roman"/>
        <family val="1"/>
        <charset val="238"/>
      </rPr>
      <t>)</t>
    </r>
  </si>
  <si>
    <t>PROIECT " VENUS - Impreuna pentru o viata in siguranta " - 128085</t>
  </si>
  <si>
    <t xml:space="preserve">TRIMESTRUL </t>
  </si>
  <si>
    <t xml:space="preserve">  I.             cheltuieli de personal </t>
  </si>
  <si>
    <t xml:space="preserve"> CAP. 54. ALTE SERVICII PUBLICE GENERALE</t>
  </si>
  <si>
    <t>DIRECTIA GENERALA PENTRU EVIDENTA PERSOANELOR PITESTI</t>
  </si>
  <si>
    <t>DIRECTIA GENERALA  PENTRU EVIDENTA PERSOANELOR PITESTI</t>
  </si>
  <si>
    <t>Cofinantare Proiecte din Programul National de Dezvoltare Locala II- Consolidare si reabilitare Spital Judetean de Urgenta Pitesti</t>
  </si>
  <si>
    <t>Teren  Castrul Roman Jidova , Campulung</t>
  </si>
  <si>
    <t>Achizitie binoclu cu termoviziune</t>
  </si>
  <si>
    <t>Achizitie camera cu termoviziune</t>
  </si>
  <si>
    <t>Laborator de Radioterapie Spitalul Judetean de Urgenta Pitesti</t>
  </si>
  <si>
    <t>Instalare rezervor stocare apa la Spital N.Balcescu</t>
  </si>
  <si>
    <t>Instalare rezervor stocare apa la Spital nr.2</t>
  </si>
  <si>
    <t xml:space="preserve">Instalare rezervor suplimentar stocare apa la SJUP- sediu central   </t>
  </si>
  <si>
    <t>Autoturism de teren 4*4 Diesel</t>
  </si>
  <si>
    <t>Microtom</t>
  </si>
  <si>
    <t xml:space="preserve">Laptop + imprimanta pentru eeg portabil </t>
  </si>
  <si>
    <t>Dulap mobil</t>
  </si>
  <si>
    <t>Lada frigorifica transport sange</t>
  </si>
  <si>
    <t xml:space="preserve">Sistem de incalzire-racire externa a pacientului-performant </t>
  </si>
  <si>
    <t>Frigider omologat</t>
  </si>
  <si>
    <t xml:space="preserve">Masa operatie </t>
  </si>
  <si>
    <t>Lampa scialitica pentru sala de operatie</t>
  </si>
  <si>
    <t>Masina de spalat industriala 11-15 kg</t>
  </si>
  <si>
    <t xml:space="preserve">Aparat aer conditionat 24.000 btu </t>
  </si>
  <si>
    <t>Server Dell PowerEdge R530 Chassis 2U+licente</t>
  </si>
  <si>
    <t>Licenta 228-11151 SQL</t>
  </si>
  <si>
    <t>Licenta 359-06589 SQCAL 2017 OLP NL GOV USR CAL</t>
  </si>
  <si>
    <t>Spirometru</t>
  </si>
  <si>
    <t xml:space="preserve">Trusa de microchirurgie </t>
  </si>
  <si>
    <t>E.K.G cu 12 canale</t>
  </si>
  <si>
    <t>Refacerea documentatiei tehnico-economice - Studiul de fezabilitate aferent obiectivului de investitii Laborator de Radioterapie Spitalul Judetean de Urgenta Pitesti</t>
  </si>
  <si>
    <t>Verificare de calitate Studiu de fezabilitate refacut aferent obiectivului de investitii Laborator de Radioterapie Spitalul Judetean de Urgenta Pitesti</t>
  </si>
  <si>
    <t>Expertiza tehnica instalatie electrica SJUP</t>
  </si>
  <si>
    <t>Scenariu de securitate la incendiu</t>
  </si>
  <si>
    <t>Amenajare spatiu pentru protectie impotriva radiatiilor X in Laboratorul de radiologie si Imagistica Medicala SJU Pitesti pentru Computer Tomograf de tipul GE Revolution Evo</t>
  </si>
  <si>
    <t xml:space="preserve">Sistem cu butoane panica in caz de pacient recalcitrant </t>
  </si>
  <si>
    <t>Sistem detectie, semnalizare incendiu</t>
  </si>
  <si>
    <t>Sistem semnalizare acustica</t>
  </si>
  <si>
    <t xml:space="preserve">Sistem de confirmare a evacuarii persoanelor din incaperi in caz de necesitate </t>
  </si>
  <si>
    <t>Intranet</t>
  </si>
  <si>
    <t>Pat cantar</t>
  </si>
  <si>
    <t xml:space="preserve">Servicii de proiectare fazele: studii de teren, expertiza tehnica, DALI la obiectivul "Modernizare pe DJ 731 B Samara-Babana-Richitele de Sus-Cocu, km 1+700-3+831, L=2,131 km, com. Poiana Lacului </t>
  </si>
  <si>
    <t>Licenta Microsoft Windows Server</t>
  </si>
  <si>
    <t>Program Antivirus server</t>
  </si>
  <si>
    <t>UPS min. 1500VA/1000 W pentru servere</t>
  </si>
  <si>
    <t>Licenta Microsoft Office (pentru editare Word, Excel)</t>
  </si>
  <si>
    <t>Licenta Microsoft Office (pentru tot pachetul Office, incluzand Word, Excel, Access, Powerpoint, Outlook)</t>
  </si>
  <si>
    <t>CENTRE DE ASISTENTA</t>
  </si>
  <si>
    <t xml:space="preserve">ASIGURARI SI ASIST. SOCIALA </t>
  </si>
  <si>
    <t xml:space="preserve">CULTURA, RECREERE SI RELIGIE </t>
  </si>
  <si>
    <t>Cresterea eficientei energetice a Palatului Administrativ situat in Pitesti- Piata Vasile Milea nr. 1 Judet Arges</t>
  </si>
  <si>
    <t>Verificare Studiu de Fezabilitate mixt revizuit pentru obiectivul de investitii "Extindere si dotare spatii de urgenta si amenajari incinta Spital Judetean de Urgenta Pitesti"</t>
  </si>
  <si>
    <t>Revizuire Studiu de Fezabilitate mixt, expertiza tehnica si audit energetic pentru obiectivul de investitii "Extindere si dotare spatii de urgenta si amenajari incinta Spital Judetean de Urgenta Pitesti"</t>
  </si>
  <si>
    <t>Adaptarea protejarii conductelor de transport gaze naturale existente DN500 Hurezani - Corbu-Bucuresti, Fir I si II la intersectia cu drumul judetean DJ 504 ca urmare a lucrarii: Modernizarea drumului judetean DJ 504 Lim.Jud.Teleorman-Popesti-Izvoru-Recea-Cornatel-Vulpesti (DN 65 A), km 110+700-136+695. L=25,995 km, pe raza com. Popesti, Izvoru, Recea, Buzoesti, jud.Arges</t>
  </si>
  <si>
    <t>Construire corp  de cladire nou la Spitalul Judetean de Urgenta Pitesti</t>
  </si>
  <si>
    <t>Elaborare Documentatie tehnico-economica (SF, PAC, PTE) aferenta instalatiei de rezerva de apa la sectiile exterioare Spital nr.2 si sectiile Oncologie si Infectioase</t>
  </si>
  <si>
    <t>Proiect tehnic instalare rezervor stocare din sursa proprie apa</t>
  </si>
  <si>
    <t xml:space="preserve">Pat cantar </t>
  </si>
  <si>
    <t xml:space="preserve">Sistem de monitorizare individuala pacient, tensiune, EKG, puls TA </t>
  </si>
  <si>
    <t xml:space="preserve">Carucior transport alimente </t>
  </si>
  <si>
    <t>Sistem de alertare pentru pat si grupuri sanitare</t>
  </si>
  <si>
    <t>Sistem dotare pentru fiecare pat cu lumina artificiala proprie</t>
  </si>
  <si>
    <t>Sistem buton panica pentru personal</t>
  </si>
  <si>
    <t>Masina si echipamente automate, speciale pentru curatenia si dezinfectia spatiilor</t>
  </si>
  <si>
    <t>Amenajare corp cladire spital existent si extindere corp cladire spital in regim S+P+2E partialSpitalul de Psihiatrie "Sf. Maria" Vedea</t>
  </si>
  <si>
    <t xml:space="preserve"> "Amenajare Exterioara Sediu D.G.A.P.S.C Dragolesti"</t>
  </si>
  <si>
    <t xml:space="preserve">"Modernizarea drumului judetean  DJ504 Lim jud. Teloeorman-Popesti-Izvoru-Recea-Cornatel-Vulpesti (DN 65A) km 110+700-136+695, L=25,995 km, pe raza com.Popesti, Izvoru, Recea, Buzoesti, jud. Arges" </t>
  </si>
  <si>
    <t>Modernizare DJ 703 B Moraresti-Uda, km 17+753-20+253, L=2,5 km</t>
  </si>
  <si>
    <t>Cultura si culte din care</t>
  </si>
  <si>
    <t xml:space="preserve">            personal neclerical</t>
  </si>
  <si>
    <t>Sume def din TVA  pt echilibrarea bugete locale</t>
  </si>
  <si>
    <t>Subventii pt sustinerea Proiecte FEN postaderare aferente 2014-2020</t>
  </si>
  <si>
    <t xml:space="preserve">TOTAL CHELTUIELI </t>
  </si>
  <si>
    <t xml:space="preserve"> II.              cheltuieli cu bunuri si servicii</t>
  </si>
  <si>
    <t xml:space="preserve">IV Subventii </t>
  </si>
  <si>
    <t>Proiect "Implementarea unor masuri si instrumente destinate imbunatatirii proceselor administrative in cadrul Consiliului Judetean Arges</t>
  </si>
  <si>
    <t xml:space="preserve">ALTE SERVICII PUBLICE GENERALE </t>
  </si>
  <si>
    <t>VI. Transferuri catre institutii publice pentru:</t>
  </si>
  <si>
    <r>
      <t xml:space="preserve">    </t>
    </r>
    <r>
      <rPr>
        <b/>
        <u/>
        <sz val="11"/>
        <rFont val="Times New Roman"/>
        <family val="1"/>
        <charset val="238"/>
      </rPr>
      <t xml:space="preserve">PARTEA II APARARE, ORDINE PUBLICA </t>
    </r>
  </si>
  <si>
    <t>APARARE</t>
  </si>
  <si>
    <t xml:space="preserve">ORDINE PUBLICA SI SIGURANTA NATIONALA </t>
  </si>
  <si>
    <r>
      <t xml:space="preserve">    </t>
    </r>
    <r>
      <rPr>
        <b/>
        <u/>
        <sz val="11"/>
        <rFont val="Times New Roman"/>
        <family val="1"/>
        <charset val="238"/>
      </rPr>
      <t>PARTEA III CHELT SOCIAL- CULTURALE</t>
    </r>
  </si>
  <si>
    <t xml:space="preserve">INVATAMANT </t>
  </si>
  <si>
    <t xml:space="preserve">  INVATAMANT SPECIAL </t>
  </si>
  <si>
    <t>SANATATE</t>
  </si>
  <si>
    <t xml:space="preserve">UNITATI DE ASISTENTA MEDICO-SOCIALE </t>
  </si>
  <si>
    <t>UNITATI DE ASISTENTA MEDICO-SOCIALE</t>
  </si>
  <si>
    <r>
      <t xml:space="preserve">       </t>
    </r>
    <r>
      <rPr>
        <b/>
        <u/>
        <sz val="11"/>
        <rFont val="Times New Roman"/>
        <family val="1"/>
        <charset val="238"/>
      </rPr>
      <t>PARTEA  IV  SERVICII SI DEZVOLTARE PUBLICA</t>
    </r>
  </si>
  <si>
    <t>LOCUINTE SERVICII SI DEZVOLTARE PUBLICA</t>
  </si>
  <si>
    <t xml:space="preserve">PROTECTIA MEDIULUI </t>
  </si>
  <si>
    <t xml:space="preserve">ACTIUNI GENERALE ECONOMICE </t>
  </si>
  <si>
    <r>
      <t xml:space="preserve">                                                                                                      </t>
    </r>
    <r>
      <rPr>
        <b/>
        <u/>
        <sz val="11"/>
        <rFont val="Times New Roman"/>
        <family val="1"/>
        <charset val="238"/>
      </rPr>
      <t xml:space="preserve">PARTEA V ACTIUNI ECONOMICE </t>
    </r>
  </si>
  <si>
    <t xml:space="preserve">La Hot. C.J. </t>
  </si>
  <si>
    <t>Venituri din proprietate</t>
  </si>
  <si>
    <t>TOTAL GENERAL</t>
  </si>
  <si>
    <t>ANEXA nr. 1</t>
  </si>
  <si>
    <r>
      <t>Sume din impozit pe venit  pentru echil.</t>
    </r>
    <r>
      <rPr>
        <b/>
        <sz val="11"/>
        <rFont val="Times New Roman"/>
        <family val="1"/>
        <charset val="238"/>
      </rPr>
      <t xml:space="preserve"> (15% din 14%)</t>
    </r>
  </si>
</sst>
</file>

<file path=xl/styles.xml><?xml version="1.0" encoding="utf-8"?>
<styleSheet xmlns="http://schemas.openxmlformats.org/spreadsheetml/2006/main">
  <fonts count="49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u/>
      <sz val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C00000"/>
      <name val="Times New Roman"/>
      <family val="1"/>
      <charset val="238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  <font>
      <b/>
      <sz val="9"/>
      <name val="Arial"/>
      <family val="2"/>
      <charset val="238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</font>
    <font>
      <sz val="12"/>
      <name val="Times New Roman"/>
      <family val="1"/>
    </font>
    <font>
      <sz val="11"/>
      <color rgb="FFFF0000"/>
      <name val="Times New Roman"/>
      <family val="1"/>
    </font>
    <font>
      <i/>
      <sz val="11"/>
      <name val="Times New Roman"/>
      <family val="1"/>
    </font>
    <font>
      <b/>
      <sz val="11"/>
      <name val="Arial"/>
      <family val="2"/>
      <charset val="238"/>
    </font>
    <font>
      <b/>
      <sz val="9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sz val="11"/>
      <color rgb="FFFF0000"/>
      <name val="Times New Roman"/>
      <family val="1"/>
      <charset val="238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2" fillId="0" borderId="0"/>
    <xf numFmtId="0" fontId="31" fillId="0" borderId="0"/>
    <xf numFmtId="0" fontId="32" fillId="0" borderId="0"/>
    <xf numFmtId="0" fontId="2" fillId="0" borderId="0"/>
  </cellStyleXfs>
  <cellXfs count="48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2" fontId="2" fillId="2" borderId="0" xfId="0" applyNumberFormat="1" applyFont="1" applyFill="1"/>
    <xf numFmtId="0" fontId="7" fillId="0" borderId="0" xfId="0" applyFont="1" applyFill="1"/>
    <xf numFmtId="0" fontId="10" fillId="0" borderId="0" xfId="0" applyFont="1" applyFill="1" applyBorder="1" applyAlignment="1">
      <alignment horizontal="center"/>
    </xf>
    <xf numFmtId="0" fontId="11" fillId="0" borderId="0" xfId="0" applyFont="1" applyFill="1"/>
    <xf numFmtId="0" fontId="8" fillId="0" borderId="0" xfId="0" applyFont="1" applyFill="1" applyAlignment="1">
      <alignment horizontal="right"/>
    </xf>
    <xf numFmtId="0" fontId="7" fillId="0" borderId="0" xfId="0" applyFont="1" applyFill="1" applyBorder="1"/>
    <xf numFmtId="0" fontId="11" fillId="0" borderId="0" xfId="0" applyFont="1" applyFill="1" applyBorder="1"/>
    <xf numFmtId="0" fontId="13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20" fillId="0" borderId="0" xfId="0" applyFont="1" applyFill="1"/>
    <xf numFmtId="0" fontId="19" fillId="0" borderId="0" xfId="0" applyFont="1" applyFill="1" applyBorder="1"/>
    <xf numFmtId="0" fontId="20" fillId="0" borderId="0" xfId="0" applyFont="1" applyFill="1" applyBorder="1"/>
    <xf numFmtId="0" fontId="19" fillId="0" borderId="2" xfId="0" applyFont="1" applyFill="1" applyBorder="1" applyAlignment="1">
      <alignment horizontal="center"/>
    </xf>
    <xf numFmtId="0" fontId="19" fillId="0" borderId="2" xfId="0" applyFont="1" applyFill="1" applyBorder="1" applyAlignment="1">
      <alignment wrapText="1"/>
    </xf>
    <xf numFmtId="0" fontId="20" fillId="0" borderId="2" xfId="0" applyFont="1" applyFill="1" applyBorder="1"/>
    <xf numFmtId="0" fontId="19" fillId="3" borderId="3" xfId="0" applyFont="1" applyFill="1" applyBorder="1"/>
    <xf numFmtId="0" fontId="19" fillId="3" borderId="5" xfId="0" applyFont="1" applyFill="1" applyBorder="1"/>
    <xf numFmtId="0" fontId="19" fillId="0" borderId="5" xfId="0" applyFont="1" applyFill="1" applyBorder="1"/>
    <xf numFmtId="0" fontId="20" fillId="0" borderId="5" xfId="0" applyFont="1" applyFill="1" applyBorder="1"/>
    <xf numFmtId="0" fontId="19" fillId="0" borderId="7" xfId="0" applyFont="1" applyFill="1" applyBorder="1"/>
    <xf numFmtId="2" fontId="20" fillId="0" borderId="7" xfId="0" applyNumberFormat="1" applyFont="1" applyFill="1" applyBorder="1"/>
    <xf numFmtId="2" fontId="20" fillId="0" borderId="7" xfId="0" applyNumberFormat="1" applyFont="1" applyFill="1" applyBorder="1" applyAlignment="1">
      <alignment wrapText="1"/>
    </xf>
    <xf numFmtId="0" fontId="20" fillId="2" borderId="2" xfId="0" applyFont="1" applyFill="1" applyBorder="1"/>
    <xf numFmtId="0" fontId="19" fillId="0" borderId="2" xfId="0" applyFont="1" applyFill="1" applyBorder="1" applyAlignment="1">
      <alignment horizontal="right"/>
    </xf>
    <xf numFmtId="0" fontId="19" fillId="0" borderId="7" xfId="0" applyFont="1" applyFill="1" applyBorder="1" applyAlignment="1">
      <alignment wrapText="1"/>
    </xf>
    <xf numFmtId="0" fontId="20" fillId="0" borderId="7" xfId="0" applyFont="1" applyFill="1" applyBorder="1" applyAlignment="1">
      <alignment wrapText="1"/>
    </xf>
    <xf numFmtId="0" fontId="20" fillId="0" borderId="7" xfId="0" applyFont="1" applyFill="1" applyBorder="1"/>
    <xf numFmtId="0" fontId="19" fillId="0" borderId="2" xfId="0" applyFont="1" applyFill="1" applyBorder="1"/>
    <xf numFmtId="0" fontId="20" fillId="0" borderId="2" xfId="0" applyFont="1" applyFill="1" applyBorder="1" applyAlignment="1">
      <alignment wrapText="1"/>
    </xf>
    <xf numFmtId="0" fontId="22" fillId="0" borderId="2" xfId="0" applyFont="1" applyFill="1" applyBorder="1" applyAlignment="1">
      <alignment horizontal="left" wrapText="1"/>
    </xf>
    <xf numFmtId="0" fontId="19" fillId="0" borderId="3" xfId="0" applyFont="1" applyFill="1" applyBorder="1"/>
    <xf numFmtId="0" fontId="20" fillId="0" borderId="5" xfId="0" applyFont="1" applyFill="1" applyBorder="1" applyAlignment="1">
      <alignment wrapText="1"/>
    </xf>
    <xf numFmtId="0" fontId="19" fillId="0" borderId="4" xfId="0" applyFont="1" applyFill="1" applyBorder="1"/>
    <xf numFmtId="0" fontId="19" fillId="0" borderId="1" xfId="0" applyFont="1" applyFill="1" applyBorder="1"/>
    <xf numFmtId="0" fontId="19" fillId="3" borderId="2" xfId="0" applyFont="1" applyFill="1" applyBorder="1"/>
    <xf numFmtId="0" fontId="21" fillId="3" borderId="2" xfId="0" applyFont="1" applyFill="1" applyBorder="1"/>
    <xf numFmtId="0" fontId="19" fillId="3" borderId="7" xfId="0" applyFont="1" applyFill="1" applyBorder="1" applyAlignment="1">
      <alignment wrapText="1"/>
    </xf>
    <xf numFmtId="0" fontId="21" fillId="0" borderId="2" xfId="0" applyFont="1" applyFill="1" applyBorder="1"/>
    <xf numFmtId="0" fontId="19" fillId="3" borderId="7" xfId="0" applyFont="1" applyFill="1" applyBorder="1"/>
    <xf numFmtId="0" fontId="20" fillId="2" borderId="7" xfId="0" applyFont="1" applyFill="1" applyBorder="1"/>
    <xf numFmtId="0" fontId="20" fillId="2" borderId="2" xfId="0" applyFont="1" applyFill="1" applyBorder="1" applyAlignment="1">
      <alignment wrapText="1"/>
    </xf>
    <xf numFmtId="0" fontId="20" fillId="2" borderId="7" xfId="0" applyFont="1" applyFill="1" applyBorder="1" applyAlignment="1">
      <alignment wrapText="1"/>
    </xf>
    <xf numFmtId="0" fontId="19" fillId="9" borderId="7" xfId="0" applyFont="1" applyFill="1" applyBorder="1" applyAlignment="1">
      <alignment wrapText="1"/>
    </xf>
    <xf numFmtId="0" fontId="19" fillId="2" borderId="7" xfId="0" applyFont="1" applyFill="1" applyBorder="1" applyAlignment="1">
      <alignment wrapText="1"/>
    </xf>
    <xf numFmtId="0" fontId="20" fillId="0" borderId="9" xfId="1" applyFont="1" applyFill="1" applyBorder="1" applyAlignment="1">
      <alignment wrapText="1"/>
    </xf>
    <xf numFmtId="0" fontId="19" fillId="2" borderId="7" xfId="0" applyFont="1" applyFill="1" applyBorder="1"/>
    <xf numFmtId="16" fontId="19" fillId="0" borderId="2" xfId="0" applyNumberFormat="1" applyFont="1" applyFill="1" applyBorder="1"/>
    <xf numFmtId="16" fontId="20" fillId="0" borderId="2" xfId="0" applyNumberFormat="1" applyFont="1" applyFill="1" applyBorder="1"/>
    <xf numFmtId="0" fontId="19" fillId="0" borderId="4" xfId="0" applyFont="1" applyFill="1" applyBorder="1" applyAlignment="1">
      <alignment horizontal="left" wrapText="1"/>
    </xf>
    <xf numFmtId="2" fontId="19" fillId="0" borderId="2" xfId="0" applyNumberFormat="1" applyFont="1" applyFill="1" applyBorder="1"/>
    <xf numFmtId="0" fontId="19" fillId="3" borderId="7" xfId="0" applyFont="1" applyFill="1" applyBorder="1" applyAlignment="1">
      <alignment horizontal="left" wrapText="1"/>
    </xf>
    <xf numFmtId="0" fontId="19" fillId="2" borderId="10" xfId="0" applyFont="1" applyFill="1" applyBorder="1" applyAlignment="1">
      <alignment wrapText="1"/>
    </xf>
    <xf numFmtId="0" fontId="20" fillId="6" borderId="11" xfId="1" applyFont="1" applyFill="1" applyBorder="1" applyAlignment="1">
      <alignment wrapText="1"/>
    </xf>
    <xf numFmtId="0" fontId="20" fillId="6" borderId="0" xfId="1" applyFont="1" applyFill="1" applyBorder="1"/>
    <xf numFmtId="0" fontId="19" fillId="7" borderId="2" xfId="0" applyFont="1" applyFill="1" applyBorder="1"/>
    <xf numFmtId="0" fontId="21" fillId="7" borderId="2" xfId="0" applyFont="1" applyFill="1" applyBorder="1"/>
    <xf numFmtId="0" fontId="21" fillId="0" borderId="0" xfId="0" applyFont="1" applyFill="1" applyBorder="1"/>
    <xf numFmtId="0" fontId="19" fillId="11" borderId="2" xfId="0" applyFont="1" applyFill="1" applyBorder="1"/>
    <xf numFmtId="4" fontId="7" fillId="4" borderId="2" xfId="0" applyNumberFormat="1" applyFont="1" applyFill="1" applyBorder="1"/>
    <xf numFmtId="4" fontId="11" fillId="0" borderId="2" xfId="0" applyNumberFormat="1" applyFont="1" applyFill="1" applyBorder="1"/>
    <xf numFmtId="4" fontId="14" fillId="4" borderId="2" xfId="0" applyNumberFormat="1" applyFont="1" applyFill="1" applyBorder="1"/>
    <xf numFmtId="4" fontId="11" fillId="2" borderId="2" xfId="0" applyNumberFormat="1" applyFont="1" applyFill="1" applyBorder="1"/>
    <xf numFmtId="4" fontId="11" fillId="5" borderId="2" xfId="0" applyNumberFormat="1" applyFont="1" applyFill="1" applyBorder="1"/>
    <xf numFmtId="4" fontId="7" fillId="13" borderId="2" xfId="0" applyNumberFormat="1" applyFont="1" applyFill="1" applyBorder="1"/>
    <xf numFmtId="4" fontId="11" fillId="4" borderId="2" xfId="0" applyNumberFormat="1" applyFont="1" applyFill="1" applyBorder="1"/>
    <xf numFmtId="4" fontId="11" fillId="12" borderId="2" xfId="0" applyNumberFormat="1" applyFont="1" applyFill="1" applyBorder="1"/>
    <xf numFmtId="4" fontId="11" fillId="10" borderId="2" xfId="0" applyNumberFormat="1" applyFont="1" applyFill="1" applyBorder="1"/>
    <xf numFmtId="4" fontId="7" fillId="5" borderId="2" xfId="0" applyNumberFormat="1" applyFont="1" applyFill="1" applyBorder="1"/>
    <xf numFmtId="4" fontId="11" fillId="8" borderId="2" xfId="0" applyNumberFormat="1" applyFont="1" applyFill="1" applyBorder="1"/>
    <xf numFmtId="4" fontId="7" fillId="2" borderId="2" xfId="0" applyNumberFormat="1" applyFont="1" applyFill="1" applyBorder="1"/>
    <xf numFmtId="4" fontId="14" fillId="5" borderId="2" xfId="0" applyNumberFormat="1" applyFont="1" applyFill="1" applyBorder="1"/>
    <xf numFmtId="4" fontId="7" fillId="9" borderId="2" xfId="0" applyNumberFormat="1" applyFont="1" applyFill="1" applyBorder="1"/>
    <xf numFmtId="4" fontId="11" fillId="9" borderId="2" xfId="0" applyNumberFormat="1" applyFont="1" applyFill="1" applyBorder="1"/>
    <xf numFmtId="4" fontId="7" fillId="0" borderId="2" xfId="0" applyNumberFormat="1" applyFont="1" applyFill="1" applyBorder="1"/>
    <xf numFmtId="4" fontId="14" fillId="7" borderId="2" xfId="0" applyNumberFormat="1" applyFont="1" applyFill="1" applyBorder="1"/>
    <xf numFmtId="0" fontId="8" fillId="3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1" fillId="0" borderId="13" xfId="0" applyFont="1" applyBorder="1" applyAlignment="1">
      <alignment horizontal="center" vertical="justify"/>
    </xf>
    <xf numFmtId="0" fontId="13" fillId="0" borderId="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/>
    </xf>
    <xf numFmtId="0" fontId="13" fillId="9" borderId="4" xfId="0" applyFont="1" applyFill="1" applyBorder="1" applyAlignment="1">
      <alignment horizontal="center"/>
    </xf>
    <xf numFmtId="0" fontId="17" fillId="3" borderId="4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49" fontId="13" fillId="6" borderId="11" xfId="1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0" fontId="15" fillId="7" borderId="4" xfId="0" applyFont="1" applyFill="1" applyBorder="1" applyAlignment="1">
      <alignment horizontal="center"/>
    </xf>
    <xf numFmtId="0" fontId="19" fillId="11" borderId="3" xfId="0" applyFont="1" applyFill="1" applyBorder="1"/>
    <xf numFmtId="0" fontId="19" fillId="11" borderId="5" xfId="0" applyFont="1" applyFill="1" applyBorder="1"/>
    <xf numFmtId="0" fontId="13" fillId="11" borderId="4" xfId="0" applyFont="1" applyFill="1" applyBorder="1" applyAlignment="1">
      <alignment horizontal="center"/>
    </xf>
    <xf numFmtId="4" fontId="7" fillId="11" borderId="2" xfId="0" applyNumberFormat="1" applyFont="1" applyFill="1" applyBorder="1"/>
    <xf numFmtId="0" fontId="8" fillId="11" borderId="6" xfId="0" applyFont="1" applyFill="1" applyBorder="1" applyAlignment="1">
      <alignment horizontal="center"/>
    </xf>
    <xf numFmtId="0" fontId="19" fillId="11" borderId="7" xfId="0" applyFont="1" applyFill="1" applyBorder="1"/>
    <xf numFmtId="4" fontId="23" fillId="0" borderId="2" xfId="0" applyNumberFormat="1" applyFont="1" applyFill="1" applyBorder="1"/>
    <xf numFmtId="4" fontId="23" fillId="5" borderId="2" xfId="0" applyNumberFormat="1" applyFont="1" applyFill="1" applyBorder="1"/>
    <xf numFmtId="4" fontId="24" fillId="5" borderId="2" xfId="0" applyNumberFormat="1" applyFont="1" applyFill="1" applyBorder="1"/>
    <xf numFmtId="14" fontId="8" fillId="0" borderId="2" xfId="0" applyNumberFormat="1" applyFont="1" applyFill="1" applyBorder="1"/>
    <xf numFmtId="0" fontId="8" fillId="0" borderId="2" xfId="0" applyFont="1" applyFill="1" applyBorder="1"/>
    <xf numFmtId="2" fontId="2" fillId="0" borderId="0" xfId="0" applyNumberFormat="1" applyFont="1" applyFill="1"/>
    <xf numFmtId="0" fontId="20" fillId="14" borderId="2" xfId="0" applyFont="1" applyFill="1" applyBorder="1"/>
    <xf numFmtId="0" fontId="20" fillId="14" borderId="7" xfId="0" applyFont="1" applyFill="1" applyBorder="1" applyAlignment="1">
      <alignment wrapText="1"/>
    </xf>
    <xf numFmtId="0" fontId="13" fillId="14" borderId="4" xfId="0" applyFont="1" applyFill="1" applyBorder="1" applyAlignment="1">
      <alignment horizontal="center"/>
    </xf>
    <xf numFmtId="4" fontId="11" fillId="14" borderId="2" xfId="0" applyNumberFormat="1" applyFont="1" applyFill="1" applyBorder="1"/>
    <xf numFmtId="0" fontId="19" fillId="15" borderId="7" xfId="0" applyFont="1" applyFill="1" applyBorder="1"/>
    <xf numFmtId="0" fontId="13" fillId="15" borderId="4" xfId="0" applyFont="1" applyFill="1" applyBorder="1" applyAlignment="1">
      <alignment horizontal="center"/>
    </xf>
    <xf numFmtId="4" fontId="7" fillId="15" borderId="2" xfId="0" applyNumberFormat="1" applyFont="1" applyFill="1" applyBorder="1"/>
    <xf numFmtId="4" fontId="8" fillId="4" borderId="2" xfId="0" applyNumberFormat="1" applyFont="1" applyFill="1" applyBorder="1"/>
    <xf numFmtId="4" fontId="11" fillId="2" borderId="1" xfId="0" applyNumberFormat="1" applyFont="1" applyFill="1" applyBorder="1"/>
    <xf numFmtId="4" fontId="11" fillId="2" borderId="0" xfId="0" applyNumberFormat="1" applyFont="1" applyFill="1" applyBorder="1"/>
    <xf numFmtId="4" fontId="7" fillId="11" borderId="3" xfId="0" applyNumberFormat="1" applyFont="1" applyFill="1" applyBorder="1"/>
    <xf numFmtId="4" fontId="14" fillId="2" borderId="2" xfId="0" applyNumberFormat="1" applyFont="1" applyFill="1" applyBorder="1"/>
    <xf numFmtId="4" fontId="7" fillId="14" borderId="2" xfId="0" applyNumberFormat="1" applyFont="1" applyFill="1" applyBorder="1"/>
    <xf numFmtId="4" fontId="18" fillId="0" borderId="2" xfId="0" applyNumberFormat="1" applyFont="1" applyFill="1" applyBorder="1"/>
    <xf numFmtId="4" fontId="18" fillId="2" borderId="2" xfId="0" applyNumberFormat="1" applyFont="1" applyFill="1" applyBorder="1"/>
    <xf numFmtId="4" fontId="8" fillId="2" borderId="4" xfId="0" applyNumberFormat="1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/>
    </xf>
    <xf numFmtId="4" fontId="11" fillId="13" borderId="2" xfId="0" applyNumberFormat="1" applyFont="1" applyFill="1" applyBorder="1"/>
    <xf numFmtId="4" fontId="18" fillId="13" borderId="2" xfId="0" applyNumberFormat="1" applyFont="1" applyFill="1" applyBorder="1"/>
    <xf numFmtId="0" fontId="13" fillId="2" borderId="4" xfId="0" applyFont="1" applyFill="1" applyBorder="1" applyAlignment="1">
      <alignment horizontal="center"/>
    </xf>
    <xf numFmtId="0" fontId="19" fillId="2" borderId="2" xfId="0" applyFont="1" applyFill="1" applyBorder="1"/>
    <xf numFmtId="4" fontId="26" fillId="2" borderId="2" xfId="0" applyNumberFormat="1" applyFont="1" applyFill="1" applyBorder="1"/>
    <xf numFmtId="4" fontId="26" fillId="0" borderId="2" xfId="0" applyNumberFormat="1" applyFont="1" applyFill="1" applyBorder="1"/>
    <xf numFmtId="0" fontId="19" fillId="13" borderId="2" xfId="0" applyFont="1" applyFill="1" applyBorder="1"/>
    <xf numFmtId="0" fontId="19" fillId="13" borderId="7" xfId="0" applyFont="1" applyFill="1" applyBorder="1"/>
    <xf numFmtId="0" fontId="8" fillId="13" borderId="4" xfId="0" applyFont="1" applyFill="1" applyBorder="1" applyAlignment="1">
      <alignment horizontal="center"/>
    </xf>
    <xf numFmtId="0" fontId="2" fillId="15" borderId="0" xfId="0" applyFont="1" applyFill="1"/>
    <xf numFmtId="0" fontId="19" fillId="14" borderId="7" xfId="0" applyFont="1" applyFill="1" applyBorder="1" applyAlignment="1">
      <alignment wrapText="1"/>
    </xf>
    <xf numFmtId="4" fontId="2" fillId="0" borderId="0" xfId="0" applyNumberFormat="1" applyFont="1" applyFill="1"/>
    <xf numFmtId="0" fontId="27" fillId="16" borderId="2" xfId="0" applyFont="1" applyFill="1" applyBorder="1"/>
    <xf numFmtId="2" fontId="27" fillId="16" borderId="2" xfId="0" applyNumberFormat="1" applyFont="1" applyFill="1" applyBorder="1"/>
    <xf numFmtId="0" fontId="27" fillId="0" borderId="2" xfId="0" applyFont="1" applyFill="1" applyBorder="1"/>
    <xf numFmtId="2" fontId="27" fillId="0" borderId="2" xfId="0" applyNumberFormat="1" applyFont="1" applyFill="1" applyBorder="1"/>
    <xf numFmtId="0" fontId="28" fillId="0" borderId="2" xfId="0" applyFont="1" applyFill="1" applyBorder="1" applyAlignment="1">
      <alignment wrapText="1"/>
    </xf>
    <xf numFmtId="2" fontId="28" fillId="0" borderId="2" xfId="0" applyNumberFormat="1" applyFont="1" applyFill="1" applyBorder="1"/>
    <xf numFmtId="0" fontId="29" fillId="0" borderId="2" xfId="0" applyFont="1" applyBorder="1" applyAlignment="1">
      <alignment wrapText="1"/>
    </xf>
    <xf numFmtId="0" fontId="29" fillId="0" borderId="2" xfId="1" applyNumberFormat="1" applyFont="1" applyFill="1" applyBorder="1" applyAlignment="1">
      <alignment horizontal="left" vertical="center" wrapText="1"/>
    </xf>
    <xf numFmtId="0" fontId="28" fillId="0" borderId="2" xfId="1" applyNumberFormat="1" applyFont="1" applyFill="1" applyBorder="1" applyAlignment="1">
      <alignment horizontal="left" vertical="center" wrapText="1"/>
    </xf>
    <xf numFmtId="0" fontId="28" fillId="0" borderId="2" xfId="0" applyFont="1" applyBorder="1"/>
    <xf numFmtId="0" fontId="27" fillId="0" borderId="2" xfId="0" applyFont="1" applyBorder="1"/>
    <xf numFmtId="2" fontId="27" fillId="0" borderId="2" xfId="0" applyNumberFormat="1" applyFont="1" applyBorder="1"/>
    <xf numFmtId="2" fontId="28" fillId="0" borderId="2" xfId="0" applyNumberFormat="1" applyFont="1" applyBorder="1"/>
    <xf numFmtId="0" fontId="29" fillId="0" borderId="2" xfId="0" applyFont="1" applyFill="1" applyBorder="1"/>
    <xf numFmtId="0" fontId="29" fillId="0" borderId="2" xfId="0" applyFont="1" applyFill="1" applyBorder="1" applyAlignment="1">
      <alignment wrapText="1"/>
    </xf>
    <xf numFmtId="2" fontId="29" fillId="0" borderId="2" xfId="0" applyNumberFormat="1" applyFont="1" applyFill="1" applyBorder="1"/>
    <xf numFmtId="2" fontId="30" fillId="16" borderId="2" xfId="0" applyNumberFormat="1" applyFont="1" applyFill="1" applyBorder="1"/>
    <xf numFmtId="2" fontId="30" fillId="0" borderId="2" xfId="0" applyNumberFormat="1" applyFont="1" applyFill="1" applyBorder="1"/>
    <xf numFmtId="0" fontId="30" fillId="16" borderId="2" xfId="0" applyFont="1" applyFill="1" applyBorder="1" applyAlignment="1">
      <alignment wrapText="1"/>
    </xf>
    <xf numFmtId="0" fontId="30" fillId="16" borderId="2" xfId="0" applyFont="1" applyFill="1" applyBorder="1"/>
    <xf numFmtId="4" fontId="11" fillId="0" borderId="3" xfId="0" applyNumberFormat="1" applyFont="1" applyFill="1" applyBorder="1"/>
    <xf numFmtId="0" fontId="19" fillId="0" borderId="2" xfId="0" applyFont="1" applyFill="1" applyBorder="1" applyAlignment="1">
      <alignment vertical="justify"/>
    </xf>
    <xf numFmtId="0" fontId="33" fillId="0" borderId="15" xfId="0" applyFont="1" applyFill="1" applyBorder="1" applyAlignment="1">
      <alignment horizontal="left" vertical="center" wrapText="1"/>
    </xf>
    <xf numFmtId="0" fontId="36" fillId="18" borderId="2" xfId="0" applyFont="1" applyFill="1" applyBorder="1" applyAlignment="1">
      <alignment vertical="center" wrapText="1"/>
    </xf>
    <xf numFmtId="0" fontId="28" fillId="0" borderId="2" xfId="0" applyFont="1" applyBorder="1" applyAlignment="1">
      <alignment wrapText="1"/>
    </xf>
    <xf numFmtId="0" fontId="30" fillId="0" borderId="2" xfId="0" applyFont="1" applyFill="1" applyBorder="1"/>
    <xf numFmtId="0" fontId="19" fillId="13" borderId="2" xfId="0" applyFont="1" applyFill="1" applyBorder="1" applyAlignment="1">
      <alignment horizontal="center"/>
    </xf>
    <xf numFmtId="0" fontId="19" fillId="13" borderId="2" xfId="0" applyFont="1" applyFill="1" applyBorder="1" applyAlignment="1">
      <alignment wrapText="1"/>
    </xf>
    <xf numFmtId="0" fontId="19" fillId="13" borderId="2" xfId="0" applyFont="1" applyFill="1" applyBorder="1" applyAlignment="1">
      <alignment vertical="justify"/>
    </xf>
    <xf numFmtId="0" fontId="33" fillId="13" borderId="15" xfId="0" applyFont="1" applyFill="1" applyBorder="1" applyAlignment="1">
      <alignment horizontal="left" vertical="center" wrapText="1"/>
    </xf>
    <xf numFmtId="0" fontId="33" fillId="13" borderId="2" xfId="0" applyFont="1" applyFill="1" applyBorder="1" applyAlignment="1">
      <alignment horizontal="center" vertical="center" wrapText="1"/>
    </xf>
    <xf numFmtId="0" fontId="35" fillId="13" borderId="0" xfId="0" applyFont="1" applyFill="1" applyAlignment="1">
      <alignment horizontal="center" vertical="center"/>
    </xf>
    <xf numFmtId="0" fontId="19" fillId="5" borderId="2" xfId="0" applyFont="1" applyFill="1" applyBorder="1"/>
    <xf numFmtId="0" fontId="19" fillId="5" borderId="7" xfId="0" applyFont="1" applyFill="1" applyBorder="1" applyAlignment="1">
      <alignment wrapText="1"/>
    </xf>
    <xf numFmtId="0" fontId="13" fillId="5" borderId="4" xfId="0" applyFont="1" applyFill="1" applyBorder="1" applyAlignment="1">
      <alignment horizontal="center"/>
    </xf>
    <xf numFmtId="0" fontId="19" fillId="5" borderId="5" xfId="0" applyFont="1" applyFill="1" applyBorder="1"/>
    <xf numFmtId="0" fontId="19" fillId="5" borderId="7" xfId="0" applyFont="1" applyFill="1" applyBorder="1"/>
    <xf numFmtId="0" fontId="8" fillId="5" borderId="4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5" borderId="0" xfId="0" applyFont="1" applyFill="1"/>
    <xf numFmtId="0" fontId="19" fillId="0" borderId="2" xfId="0" applyNumberFormat="1" applyFont="1" applyFill="1" applyBorder="1"/>
    <xf numFmtId="0" fontId="8" fillId="0" borderId="4" xfId="0" applyFont="1" applyFill="1" applyBorder="1" applyAlignment="1">
      <alignment horizontal="center" wrapText="1"/>
    </xf>
    <xf numFmtId="4" fontId="11" fillId="17" borderId="2" xfId="0" applyNumberFormat="1" applyFont="1" applyFill="1" applyBorder="1"/>
    <xf numFmtId="4" fontId="11" fillId="19" borderId="2" xfId="0" applyNumberFormat="1" applyFont="1" applyFill="1" applyBorder="1"/>
    <xf numFmtId="4" fontId="11" fillId="20" borderId="2" xfId="0" applyNumberFormat="1" applyFont="1" applyFill="1" applyBorder="1"/>
    <xf numFmtId="0" fontId="2" fillId="20" borderId="0" xfId="0" applyFont="1" applyFill="1"/>
    <xf numFmtId="0" fontId="19" fillId="2" borderId="0" xfId="0" applyFont="1" applyFill="1" applyBorder="1" applyAlignment="1">
      <alignment wrapText="1"/>
    </xf>
    <xf numFmtId="0" fontId="2" fillId="0" borderId="0" xfId="0" applyFont="1" applyFill="1" applyBorder="1"/>
    <xf numFmtId="0" fontId="0" fillId="0" borderId="2" xfId="0" applyBorder="1"/>
    <xf numFmtId="4" fontId="11" fillId="0" borderId="4" xfId="0" applyNumberFormat="1" applyFont="1" applyFill="1" applyBorder="1"/>
    <xf numFmtId="0" fontId="28" fillId="2" borderId="2" xfId="1" applyNumberFormat="1" applyFont="1" applyFill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7" fillId="0" borderId="2" xfId="1" applyNumberFormat="1" applyFont="1" applyFill="1" applyBorder="1" applyAlignment="1">
      <alignment horizontal="left" vertical="center" wrapText="1"/>
    </xf>
    <xf numFmtId="0" fontId="4" fillId="0" borderId="2" xfId="0" applyFont="1" applyBorder="1"/>
    <xf numFmtId="0" fontId="39" fillId="2" borderId="2" xfId="0" applyFont="1" applyFill="1" applyBorder="1" applyAlignment="1">
      <alignment wrapText="1"/>
    </xf>
    <xf numFmtId="0" fontId="27" fillId="16" borderId="2" xfId="0" applyFont="1" applyFill="1" applyBorder="1" applyAlignment="1">
      <alignment wrapText="1"/>
    </xf>
    <xf numFmtId="0" fontId="30" fillId="0" borderId="2" xfId="0" applyFont="1" applyBorder="1"/>
    <xf numFmtId="0" fontId="30" fillId="2" borderId="2" xfId="0" applyFont="1" applyFill="1" applyBorder="1"/>
    <xf numFmtId="0" fontId="4" fillId="0" borderId="2" xfId="0" applyFont="1" applyFill="1" applyBorder="1"/>
    <xf numFmtId="0" fontId="29" fillId="2" borderId="2" xfId="2" applyFont="1" applyFill="1" applyBorder="1" applyAlignment="1">
      <alignment wrapText="1"/>
    </xf>
    <xf numFmtId="0" fontId="29" fillId="2" borderId="2" xfId="2" applyFont="1" applyFill="1" applyBorder="1" applyAlignment="1">
      <alignment horizontal="left" wrapText="1"/>
    </xf>
    <xf numFmtId="0" fontId="29" fillId="2" borderId="2" xfId="2" applyFont="1" applyFill="1" applyBorder="1" applyAlignment="1"/>
    <xf numFmtId="0" fontId="29" fillId="2" borderId="2" xfId="2" applyFont="1" applyFill="1" applyBorder="1"/>
    <xf numFmtId="0" fontId="29" fillId="0" borderId="2" xfId="3" applyFont="1" applyFill="1" applyBorder="1"/>
    <xf numFmtId="0" fontId="29" fillId="0" borderId="2" xfId="3" applyFont="1" applyFill="1" applyBorder="1" applyAlignment="1">
      <alignment wrapText="1"/>
    </xf>
    <xf numFmtId="0" fontId="29" fillId="0" borderId="2" xfId="0" applyFont="1" applyBorder="1"/>
    <xf numFmtId="0" fontId="29" fillId="0" borderId="2" xfId="4" applyFont="1" applyBorder="1" applyAlignment="1">
      <alignment horizontal="left" wrapText="1"/>
    </xf>
    <xf numFmtId="0" fontId="29" fillId="0" borderId="2" xfId="4" applyFont="1" applyBorder="1" applyAlignment="1">
      <alignment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20" fillId="0" borderId="2" xfId="0" applyFont="1" applyFill="1" applyBorder="1" applyAlignment="1">
      <alignment horizontal="left" wrapText="1"/>
    </xf>
    <xf numFmtId="0" fontId="27" fillId="2" borderId="2" xfId="0" applyFont="1" applyFill="1" applyBorder="1"/>
    <xf numFmtId="0" fontId="20" fillId="0" borderId="2" xfId="0" applyFont="1" applyBorder="1"/>
    <xf numFmtId="0" fontId="37" fillId="0" borderId="2" xfId="0" applyFont="1" applyFill="1" applyBorder="1"/>
    <xf numFmtId="0" fontId="20" fillId="2" borderId="2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29" fillId="2" borderId="2" xfId="0" applyFont="1" applyFill="1" applyBorder="1" applyAlignment="1">
      <alignment wrapText="1"/>
    </xf>
    <xf numFmtId="0" fontId="29" fillId="2" borderId="2" xfId="0" applyFont="1" applyFill="1" applyBorder="1"/>
    <xf numFmtId="0" fontId="28" fillId="0" borderId="2" xfId="0" applyFont="1" applyFill="1" applyBorder="1" applyAlignment="1">
      <alignment horizontal="left" wrapText="1"/>
    </xf>
    <xf numFmtId="0" fontId="28" fillId="6" borderId="2" xfId="2" applyFont="1" applyFill="1" applyBorder="1" applyAlignment="1">
      <alignment horizontal="left" wrapText="1"/>
    </xf>
    <xf numFmtId="0" fontId="28" fillId="0" borderId="2" xfId="2" applyFont="1" applyFill="1" applyBorder="1" applyAlignment="1">
      <alignment vertical="top" wrapText="1"/>
    </xf>
    <xf numFmtId="0" fontId="28" fillId="6" borderId="2" xfId="0" applyFont="1" applyFill="1" applyBorder="1" applyAlignment="1">
      <alignment horizontal="left" vertical="top" wrapText="1"/>
    </xf>
    <xf numFmtId="0" fontId="28" fillId="6" borderId="2" xfId="0" applyFont="1" applyFill="1" applyBorder="1" applyAlignment="1">
      <alignment horizontal="left" vertical="center" wrapText="1"/>
    </xf>
    <xf numFmtId="0" fontId="28" fillId="0" borderId="2" xfId="2" applyFont="1" applyFill="1" applyBorder="1" applyAlignment="1">
      <alignment wrapText="1"/>
    </xf>
    <xf numFmtId="0" fontId="28" fillId="0" borderId="2" xfId="0" applyFont="1" applyBorder="1" applyAlignment="1">
      <alignment horizontal="left" vertical="center" wrapText="1"/>
    </xf>
    <xf numFmtId="0" fontId="28" fillId="0" borderId="0" xfId="0" applyFont="1"/>
    <xf numFmtId="1" fontId="27" fillId="0" borderId="2" xfId="0" applyNumberFormat="1" applyFont="1" applyFill="1" applyBorder="1"/>
    <xf numFmtId="4" fontId="29" fillId="2" borderId="2" xfId="0" applyNumberFormat="1" applyFont="1" applyFill="1" applyBorder="1" applyAlignment="1">
      <alignment horizontal="right" vertical="center"/>
    </xf>
    <xf numFmtId="4" fontId="28" fillId="2" borderId="2" xfId="0" applyNumberFormat="1" applyFont="1" applyFill="1" applyBorder="1" applyAlignment="1">
      <alignment horizontal="right"/>
    </xf>
    <xf numFmtId="4" fontId="29" fillId="2" borderId="2" xfId="0" applyNumberFormat="1" applyFont="1" applyFill="1" applyBorder="1" applyAlignment="1">
      <alignment horizontal="right"/>
    </xf>
    <xf numFmtId="4" fontId="29" fillId="0" borderId="2" xfId="0" applyNumberFormat="1" applyFont="1" applyFill="1" applyBorder="1"/>
    <xf numFmtId="2" fontId="4" fillId="0" borderId="2" xfId="0" applyNumberFormat="1" applyFont="1" applyBorder="1"/>
    <xf numFmtId="2" fontId="30" fillId="2" borderId="2" xfId="0" applyNumberFormat="1" applyFont="1" applyFill="1" applyBorder="1"/>
    <xf numFmtId="2" fontId="20" fillId="2" borderId="2" xfId="0" applyNumberFormat="1" applyFont="1" applyFill="1" applyBorder="1"/>
    <xf numFmtId="2" fontId="27" fillId="16" borderId="2" xfId="0" applyNumberFormat="1" applyFont="1" applyFill="1" applyBorder="1" applyAlignment="1">
      <alignment wrapText="1"/>
    </xf>
    <xf numFmtId="2" fontId="19" fillId="2" borderId="2" xfId="0" applyNumberFormat="1" applyFont="1" applyFill="1" applyBorder="1"/>
    <xf numFmtId="2" fontId="27" fillId="2" borderId="2" xfId="0" applyNumberFormat="1" applyFont="1" applyFill="1" applyBorder="1" applyAlignment="1">
      <alignment wrapText="1"/>
    </xf>
    <xf numFmtId="2" fontId="4" fillId="0" borderId="2" xfId="0" applyNumberFormat="1" applyFont="1" applyFill="1" applyBorder="1"/>
    <xf numFmtId="1" fontId="20" fillId="6" borderId="7" xfId="0" applyNumberFormat="1" applyFont="1" applyFill="1" applyBorder="1"/>
    <xf numFmtId="2" fontId="40" fillId="0" borderId="2" xfId="0" applyNumberFormat="1" applyFont="1" applyFill="1" applyBorder="1"/>
    <xf numFmtId="2" fontId="29" fillId="0" borderId="2" xfId="3" applyNumberFormat="1" applyFont="1" applyFill="1" applyBorder="1"/>
    <xf numFmtId="2" fontId="30" fillId="0" borderId="2" xfId="0" applyNumberFormat="1" applyFont="1" applyBorder="1"/>
    <xf numFmtId="4" fontId="28" fillId="0" borderId="2" xfId="0" applyNumberFormat="1" applyFont="1" applyFill="1" applyBorder="1"/>
    <xf numFmtId="2" fontId="27" fillId="2" borderId="2" xfId="0" applyNumberFormat="1" applyFont="1" applyFill="1" applyBorder="1"/>
    <xf numFmtId="4" fontId="20" fillId="0" borderId="2" xfId="0" applyNumberFormat="1" applyFont="1" applyFill="1" applyBorder="1"/>
    <xf numFmtId="2" fontId="20" fillId="0" borderId="2" xfId="0" applyNumberFormat="1" applyFont="1" applyBorder="1"/>
    <xf numFmtId="2" fontId="20" fillId="0" borderId="2" xfId="0" applyNumberFormat="1" applyFont="1" applyFill="1" applyBorder="1"/>
    <xf numFmtId="2" fontId="37" fillId="0" borderId="2" xfId="0" applyNumberFormat="1" applyFont="1" applyFill="1" applyBorder="1"/>
    <xf numFmtId="4" fontId="20" fillId="2" borderId="2" xfId="0" applyNumberFormat="1" applyFont="1" applyFill="1" applyBorder="1"/>
    <xf numFmtId="4" fontId="28" fillId="2" borderId="2" xfId="0" applyNumberFormat="1" applyFont="1" applyFill="1" applyBorder="1"/>
    <xf numFmtId="4" fontId="28" fillId="2" borderId="2" xfId="0" applyNumberFormat="1" applyFont="1" applyFill="1" applyBorder="1" applyAlignment="1">
      <alignment wrapText="1"/>
    </xf>
    <xf numFmtId="4" fontId="29" fillId="2" borderId="2" xfId="0" applyNumberFormat="1" applyFont="1" applyFill="1" applyBorder="1" applyAlignment="1">
      <alignment wrapText="1"/>
    </xf>
    <xf numFmtId="4" fontId="19" fillId="2" borderId="2" xfId="0" applyNumberFormat="1" applyFont="1" applyFill="1" applyBorder="1"/>
    <xf numFmtId="4" fontId="29" fillId="2" borderId="2" xfId="0" applyNumberFormat="1" applyFont="1" applyFill="1" applyBorder="1"/>
    <xf numFmtId="4" fontId="9" fillId="2" borderId="0" xfId="0" applyNumberFormat="1" applyFont="1" applyFill="1" applyBorder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1" fillId="0" borderId="2" xfId="0" applyFont="1" applyBorder="1" applyAlignment="1">
      <alignment horizontal="center" wrapText="1"/>
    </xf>
    <xf numFmtId="0" fontId="9" fillId="0" borderId="7" xfId="0" applyFont="1" applyFill="1" applyBorder="1"/>
    <xf numFmtId="0" fontId="34" fillId="0" borderId="4" xfId="0" applyFont="1" applyFill="1" applyBorder="1" applyAlignment="1">
      <alignment horizontal="center"/>
    </xf>
    <xf numFmtId="4" fontId="9" fillId="2" borderId="2" xfId="0" applyNumberFormat="1" applyFont="1" applyFill="1" applyBorder="1"/>
    <xf numFmtId="0" fontId="19" fillId="7" borderId="0" xfId="0" applyFont="1" applyFill="1" applyBorder="1"/>
    <xf numFmtId="4" fontId="14" fillId="7" borderId="0" xfId="0" applyNumberFormat="1" applyFont="1" applyFill="1" applyBorder="1"/>
    <xf numFmtId="0" fontId="15" fillId="0" borderId="0" xfId="0" applyFont="1" applyFill="1" applyBorder="1" applyAlignment="1">
      <alignment horizontal="center"/>
    </xf>
    <xf numFmtId="4" fontId="14" fillId="0" borderId="0" xfId="0" applyNumberFormat="1" applyFont="1" applyFill="1" applyBorder="1"/>
    <xf numFmtId="0" fontId="15" fillId="15" borderId="0" xfId="0" applyFont="1" applyFill="1" applyBorder="1"/>
    <xf numFmtId="0" fontId="11" fillId="15" borderId="0" xfId="0" applyFont="1" applyFill="1"/>
    <xf numFmtId="0" fontId="33" fillId="11" borderId="0" xfId="0" applyFont="1" applyFill="1"/>
    <xf numFmtId="0" fontId="1" fillId="11" borderId="0" xfId="0" applyFont="1" applyFill="1"/>
    <xf numFmtId="0" fontId="15" fillId="11" borderId="0" xfId="0" applyFont="1" applyFill="1" applyBorder="1"/>
    <xf numFmtId="0" fontId="11" fillId="11" borderId="0" xfId="0" applyFont="1" applyFill="1"/>
    <xf numFmtId="0" fontId="30" fillId="16" borderId="4" xfId="0" applyFont="1" applyFill="1" applyBorder="1"/>
    <xf numFmtId="0" fontId="27" fillId="0" borderId="4" xfId="0" applyFont="1" applyFill="1" applyBorder="1"/>
    <xf numFmtId="0" fontId="20" fillId="0" borderId="8" xfId="0" applyFont="1" applyFill="1" applyBorder="1" applyAlignment="1">
      <alignment horizontal="center"/>
    </xf>
    <xf numFmtId="0" fontId="20" fillId="0" borderId="4" xfId="0" applyFont="1" applyFill="1" applyBorder="1"/>
    <xf numFmtId="0" fontId="28" fillId="0" borderId="4" xfId="0" applyFont="1" applyBorder="1"/>
    <xf numFmtId="0" fontId="27" fillId="16" borderId="4" xfId="0" applyFont="1" applyFill="1" applyBorder="1"/>
    <xf numFmtId="49" fontId="37" fillId="16" borderId="4" xfId="0" applyNumberFormat="1" applyFont="1" applyFill="1" applyBorder="1" applyAlignment="1">
      <alignment horizontal="right"/>
    </xf>
    <xf numFmtId="0" fontId="38" fillId="0" borderId="4" xfId="0" applyFont="1" applyBorder="1"/>
    <xf numFmtId="0" fontId="4" fillId="0" borderId="4" xfId="0" applyFont="1" applyBorder="1"/>
    <xf numFmtId="49" fontId="37" fillId="2" borderId="4" xfId="0" applyNumberFormat="1" applyFont="1" applyFill="1" applyBorder="1" applyAlignment="1">
      <alignment horizontal="right"/>
    </xf>
    <xf numFmtId="0" fontId="20" fillId="2" borderId="4" xfId="0" applyFont="1" applyFill="1" applyBorder="1"/>
    <xf numFmtId="0" fontId="40" fillId="0" borderId="4" xfId="0" applyFont="1" applyFill="1" applyBorder="1"/>
    <xf numFmtId="0" fontId="28" fillId="0" borderId="4" xfId="0" applyFont="1" applyFill="1" applyBorder="1"/>
    <xf numFmtId="49" fontId="30" fillId="16" borderId="4" xfId="0" applyNumberFormat="1" applyFont="1" applyFill="1" applyBorder="1" applyAlignment="1">
      <alignment horizontal="right"/>
    </xf>
    <xf numFmtId="49" fontId="27" fillId="0" borderId="4" xfId="0" applyNumberFormat="1" applyFont="1" applyFill="1" applyBorder="1"/>
    <xf numFmtId="49" fontId="4" fillId="0" borderId="4" xfId="0" applyNumberFormat="1" applyFont="1" applyFill="1" applyBorder="1" applyAlignment="1">
      <alignment horizontal="right"/>
    </xf>
    <xf numFmtId="0" fontId="30" fillId="0" borderId="4" xfId="0" applyFont="1" applyFill="1" applyBorder="1"/>
    <xf numFmtId="49" fontId="30" fillId="0" borderId="4" xfId="0" applyNumberFormat="1" applyFont="1" applyFill="1" applyBorder="1" applyAlignment="1">
      <alignment horizontal="right"/>
    </xf>
    <xf numFmtId="49" fontId="20" fillId="0" borderId="4" xfId="0" applyNumberFormat="1" applyFont="1" applyFill="1" applyBorder="1" applyAlignment="1">
      <alignment horizontal="right"/>
    </xf>
    <xf numFmtId="0" fontId="29" fillId="0" borderId="4" xfId="0" applyFont="1" applyFill="1" applyBorder="1"/>
    <xf numFmtId="49" fontId="38" fillId="0" borderId="4" xfId="0" applyNumberFormat="1" applyFont="1" applyFill="1" applyBorder="1" applyAlignment="1">
      <alignment horizontal="right"/>
    </xf>
    <xf numFmtId="0" fontId="30" fillId="0" borderId="4" xfId="0" applyFont="1" applyBorder="1"/>
    <xf numFmtId="49" fontId="29" fillId="0" borderId="4" xfId="0" applyNumberFormat="1" applyFont="1" applyFill="1" applyBorder="1" applyAlignment="1">
      <alignment horizontal="right"/>
    </xf>
    <xf numFmtId="49" fontId="28" fillId="0" borderId="4" xfId="0" applyNumberFormat="1" applyFont="1" applyFill="1" applyBorder="1" applyAlignment="1">
      <alignment horizontal="right"/>
    </xf>
    <xf numFmtId="49" fontId="27" fillId="16" borderId="4" xfId="0" applyNumberFormat="1" applyFont="1" applyFill="1" applyBorder="1" applyAlignment="1">
      <alignment horizontal="right"/>
    </xf>
    <xf numFmtId="49" fontId="27" fillId="0" borderId="4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49" fontId="27" fillId="2" borderId="4" xfId="0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horizontal="right"/>
    </xf>
    <xf numFmtId="0" fontId="27" fillId="0" borderId="4" xfId="0" applyFont="1" applyBorder="1"/>
    <xf numFmtId="0" fontId="20" fillId="0" borderId="4" xfId="0" applyFont="1" applyBorder="1"/>
    <xf numFmtId="0" fontId="29" fillId="0" borderId="4" xfId="0" applyFont="1" applyBorder="1"/>
    <xf numFmtId="0" fontId="27" fillId="2" borderId="4" xfId="0" applyFont="1" applyFill="1" applyBorder="1"/>
    <xf numFmtId="0" fontId="4" fillId="2" borderId="4" xfId="0" applyFont="1" applyFill="1" applyBorder="1"/>
    <xf numFmtId="0" fontId="28" fillId="2" borderId="4" xfId="0" applyFont="1" applyFill="1" applyBorder="1"/>
    <xf numFmtId="0" fontId="21" fillId="15" borderId="2" xfId="0" applyFont="1" applyFill="1" applyBorder="1"/>
    <xf numFmtId="0" fontId="21" fillId="11" borderId="2" xfId="0" applyFont="1" applyFill="1" applyBorder="1"/>
    <xf numFmtId="0" fontId="2" fillId="0" borderId="2" xfId="0" applyFont="1" applyFill="1" applyBorder="1" applyAlignment="1">
      <alignment wrapText="1"/>
    </xf>
    <xf numFmtId="0" fontId="30" fillId="0" borderId="2" xfId="0" applyFont="1" applyFill="1" applyBorder="1" applyAlignment="1">
      <alignment wrapText="1"/>
    </xf>
    <xf numFmtId="4" fontId="19" fillId="15" borderId="2" xfId="0" applyNumberFormat="1" applyFont="1" applyFill="1" applyBorder="1"/>
    <xf numFmtId="4" fontId="19" fillId="11" borderId="2" xfId="0" applyNumberFormat="1" applyFont="1" applyFill="1" applyBorder="1"/>
    <xf numFmtId="4" fontId="42" fillId="0" borderId="2" xfId="0" applyNumberFormat="1" applyFont="1" applyFill="1" applyBorder="1"/>
    <xf numFmtId="4" fontId="42" fillId="11" borderId="2" xfId="0" applyNumberFormat="1" applyFont="1" applyFill="1" applyBorder="1"/>
    <xf numFmtId="1" fontId="20" fillId="6" borderId="2" xfId="0" applyNumberFormat="1" applyFont="1" applyFill="1" applyBorder="1"/>
    <xf numFmtId="4" fontId="11" fillId="2" borderId="4" xfId="0" applyNumberFormat="1" applyFont="1" applyFill="1" applyBorder="1"/>
    <xf numFmtId="4" fontId="11" fillId="5" borderId="4" xfId="0" applyNumberFormat="1" applyFont="1" applyFill="1" applyBorder="1"/>
    <xf numFmtId="4" fontId="7" fillId="0" borderId="4" xfId="0" applyNumberFormat="1" applyFont="1" applyFill="1" applyBorder="1"/>
    <xf numFmtId="4" fontId="7" fillId="4" borderId="4" xfId="0" applyNumberFormat="1" applyFont="1" applyFill="1" applyBorder="1"/>
    <xf numFmtId="4" fontId="26" fillId="2" borderId="4" xfId="0" applyNumberFormat="1" applyFont="1" applyFill="1" applyBorder="1"/>
    <xf numFmtId="4" fontId="11" fillId="4" borderId="4" xfId="0" applyNumberFormat="1" applyFont="1" applyFill="1" applyBorder="1"/>
    <xf numFmtId="4" fontId="18" fillId="2" borderId="4" xfId="0" applyNumberFormat="1" applyFont="1" applyFill="1" applyBorder="1"/>
    <xf numFmtId="4" fontId="7" fillId="11" borderId="4" xfId="0" applyNumberFormat="1" applyFont="1" applyFill="1" applyBorder="1"/>
    <xf numFmtId="4" fontId="14" fillId="4" borderId="4" xfId="0" applyNumberFormat="1" applyFont="1" applyFill="1" applyBorder="1"/>
    <xf numFmtId="4" fontId="11" fillId="8" borderId="4" xfId="0" applyNumberFormat="1" applyFont="1" applyFill="1" applyBorder="1"/>
    <xf numFmtId="4" fontId="7" fillId="5" borderId="4" xfId="0" applyNumberFormat="1" applyFont="1" applyFill="1" applyBorder="1"/>
    <xf numFmtId="4" fontId="7" fillId="2" borderId="4" xfId="0" applyNumberFormat="1" applyFont="1" applyFill="1" applyBorder="1"/>
    <xf numFmtId="4" fontId="14" fillId="2" borderId="4" xfId="0" applyNumberFormat="1" applyFont="1" applyFill="1" applyBorder="1"/>
    <xf numFmtId="4" fontId="7" fillId="13" borderId="4" xfId="0" applyNumberFormat="1" applyFont="1" applyFill="1" applyBorder="1"/>
    <xf numFmtId="4" fontId="7" fillId="15" borderId="4" xfId="0" applyNumberFormat="1" applyFont="1" applyFill="1" applyBorder="1"/>
    <xf numFmtId="4" fontId="11" fillId="14" borderId="4" xfId="0" applyNumberFormat="1" applyFont="1" applyFill="1" applyBorder="1"/>
    <xf numFmtId="4" fontId="11" fillId="9" borderId="4" xfId="0" applyNumberFormat="1" applyFont="1" applyFill="1" applyBorder="1"/>
    <xf numFmtId="4" fontId="7" fillId="9" borderId="4" xfId="0" applyNumberFormat="1" applyFont="1" applyFill="1" applyBorder="1"/>
    <xf numFmtId="4" fontId="7" fillId="14" borderId="4" xfId="0" applyNumberFormat="1" applyFont="1" applyFill="1" applyBorder="1"/>
    <xf numFmtId="4" fontId="18" fillId="13" borderId="4" xfId="0" applyNumberFormat="1" applyFont="1" applyFill="1" applyBorder="1"/>
    <xf numFmtId="4" fontId="14" fillId="5" borderId="4" xfId="0" applyNumberFormat="1" applyFont="1" applyFill="1" applyBorder="1"/>
    <xf numFmtId="4" fontId="11" fillId="2" borderId="8" xfId="0" applyNumberFormat="1" applyFont="1" applyFill="1" applyBorder="1"/>
    <xf numFmtId="4" fontId="11" fillId="19" borderId="4" xfId="0" applyNumberFormat="1" applyFont="1" applyFill="1" applyBorder="1"/>
    <xf numFmtId="4" fontId="8" fillId="0" borderId="2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25" fillId="0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" fontId="19" fillId="15" borderId="0" xfId="0" applyNumberFormat="1" applyFont="1" applyFill="1" applyBorder="1"/>
    <xf numFmtId="4" fontId="19" fillId="11" borderId="0" xfId="0" applyNumberFormat="1" applyFont="1" applyFill="1" applyBorder="1"/>
    <xf numFmtId="4" fontId="42" fillId="0" borderId="0" xfId="0" applyNumberFormat="1" applyFont="1" applyFill="1" applyBorder="1"/>
    <xf numFmtId="4" fontId="42" fillId="11" borderId="0" xfId="0" applyNumberFormat="1" applyFont="1" applyFill="1" applyBorder="1"/>
    <xf numFmtId="2" fontId="30" fillId="16" borderId="0" xfId="0" applyNumberFormat="1" applyFont="1" applyFill="1" applyBorder="1"/>
    <xf numFmtId="1" fontId="27" fillId="0" borderId="0" xfId="0" applyNumberFormat="1" applyFont="1" applyFill="1" applyBorder="1"/>
    <xf numFmtId="4" fontId="29" fillId="2" borderId="0" xfId="0" applyNumberFormat="1" applyFont="1" applyFill="1" applyBorder="1" applyAlignment="1">
      <alignment horizontal="right" vertical="center"/>
    </xf>
    <xf numFmtId="4" fontId="28" fillId="2" borderId="0" xfId="0" applyNumberFormat="1" applyFont="1" applyFill="1" applyBorder="1" applyAlignment="1">
      <alignment horizontal="right"/>
    </xf>
    <xf numFmtId="4" fontId="29" fillId="2" borderId="0" xfId="0" applyNumberFormat="1" applyFont="1" applyFill="1" applyBorder="1" applyAlignment="1">
      <alignment horizontal="right"/>
    </xf>
    <xf numFmtId="2" fontId="29" fillId="0" borderId="0" xfId="0" applyNumberFormat="1" applyFont="1" applyFill="1" applyBorder="1"/>
    <xf numFmtId="2" fontId="30" fillId="0" borderId="0" xfId="0" applyNumberFormat="1" applyFont="1" applyFill="1" applyBorder="1"/>
    <xf numFmtId="4" fontId="29" fillId="0" borderId="0" xfId="0" applyNumberFormat="1" applyFont="1" applyFill="1" applyBorder="1"/>
    <xf numFmtId="2" fontId="27" fillId="0" borderId="0" xfId="0" applyNumberFormat="1" applyFont="1" applyFill="1" applyBorder="1"/>
    <xf numFmtId="2" fontId="28" fillId="0" borderId="0" xfId="0" applyNumberFormat="1" applyFont="1" applyFill="1" applyBorder="1"/>
    <xf numFmtId="2" fontId="27" fillId="16" borderId="0" xfId="0" applyNumberFormat="1" applyFont="1" applyFill="1" applyBorder="1"/>
    <xf numFmtId="2" fontId="27" fillId="0" borderId="0" xfId="0" applyNumberFormat="1" applyFont="1" applyBorder="1"/>
    <xf numFmtId="2" fontId="4" fillId="0" borderId="0" xfId="0" applyNumberFormat="1" applyFont="1" applyBorder="1"/>
    <xf numFmtId="2" fontId="30" fillId="2" borderId="0" xfId="0" applyNumberFormat="1" applyFont="1" applyFill="1" applyBorder="1"/>
    <xf numFmtId="2" fontId="20" fillId="2" borderId="0" xfId="0" applyNumberFormat="1" applyFont="1" applyFill="1" applyBorder="1"/>
    <xf numFmtId="2" fontId="19" fillId="2" borderId="0" xfId="0" applyNumberFormat="1" applyFont="1" applyFill="1" applyBorder="1"/>
    <xf numFmtId="2" fontId="27" fillId="2" borderId="0" xfId="0" applyNumberFormat="1" applyFont="1" applyFill="1" applyBorder="1" applyAlignment="1">
      <alignment wrapText="1"/>
    </xf>
    <xf numFmtId="2" fontId="4" fillId="0" borderId="0" xfId="0" applyNumberFormat="1" applyFont="1" applyFill="1" applyBorder="1"/>
    <xf numFmtId="2" fontId="4" fillId="2" borderId="0" xfId="0" applyNumberFormat="1" applyFont="1" applyFill="1" applyBorder="1"/>
    <xf numFmtId="0" fontId="29" fillId="2" borderId="0" xfId="0" applyFont="1" applyFill="1" applyBorder="1"/>
    <xf numFmtId="0" fontId="29" fillId="0" borderId="0" xfId="0" applyFont="1" applyFill="1" applyBorder="1" applyAlignment="1">
      <alignment wrapText="1"/>
    </xf>
    <xf numFmtId="2" fontId="30" fillId="0" borderId="0" xfId="0" applyNumberFormat="1" applyFont="1" applyBorder="1"/>
    <xf numFmtId="4" fontId="28" fillId="0" borderId="0" xfId="0" applyNumberFormat="1" applyFont="1" applyFill="1" applyBorder="1"/>
    <xf numFmtId="0" fontId="4" fillId="0" borderId="0" xfId="0" applyFont="1" applyBorder="1"/>
    <xf numFmtId="0" fontId="20" fillId="0" borderId="0" xfId="0" applyFont="1" applyBorder="1"/>
    <xf numFmtId="2" fontId="27" fillId="2" borderId="0" xfId="0" applyNumberFormat="1" applyFont="1" applyFill="1" applyBorder="1"/>
    <xf numFmtId="4" fontId="20" fillId="0" borderId="0" xfId="0" applyNumberFormat="1" applyFont="1" applyFill="1" applyBorder="1"/>
    <xf numFmtId="2" fontId="20" fillId="0" borderId="0" xfId="0" applyNumberFormat="1" applyFont="1" applyBorder="1"/>
    <xf numFmtId="2" fontId="20" fillId="0" borderId="0" xfId="0" applyNumberFormat="1" applyFont="1" applyFill="1" applyBorder="1"/>
    <xf numFmtId="2" fontId="37" fillId="0" borderId="0" xfId="0" applyNumberFormat="1" applyFont="1" applyFill="1" applyBorder="1"/>
    <xf numFmtId="4" fontId="20" fillId="2" borderId="0" xfId="0" applyNumberFormat="1" applyFont="1" applyFill="1" applyBorder="1"/>
    <xf numFmtId="4" fontId="28" fillId="2" borderId="0" xfId="0" applyNumberFormat="1" applyFont="1" applyFill="1" applyBorder="1"/>
    <xf numFmtId="4" fontId="28" fillId="2" borderId="0" xfId="0" applyNumberFormat="1" applyFont="1" applyFill="1" applyBorder="1" applyAlignment="1">
      <alignment wrapText="1"/>
    </xf>
    <xf numFmtId="4" fontId="29" fillId="2" borderId="0" xfId="0" applyNumberFormat="1" applyFont="1" applyFill="1" applyBorder="1" applyAlignment="1">
      <alignment wrapText="1"/>
    </xf>
    <xf numFmtId="4" fontId="19" fillId="2" borderId="0" xfId="0" applyNumberFormat="1" applyFont="1" applyFill="1" applyBorder="1"/>
    <xf numFmtId="2" fontId="28" fillId="0" borderId="0" xfId="0" applyNumberFormat="1" applyFont="1" applyBorder="1"/>
    <xf numFmtId="4" fontId="43" fillId="4" borderId="2" xfId="0" applyNumberFormat="1" applyFont="1" applyFill="1" applyBorder="1"/>
    <xf numFmtId="4" fontId="8" fillId="2" borderId="2" xfId="0" applyNumberFormat="1" applyFont="1" applyFill="1" applyBorder="1"/>
    <xf numFmtId="4" fontId="44" fillId="4" borderId="2" xfId="0" applyNumberFormat="1" applyFont="1" applyFill="1" applyBorder="1"/>
    <xf numFmtId="4" fontId="45" fillId="0" borderId="2" xfId="0" applyNumberFormat="1" applyFont="1" applyFill="1" applyBorder="1"/>
    <xf numFmtId="4" fontId="45" fillId="2" borderId="2" xfId="0" applyNumberFormat="1" applyFont="1" applyFill="1" applyBorder="1"/>
    <xf numFmtId="4" fontId="15" fillId="4" borderId="2" xfId="0" applyNumberFormat="1" applyFont="1" applyFill="1" applyBorder="1"/>
    <xf numFmtId="4" fontId="13" fillId="0" borderId="2" xfId="0" applyNumberFormat="1" applyFont="1" applyFill="1" applyBorder="1"/>
    <xf numFmtId="4" fontId="13" fillId="2" borderId="2" xfId="0" applyNumberFormat="1" applyFont="1" applyFill="1" applyBorder="1"/>
    <xf numFmtId="4" fontId="43" fillId="13" borderId="2" xfId="0" applyNumberFormat="1" applyFont="1" applyFill="1" applyBorder="1"/>
    <xf numFmtId="4" fontId="45" fillId="13" borderId="2" xfId="0" applyNumberFormat="1" applyFont="1" applyFill="1" applyBorder="1"/>
    <xf numFmtId="4" fontId="45" fillId="4" borderId="2" xfId="0" applyNumberFormat="1" applyFont="1" applyFill="1" applyBorder="1"/>
    <xf numFmtId="4" fontId="8" fillId="4" borderId="4" xfId="0" applyNumberFormat="1" applyFont="1" applyFill="1" applyBorder="1"/>
    <xf numFmtId="4" fontId="43" fillId="11" borderId="4" xfId="0" applyNumberFormat="1" applyFont="1" applyFill="1" applyBorder="1"/>
    <xf numFmtId="4" fontId="43" fillId="11" borderId="2" xfId="0" applyNumberFormat="1" applyFont="1" applyFill="1" applyBorder="1"/>
    <xf numFmtId="4" fontId="43" fillId="4" borderId="4" xfId="0" applyNumberFormat="1" applyFont="1" applyFill="1" applyBorder="1"/>
    <xf numFmtId="4" fontId="45" fillId="2" borderId="4" xfId="0" applyNumberFormat="1" applyFont="1" applyFill="1" applyBorder="1"/>
    <xf numFmtId="4" fontId="44" fillId="4" borderId="4" xfId="0" applyNumberFormat="1" applyFont="1" applyFill="1" applyBorder="1"/>
    <xf numFmtId="4" fontId="43" fillId="5" borderId="4" xfId="0" applyNumberFormat="1" applyFont="1" applyFill="1" applyBorder="1"/>
    <xf numFmtId="4" fontId="43" fillId="5" borderId="2" xfId="0" applyNumberFormat="1" applyFont="1" applyFill="1" applyBorder="1"/>
    <xf numFmtId="4" fontId="43" fillId="11" borderId="6" xfId="0" applyNumberFormat="1" applyFont="1" applyFill="1" applyBorder="1"/>
    <xf numFmtId="4" fontId="43" fillId="2" borderId="4" xfId="0" applyNumberFormat="1" applyFont="1" applyFill="1" applyBorder="1"/>
    <xf numFmtId="4" fontId="43" fillId="2" borderId="2" xfId="0" applyNumberFormat="1" applyFont="1" applyFill="1" applyBorder="1"/>
    <xf numFmtId="0" fontId="19" fillId="16" borderId="7" xfId="0" applyFont="1" applyFill="1" applyBorder="1" applyAlignment="1">
      <alignment wrapText="1"/>
    </xf>
    <xf numFmtId="0" fontId="3" fillId="16" borderId="0" xfId="0" applyFont="1" applyFill="1"/>
    <xf numFmtId="0" fontId="2" fillId="16" borderId="0" xfId="0" applyFont="1" applyFill="1"/>
    <xf numFmtId="4" fontId="20" fillId="16" borderId="2" xfId="0" applyNumberFormat="1" applyFont="1" applyFill="1" applyBorder="1"/>
    <xf numFmtId="0" fontId="27" fillId="0" borderId="2" xfId="0" applyFont="1" applyFill="1" applyBorder="1" applyAlignment="1">
      <alignment wrapText="1"/>
    </xf>
    <xf numFmtId="0" fontId="29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wrapText="1"/>
    </xf>
    <xf numFmtId="0" fontId="3" fillId="10" borderId="0" xfId="0" applyFont="1" applyFill="1"/>
    <xf numFmtId="0" fontId="2" fillId="10" borderId="0" xfId="0" applyFont="1" applyFill="1"/>
    <xf numFmtId="0" fontId="27" fillId="2" borderId="0" xfId="0" applyFont="1" applyFill="1" applyBorder="1" applyAlignment="1">
      <alignment wrapText="1"/>
    </xf>
    <xf numFmtId="0" fontId="33" fillId="10" borderId="0" xfId="0" applyFont="1" applyFill="1"/>
    <xf numFmtId="0" fontId="1" fillId="10" borderId="0" xfId="0" applyFont="1" applyFill="1"/>
    <xf numFmtId="0" fontId="30" fillId="10" borderId="2" xfId="0" applyFont="1" applyFill="1" applyBorder="1"/>
    <xf numFmtId="2" fontId="30" fillId="10" borderId="2" xfId="0" applyNumberFormat="1" applyFont="1" applyFill="1" applyBorder="1"/>
    <xf numFmtId="2" fontId="40" fillId="2" borderId="0" xfId="0" applyNumberFormat="1" applyFont="1" applyFill="1" applyBorder="1"/>
    <xf numFmtId="0" fontId="48" fillId="0" borderId="0" xfId="0" applyFont="1"/>
    <xf numFmtId="0" fontId="4" fillId="18" borderId="2" xfId="0" applyFont="1" applyFill="1" applyBorder="1" applyAlignment="1">
      <alignment vertical="center" wrapText="1"/>
    </xf>
    <xf numFmtId="0" fontId="46" fillId="2" borderId="2" xfId="0" applyFont="1" applyFill="1" applyBorder="1" applyAlignment="1">
      <alignment wrapText="1"/>
    </xf>
    <xf numFmtId="0" fontId="47" fillId="6" borderId="2" xfId="0" applyFont="1" applyFill="1" applyBorder="1" applyAlignment="1">
      <alignment vertical="center" wrapText="1"/>
    </xf>
    <xf numFmtId="0" fontId="31" fillId="6" borderId="2" xfId="0" applyFont="1" applyFill="1" applyBorder="1" applyAlignment="1">
      <alignment vertical="center" wrapText="1"/>
    </xf>
    <xf numFmtId="0" fontId="39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/>
    <xf numFmtId="2" fontId="29" fillId="2" borderId="0" xfId="3" applyNumberFormat="1" applyFont="1" applyFill="1" applyBorder="1"/>
    <xf numFmtId="2" fontId="29" fillId="2" borderId="0" xfId="0" applyNumberFormat="1" applyFont="1" applyFill="1" applyBorder="1"/>
    <xf numFmtId="0" fontId="29" fillId="2" borderId="1" xfId="0" applyFont="1" applyFill="1" applyBorder="1"/>
    <xf numFmtId="2" fontId="29" fillId="2" borderId="2" xfId="0" applyNumberFormat="1" applyFont="1" applyFill="1" applyBorder="1"/>
    <xf numFmtId="0" fontId="30" fillId="10" borderId="2" xfId="0" applyFont="1" applyFill="1" applyBorder="1" applyAlignment="1">
      <alignment wrapText="1"/>
    </xf>
    <xf numFmtId="0" fontId="30" fillId="13" borderId="2" xfId="0" applyFont="1" applyFill="1" applyBorder="1"/>
    <xf numFmtId="0" fontId="3" fillId="13" borderId="0" xfId="0" applyFont="1" applyFill="1"/>
    <xf numFmtId="0" fontId="2" fillId="13" borderId="0" xfId="0" applyFont="1" applyFill="1"/>
    <xf numFmtId="2" fontId="30" fillId="13" borderId="2" xfId="0" applyNumberFormat="1" applyFont="1" applyFill="1" applyBorder="1"/>
    <xf numFmtId="0" fontId="27" fillId="13" borderId="2" xfId="0" applyFont="1" applyFill="1" applyBorder="1"/>
    <xf numFmtId="2" fontId="27" fillId="13" borderId="2" xfId="0" applyNumberFormat="1" applyFont="1" applyFill="1" applyBorder="1"/>
    <xf numFmtId="0" fontId="33" fillId="13" borderId="0" xfId="0" applyFont="1" applyFill="1"/>
    <xf numFmtId="0" fontId="1" fillId="13" borderId="0" xfId="0" applyFont="1" applyFill="1"/>
    <xf numFmtId="0" fontId="37" fillId="13" borderId="2" xfId="0" applyFont="1" applyFill="1" applyBorder="1" applyAlignment="1">
      <alignment wrapText="1"/>
    </xf>
    <xf numFmtId="2" fontId="37" fillId="13" borderId="2" xfId="0" applyNumberFormat="1" applyFont="1" applyFill="1" applyBorder="1"/>
    <xf numFmtId="0" fontId="28" fillId="0" borderId="2" xfId="0" applyFont="1" applyBorder="1" applyAlignment="1">
      <alignment horizontal="left"/>
    </xf>
    <xf numFmtId="0" fontId="27" fillId="13" borderId="2" xfId="1" applyNumberFormat="1" applyFont="1" applyFill="1" applyBorder="1" applyAlignment="1">
      <alignment horizontal="left" vertical="center" wrapText="1"/>
    </xf>
    <xf numFmtId="49" fontId="33" fillId="13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left" vertical="center" wrapText="1"/>
    </xf>
    <xf numFmtId="0" fontId="19" fillId="21" borderId="12" xfId="0" applyFont="1" applyFill="1" applyBorder="1" applyAlignment="1">
      <alignment horizontal="left"/>
    </xf>
    <xf numFmtId="0" fontId="8" fillId="21" borderId="4" xfId="0" applyFont="1" applyFill="1" applyBorder="1" applyAlignment="1">
      <alignment horizontal="center"/>
    </xf>
    <xf numFmtId="4" fontId="7" fillId="21" borderId="2" xfId="0" applyNumberFormat="1" applyFont="1" applyFill="1" applyBorder="1"/>
    <xf numFmtId="4" fontId="7" fillId="21" borderId="4" xfId="0" applyNumberFormat="1" applyFont="1" applyFill="1" applyBorder="1"/>
    <xf numFmtId="0" fontId="19" fillId="21" borderId="7" xfId="0" applyFont="1" applyFill="1" applyBorder="1"/>
    <xf numFmtId="0" fontId="19" fillId="21" borderId="7" xfId="0" applyFont="1" applyFill="1" applyBorder="1" applyAlignment="1">
      <alignment wrapText="1"/>
    </xf>
    <xf numFmtId="4" fontId="43" fillId="21" borderId="2" xfId="0" applyNumberFormat="1" applyFont="1" applyFill="1" applyBorder="1"/>
    <xf numFmtId="2" fontId="28" fillId="2" borderId="2" xfId="0" applyNumberFormat="1" applyFont="1" applyFill="1" applyBorder="1"/>
    <xf numFmtId="0" fontId="12" fillId="0" borderId="0" xfId="0" applyFont="1" applyFill="1" applyAlignment="1">
      <alignment horizontal="center"/>
    </xf>
    <xf numFmtId="0" fontId="11" fillId="0" borderId="0" xfId="0" applyFont="1" applyAlignment="1"/>
    <xf numFmtId="0" fontId="9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  <xf numFmtId="0" fontId="7" fillId="0" borderId="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0" xfId="0" applyFont="1" applyFill="1" applyAlignment="1">
      <alignment horizontal="left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</cellXfs>
  <cellStyles count="5">
    <cellStyle name="Normal" xfId="0" builtinId="0"/>
    <cellStyle name="Normal 2" xfId="2"/>
    <cellStyle name="Normal 3" xfId="3"/>
    <cellStyle name="Normal 4" xfId="4"/>
    <cellStyle name="Normal_Anexa F 140 146 10.07" xfId="1"/>
  </cellStyles>
  <dxfs count="0"/>
  <tableStyles count="0" defaultTableStyle="TableStyleMedium9" defaultPivotStyle="PivotStyleLight16"/>
  <colors>
    <mruColors>
      <color rgb="FF33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354"/>
  <sheetViews>
    <sheetView tabSelected="1" zoomScale="115" zoomScaleNormal="115" workbookViewId="0">
      <pane xSplit="3" ySplit="11" topLeftCell="J172" activePane="bottomRight" state="frozen"/>
      <selection pane="topRight" activeCell="D1" sqref="D1"/>
      <selection pane="bottomLeft" activeCell="A12" sqref="A12"/>
      <selection pane="bottomRight" activeCell="J96" sqref="J96:S96"/>
    </sheetView>
  </sheetViews>
  <sheetFormatPr defaultRowHeight="12.75"/>
  <cols>
    <col min="1" max="1" width="0.140625" style="2" customWidth="1"/>
    <col min="2" max="2" width="48.85546875" style="2" customWidth="1"/>
    <col min="3" max="3" width="12.85546875" style="4" customWidth="1"/>
    <col min="4" max="4" width="7" style="2" hidden="1" customWidth="1"/>
    <col min="5" max="5" width="11.28515625" style="2" hidden="1" customWidth="1"/>
    <col min="6" max="6" width="10.7109375" style="2" hidden="1" customWidth="1"/>
    <col min="7" max="7" width="8.140625" style="2" hidden="1" customWidth="1"/>
    <col min="8" max="8" width="1.42578125" style="2" hidden="1" customWidth="1"/>
    <col min="9" max="9" width="8.7109375" style="2" hidden="1" customWidth="1"/>
    <col min="10" max="10" width="13" style="2" customWidth="1"/>
    <col min="11" max="11" width="10.42578125" style="2" hidden="1" customWidth="1"/>
    <col min="12" max="12" width="6.85546875" style="2" hidden="1" customWidth="1"/>
    <col min="13" max="13" width="10.42578125" style="2" customWidth="1"/>
    <col min="14" max="14" width="8.5703125" style="2" customWidth="1"/>
    <col min="15" max="16" width="9" style="2" customWidth="1"/>
    <col min="17" max="17" width="10.7109375" style="2" customWidth="1"/>
    <col min="18" max="18" width="9.5703125" style="2" customWidth="1"/>
    <col min="19" max="19" width="10" style="2" customWidth="1"/>
    <col min="20" max="20" width="5.5703125" style="2" customWidth="1"/>
    <col min="21" max="21" width="10.140625" style="2" bestFit="1" customWidth="1"/>
    <col min="22" max="22" width="9.5703125" style="2" bestFit="1" customWidth="1"/>
    <col min="23" max="23" width="10.140625" style="2" bestFit="1" customWidth="1"/>
    <col min="24" max="16384" width="9.140625" style="2"/>
  </cols>
  <sheetData>
    <row r="1" spans="1:24" s="1" customFormat="1" ht="15.75">
      <c r="A1" s="268" t="s">
        <v>802</v>
      </c>
      <c r="B1" s="269"/>
      <c r="C1" s="269"/>
      <c r="D1" s="6"/>
      <c r="E1" s="6"/>
      <c r="F1" s="6"/>
      <c r="G1" s="6"/>
      <c r="H1" s="6"/>
      <c r="I1" s="6"/>
      <c r="K1" s="6"/>
      <c r="L1" s="6"/>
      <c r="M1" s="6"/>
      <c r="N1" s="6"/>
      <c r="O1" s="6"/>
      <c r="P1" s="6"/>
      <c r="Q1" s="6"/>
      <c r="R1" s="6" t="s">
        <v>908</v>
      </c>
      <c r="S1" s="6"/>
    </row>
    <row r="2" spans="1:24" ht="15.75">
      <c r="A2" s="268" t="s">
        <v>803</v>
      </c>
      <c r="B2" s="478" t="s">
        <v>807</v>
      </c>
      <c r="C2" s="47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 t="s">
        <v>905</v>
      </c>
      <c r="S2" s="8"/>
    </row>
    <row r="3" spans="1:24" ht="15.75">
      <c r="A3" s="268" t="s">
        <v>804</v>
      </c>
      <c r="B3" s="270"/>
      <c r="C3" s="27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24" ht="18.75">
      <c r="A4" s="7"/>
      <c r="B4" s="353"/>
      <c r="C4" s="9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24" ht="18.75">
      <c r="A5" s="468" t="s">
        <v>0</v>
      </c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469"/>
      <c r="S5" s="8"/>
    </row>
    <row r="6" spans="1:24" ht="15.75">
      <c r="A6" s="470" t="s">
        <v>805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471"/>
      <c r="O6" s="471"/>
      <c r="P6" s="471"/>
      <c r="Q6" s="471"/>
      <c r="R6" s="471"/>
      <c r="S6" s="8"/>
    </row>
    <row r="7" spans="1:24" ht="15.75">
      <c r="A7" s="10"/>
      <c r="B7" s="472" t="s">
        <v>806</v>
      </c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469"/>
      <c r="O7" s="469"/>
      <c r="P7" s="469"/>
      <c r="Q7" s="469"/>
      <c r="R7" s="469"/>
      <c r="S7" s="8"/>
    </row>
    <row r="8" spans="1:24">
      <c r="A8" s="10"/>
      <c r="B8" s="11"/>
      <c r="C8" s="12"/>
      <c r="D8" s="8"/>
      <c r="E8" s="8"/>
      <c r="F8" s="8"/>
      <c r="G8" s="8"/>
      <c r="H8" s="8"/>
      <c r="I8" s="8"/>
      <c r="J8" s="13"/>
      <c r="K8" s="13"/>
      <c r="L8" s="13"/>
      <c r="M8" s="13"/>
      <c r="N8" s="13"/>
      <c r="O8" s="13"/>
      <c r="P8" s="13"/>
      <c r="Q8" s="8"/>
      <c r="R8" s="8"/>
      <c r="S8" s="13" t="s">
        <v>448</v>
      </c>
    </row>
    <row r="9" spans="1:24" ht="28.5" customHeight="1">
      <c r="A9" s="473" t="s">
        <v>1</v>
      </c>
      <c r="B9" s="14" t="s">
        <v>2</v>
      </c>
      <c r="C9" s="15" t="s">
        <v>3</v>
      </c>
      <c r="D9" s="354"/>
      <c r="E9" s="190" t="s">
        <v>634</v>
      </c>
      <c r="F9" s="190" t="s">
        <v>632</v>
      </c>
      <c r="G9" s="191" t="s">
        <v>633</v>
      </c>
      <c r="H9" s="191" t="s">
        <v>632</v>
      </c>
      <c r="I9" s="191" t="s">
        <v>660</v>
      </c>
      <c r="J9" s="271" t="s">
        <v>631</v>
      </c>
      <c r="K9" s="355"/>
      <c r="L9" s="355"/>
      <c r="M9" s="479" t="s">
        <v>813</v>
      </c>
      <c r="N9" s="480"/>
      <c r="O9" s="480"/>
      <c r="P9" s="481"/>
      <c r="Q9" s="475" t="s">
        <v>490</v>
      </c>
      <c r="R9" s="476"/>
      <c r="S9" s="477"/>
    </row>
    <row r="10" spans="1:24" ht="24.75" customHeight="1">
      <c r="A10" s="474"/>
      <c r="B10" s="17"/>
      <c r="C10" s="18"/>
      <c r="D10" s="16" t="s">
        <v>538</v>
      </c>
      <c r="E10" s="16">
        <v>2018</v>
      </c>
      <c r="F10" s="16">
        <v>2019</v>
      </c>
      <c r="G10" s="16">
        <v>2019</v>
      </c>
      <c r="H10" s="16">
        <v>2019</v>
      </c>
      <c r="I10" s="16">
        <v>2020</v>
      </c>
      <c r="J10" s="16">
        <v>2020</v>
      </c>
      <c r="K10" s="17"/>
      <c r="L10" s="17"/>
      <c r="M10" s="17" t="s">
        <v>4</v>
      </c>
      <c r="N10" s="17" t="s">
        <v>5</v>
      </c>
      <c r="O10" s="17" t="s">
        <v>6</v>
      </c>
      <c r="P10" s="17" t="s">
        <v>7</v>
      </c>
      <c r="Q10" s="17" t="s">
        <v>432</v>
      </c>
      <c r="R10" s="17" t="s">
        <v>498</v>
      </c>
      <c r="S10" s="16" t="s">
        <v>630</v>
      </c>
      <c r="T10" s="3"/>
    </row>
    <row r="11" spans="1:24" ht="22.5" customHeight="1">
      <c r="A11" s="29"/>
      <c r="B11" s="30" t="s">
        <v>808</v>
      </c>
      <c r="C11" s="89"/>
      <c r="D11" s="129">
        <f t="shared" ref="D11:S11" si="0">D14+D17+D37+D70+D96+D12+D94</f>
        <v>335427.88</v>
      </c>
      <c r="E11" s="72">
        <f>E14+E17+E37+E70+E96+E12+E94</f>
        <v>382749</v>
      </c>
      <c r="F11" s="72">
        <f t="shared" si="0"/>
        <v>323616.5</v>
      </c>
      <c r="G11" s="72">
        <f t="shared" si="0"/>
        <v>350079.48000000004</v>
      </c>
      <c r="H11" s="72">
        <f t="shared" si="0"/>
        <v>323605.5</v>
      </c>
      <c r="I11" s="129">
        <f t="shared" si="0"/>
        <v>365754</v>
      </c>
      <c r="J11" s="72">
        <f t="shared" si="0"/>
        <v>328409</v>
      </c>
      <c r="K11" s="72">
        <f>J11-L11</f>
        <v>0</v>
      </c>
      <c r="L11" s="72">
        <f>M11+N11+O11+P11</f>
        <v>328409</v>
      </c>
      <c r="M11" s="72">
        <f t="shared" ref="M11" si="1">M14+M17+M37+M70+M96+M12+M94</f>
        <v>82700</v>
      </c>
      <c r="N11" s="72">
        <f t="shared" ref="N11" si="2">N14+N17+N37+N70+N96+N12+N94</f>
        <v>92800</v>
      </c>
      <c r="O11" s="72">
        <f t="shared" ref="O11:P11" si="3">O14+O17+O37+O70+O96+O12+O94</f>
        <v>85700</v>
      </c>
      <c r="P11" s="72">
        <f t="shared" si="3"/>
        <v>67209</v>
      </c>
      <c r="Q11" s="72">
        <f t="shared" si="0"/>
        <v>416497</v>
      </c>
      <c r="R11" s="72">
        <f t="shared" si="0"/>
        <v>388553</v>
      </c>
      <c r="S11" s="72">
        <f t="shared" si="0"/>
        <v>318796</v>
      </c>
      <c r="T11" s="3"/>
    </row>
    <row r="12" spans="1:24" ht="14.25">
      <c r="A12" s="26" t="s">
        <v>8</v>
      </c>
      <c r="B12" s="31" t="s">
        <v>9</v>
      </c>
      <c r="C12" s="90">
        <v>1.02</v>
      </c>
      <c r="D12" s="72">
        <f t="shared" ref="D12:S12" si="4">D13</f>
        <v>180</v>
      </c>
      <c r="E12" s="72">
        <f t="shared" si="4"/>
        <v>156</v>
      </c>
      <c r="F12" s="72">
        <f t="shared" si="4"/>
        <v>108</v>
      </c>
      <c r="G12" s="72">
        <f t="shared" si="4"/>
        <v>180</v>
      </c>
      <c r="H12" s="72">
        <f t="shared" si="4"/>
        <v>108</v>
      </c>
      <c r="I12" s="72">
        <f t="shared" si="4"/>
        <v>300</v>
      </c>
      <c r="J12" s="72">
        <f t="shared" si="4"/>
        <v>300</v>
      </c>
      <c r="K12" s="72">
        <f t="shared" ref="K12:K75" si="5">J12-L12</f>
        <v>0</v>
      </c>
      <c r="L12" s="72">
        <f t="shared" ref="L12:L75" si="6">M12+N12+O12+P12</f>
        <v>300</v>
      </c>
      <c r="M12" s="72">
        <f t="shared" si="4"/>
        <v>0</v>
      </c>
      <c r="N12" s="72">
        <f t="shared" si="4"/>
        <v>150</v>
      </c>
      <c r="O12" s="72">
        <f t="shared" si="4"/>
        <v>150</v>
      </c>
      <c r="P12" s="72">
        <f t="shared" si="4"/>
        <v>0</v>
      </c>
      <c r="Q12" s="72">
        <f t="shared" si="4"/>
        <v>310</v>
      </c>
      <c r="R12" s="72">
        <f t="shared" si="4"/>
        <v>320</v>
      </c>
      <c r="S12" s="72">
        <f t="shared" si="4"/>
        <v>330</v>
      </c>
      <c r="T12" s="3"/>
    </row>
    <row r="13" spans="1:24" ht="15">
      <c r="A13" s="26"/>
      <c r="B13" s="32" t="s">
        <v>10</v>
      </c>
      <c r="C13" s="91" t="s">
        <v>11</v>
      </c>
      <c r="D13" s="75">
        <v>180</v>
      </c>
      <c r="E13" s="75">
        <v>156</v>
      </c>
      <c r="F13" s="75">
        <v>108</v>
      </c>
      <c r="G13" s="75">
        <v>180</v>
      </c>
      <c r="H13" s="75">
        <v>108</v>
      </c>
      <c r="I13" s="75">
        <v>300</v>
      </c>
      <c r="J13" s="75">
        <v>300</v>
      </c>
      <c r="K13" s="72">
        <f t="shared" si="5"/>
        <v>0</v>
      </c>
      <c r="L13" s="72">
        <f t="shared" si="6"/>
        <v>300</v>
      </c>
      <c r="M13" s="75"/>
      <c r="N13" s="75">
        <v>150</v>
      </c>
      <c r="O13" s="75">
        <v>150</v>
      </c>
      <c r="P13" s="75"/>
      <c r="Q13" s="73">
        <v>310</v>
      </c>
      <c r="R13" s="73">
        <v>320</v>
      </c>
      <c r="S13" s="73">
        <v>330</v>
      </c>
      <c r="T13" s="3"/>
    </row>
    <row r="14" spans="1:24" ht="28.5">
      <c r="A14" s="26" t="s">
        <v>12</v>
      </c>
      <c r="B14" s="38" t="s">
        <v>13</v>
      </c>
      <c r="C14" s="92">
        <v>4.0199999999999996</v>
      </c>
      <c r="D14" s="74">
        <f t="shared" ref="D14:S14" si="7">D15+D16</f>
        <v>163608</v>
      </c>
      <c r="E14" s="74">
        <f t="shared" si="7"/>
        <v>108824</v>
      </c>
      <c r="F14" s="74">
        <f t="shared" si="7"/>
        <v>159549.5</v>
      </c>
      <c r="G14" s="74">
        <f t="shared" si="7"/>
        <v>165210.51</v>
      </c>
      <c r="H14" s="74">
        <f t="shared" si="7"/>
        <v>159549.5</v>
      </c>
      <c r="I14" s="401">
        <f t="shared" si="7"/>
        <v>124730</v>
      </c>
      <c r="J14" s="401">
        <f t="shared" si="7"/>
        <v>124730</v>
      </c>
      <c r="K14" s="129">
        <f t="shared" si="5"/>
        <v>0</v>
      </c>
      <c r="L14" s="129">
        <f t="shared" si="6"/>
        <v>124730</v>
      </c>
      <c r="M14" s="401">
        <f t="shared" ref="M14" si="8">M15+M16</f>
        <v>26000</v>
      </c>
      <c r="N14" s="401">
        <f t="shared" ref="N14" si="9">N15+N16</f>
        <v>36000</v>
      </c>
      <c r="O14" s="401">
        <f t="shared" ref="O14:P14" si="10">O15+O16</f>
        <v>39000</v>
      </c>
      <c r="P14" s="401">
        <f t="shared" si="10"/>
        <v>23730</v>
      </c>
      <c r="Q14" s="401">
        <f t="shared" si="7"/>
        <v>131585</v>
      </c>
      <c r="R14" s="401">
        <f t="shared" si="7"/>
        <v>138083</v>
      </c>
      <c r="S14" s="401">
        <f t="shared" si="7"/>
        <v>144581</v>
      </c>
      <c r="T14" s="3"/>
    </row>
    <row r="15" spans="1:24" ht="14.25" customHeight="1">
      <c r="A15" s="26"/>
      <c r="B15" s="34" t="s">
        <v>811</v>
      </c>
      <c r="C15" s="19" t="s">
        <v>14</v>
      </c>
      <c r="D15" s="75">
        <v>102782</v>
      </c>
      <c r="E15" s="75">
        <v>79317</v>
      </c>
      <c r="F15" s="75">
        <v>97121</v>
      </c>
      <c r="G15" s="75">
        <v>102782</v>
      </c>
      <c r="H15" s="75">
        <v>97121</v>
      </c>
      <c r="I15" s="403">
        <v>108461</v>
      </c>
      <c r="J15" s="403">
        <v>108461</v>
      </c>
      <c r="K15" s="129">
        <f t="shared" si="5"/>
        <v>0</v>
      </c>
      <c r="L15" s="129">
        <f t="shared" si="6"/>
        <v>108461</v>
      </c>
      <c r="M15" s="403">
        <f>23000+1500-500+1000-2000-1500+500</f>
        <v>22000</v>
      </c>
      <c r="N15" s="403">
        <f>31000-2000+1000+1000+500</f>
        <v>31500</v>
      </c>
      <c r="O15" s="403">
        <f>31000-2000+1000+1000-1000-2000+1000+1000+2000+2571-571</f>
        <v>34000</v>
      </c>
      <c r="P15" s="403">
        <f>26641-180-4692+100+92+1500+2500+500+2000-4000-2000+1000+2000-1000-2000-1071-429</f>
        <v>20961</v>
      </c>
      <c r="Q15" s="402">
        <v>91125</v>
      </c>
      <c r="R15" s="402">
        <v>95625</v>
      </c>
      <c r="S15" s="402">
        <v>100125</v>
      </c>
      <c r="T15" s="3"/>
    </row>
    <row r="16" spans="1:24" ht="19.5" customHeight="1">
      <c r="A16" s="26"/>
      <c r="B16" s="35" t="s">
        <v>909</v>
      </c>
      <c r="C16" s="19" t="s">
        <v>15</v>
      </c>
      <c r="D16" s="75">
        <v>60826</v>
      </c>
      <c r="E16" s="75">
        <v>29507</v>
      </c>
      <c r="F16" s="75">
        <v>62428.5</v>
      </c>
      <c r="G16" s="75">
        <v>62428.51</v>
      </c>
      <c r="H16" s="75">
        <v>62428.5</v>
      </c>
      <c r="I16" s="403">
        <v>16269</v>
      </c>
      <c r="J16" s="403">
        <v>16269</v>
      </c>
      <c r="K16" s="129">
        <f t="shared" si="5"/>
        <v>0</v>
      </c>
      <c r="L16" s="129">
        <f t="shared" si="6"/>
        <v>16269</v>
      </c>
      <c r="M16" s="403">
        <v>4000</v>
      </c>
      <c r="N16" s="403">
        <f>4500</f>
        <v>4500</v>
      </c>
      <c r="O16" s="403">
        <f>4000+200+300+500</f>
        <v>5000</v>
      </c>
      <c r="P16" s="403">
        <f>3869-600+700-400-300-500</f>
        <v>2769</v>
      </c>
      <c r="Q16" s="403">
        <v>40460</v>
      </c>
      <c r="R16" s="403">
        <v>42458</v>
      </c>
      <c r="S16" s="403">
        <v>44456</v>
      </c>
      <c r="T16" s="3"/>
      <c r="U16" s="3"/>
      <c r="V16" s="3"/>
      <c r="W16" s="3"/>
      <c r="X16" s="3"/>
    </row>
    <row r="17" spans="1:20" ht="14.25">
      <c r="A17" s="26" t="s">
        <v>16</v>
      </c>
      <c r="B17" s="33" t="s">
        <v>809</v>
      </c>
      <c r="C17" s="19" t="s">
        <v>18</v>
      </c>
      <c r="D17" s="74">
        <f t="shared" ref="D17:S17" si="11">D18+D34+D35+D36</f>
        <v>138281</v>
      </c>
      <c r="E17" s="74">
        <f t="shared" si="11"/>
        <v>98292</v>
      </c>
      <c r="F17" s="74">
        <f t="shared" si="11"/>
        <v>135935</v>
      </c>
      <c r="G17" s="74">
        <f t="shared" si="11"/>
        <v>143631</v>
      </c>
      <c r="H17" s="74">
        <f t="shared" si="11"/>
        <v>135935</v>
      </c>
      <c r="I17" s="401">
        <f t="shared" si="11"/>
        <v>110422</v>
      </c>
      <c r="J17" s="401">
        <f t="shared" si="11"/>
        <v>112486</v>
      </c>
      <c r="K17" s="129">
        <f t="shared" si="5"/>
        <v>0</v>
      </c>
      <c r="L17" s="129">
        <f t="shared" si="6"/>
        <v>112486</v>
      </c>
      <c r="M17" s="401">
        <f t="shared" ref="M17" si="12">M18+M34+M35+M36</f>
        <v>35855</v>
      </c>
      <c r="N17" s="401">
        <f t="shared" ref="N17" si="13">N18+N34+N35+N36</f>
        <v>30752</v>
      </c>
      <c r="O17" s="401">
        <f t="shared" ref="O17:P17" si="14">O18+O34+O35+O36</f>
        <v>23787</v>
      </c>
      <c r="P17" s="401">
        <f t="shared" si="14"/>
        <v>22092</v>
      </c>
      <c r="Q17" s="401">
        <f t="shared" si="11"/>
        <v>109544</v>
      </c>
      <c r="R17" s="401">
        <f t="shared" si="11"/>
        <v>96724</v>
      </c>
      <c r="S17" s="401">
        <f t="shared" si="11"/>
        <v>96237</v>
      </c>
      <c r="T17" s="3"/>
    </row>
    <row r="18" spans="1:20" ht="26.25" customHeight="1">
      <c r="A18" s="37">
        <v>1</v>
      </c>
      <c r="B18" s="38" t="s">
        <v>445</v>
      </c>
      <c r="C18" s="19" t="s">
        <v>19</v>
      </c>
      <c r="D18" s="72">
        <f t="shared" ref="D18:J18" si="15">D19+D20+D22+D23+D24+D29+D32+D33+D21</f>
        <v>27456</v>
      </c>
      <c r="E18" s="72">
        <f t="shared" si="15"/>
        <v>68612</v>
      </c>
      <c r="F18" s="72">
        <f t="shared" si="15"/>
        <v>26708</v>
      </c>
      <c r="G18" s="72">
        <f t="shared" si="15"/>
        <v>34404</v>
      </c>
      <c r="H18" s="72">
        <f t="shared" si="15"/>
        <v>26708</v>
      </c>
      <c r="I18" s="129">
        <f t="shared" si="15"/>
        <v>49416</v>
      </c>
      <c r="J18" s="129">
        <f t="shared" si="15"/>
        <v>49480</v>
      </c>
      <c r="K18" s="129">
        <f t="shared" si="5"/>
        <v>0</v>
      </c>
      <c r="L18" s="129">
        <f t="shared" si="6"/>
        <v>49480</v>
      </c>
      <c r="M18" s="129">
        <f t="shared" ref="M18" si="16">M19+M20+M22+M23+M24+M29+M32+M33+M21</f>
        <v>18500</v>
      </c>
      <c r="N18" s="129">
        <f t="shared" ref="N18" si="17">N19+N20+N22+N23+N24+N29+N32+N33+N21</f>
        <v>14500</v>
      </c>
      <c r="O18" s="129">
        <f t="shared" ref="O18:P18" si="18">O19+O20+O22+O23+O24+O29+O32+O33+O21</f>
        <v>10000</v>
      </c>
      <c r="P18" s="129">
        <f t="shared" si="18"/>
        <v>6480</v>
      </c>
      <c r="Q18" s="129">
        <f>Q19+Q20+Q22+Q23+Q24+Q29+Q32+Q33+Q21</f>
        <v>66341</v>
      </c>
      <c r="R18" s="129">
        <f>R19+R20+R22+R23+R24+R29+R32+R33+R21</f>
        <v>66395</v>
      </c>
      <c r="S18" s="129">
        <f>S19+S20+S22+S23+S24+S29+S32+S33+S21</f>
        <v>66446</v>
      </c>
      <c r="T18" s="3"/>
    </row>
    <row r="19" spans="1:20" ht="15" customHeight="1">
      <c r="A19" s="37" t="s">
        <v>472</v>
      </c>
      <c r="B19" s="39" t="s">
        <v>20</v>
      </c>
      <c r="C19" s="19" t="s">
        <v>19</v>
      </c>
      <c r="D19" s="73">
        <v>0</v>
      </c>
      <c r="E19" s="73">
        <v>29299</v>
      </c>
      <c r="F19" s="73"/>
      <c r="G19" s="73"/>
      <c r="H19" s="73"/>
      <c r="I19" s="73">
        <v>12503</v>
      </c>
      <c r="J19" s="73">
        <v>12503</v>
      </c>
      <c r="K19" s="72">
        <f t="shared" si="5"/>
        <v>0</v>
      </c>
      <c r="L19" s="72">
        <f t="shared" si="6"/>
        <v>12503</v>
      </c>
      <c r="M19" s="73">
        <v>4210</v>
      </c>
      <c r="N19" s="73">
        <v>4410</v>
      </c>
      <c r="O19" s="73">
        <v>2888</v>
      </c>
      <c r="P19" s="73">
        <v>995</v>
      </c>
      <c r="Q19" s="73">
        <v>22505</v>
      </c>
      <c r="R19" s="73">
        <v>22505</v>
      </c>
      <c r="S19" s="73">
        <v>22505</v>
      </c>
      <c r="T19" s="3"/>
    </row>
    <row r="20" spans="1:20" ht="15">
      <c r="A20" s="37" t="s">
        <v>471</v>
      </c>
      <c r="B20" s="40" t="s">
        <v>474</v>
      </c>
      <c r="C20" s="19" t="s">
        <v>19</v>
      </c>
      <c r="D20" s="73">
        <v>0</v>
      </c>
      <c r="E20" s="73">
        <v>17083</v>
      </c>
      <c r="F20" s="73"/>
      <c r="G20" s="73"/>
      <c r="H20" s="73"/>
      <c r="I20" s="73">
        <v>8506</v>
      </c>
      <c r="J20" s="73">
        <v>8506</v>
      </c>
      <c r="K20" s="72">
        <f t="shared" si="5"/>
        <v>0</v>
      </c>
      <c r="L20" s="72">
        <f t="shared" si="6"/>
        <v>8506</v>
      </c>
      <c r="M20" s="73">
        <v>3000</v>
      </c>
      <c r="N20" s="73">
        <v>2800</v>
      </c>
      <c r="O20" s="73">
        <v>2200</v>
      </c>
      <c r="P20" s="73">
        <v>506</v>
      </c>
      <c r="Q20" s="73">
        <v>15311</v>
      </c>
      <c r="R20" s="73">
        <v>15311</v>
      </c>
      <c r="S20" s="73">
        <v>15311</v>
      </c>
      <c r="T20" s="3"/>
    </row>
    <row r="21" spans="1:20" ht="15">
      <c r="A21" s="37" t="s">
        <v>21</v>
      </c>
      <c r="B21" s="40" t="s">
        <v>22</v>
      </c>
      <c r="C21" s="19" t="s">
        <v>19</v>
      </c>
      <c r="D21" s="73">
        <v>71</v>
      </c>
      <c r="E21" s="73">
        <v>71</v>
      </c>
      <c r="F21" s="73">
        <v>71</v>
      </c>
      <c r="G21" s="73">
        <v>71</v>
      </c>
      <c r="H21" s="73">
        <v>71</v>
      </c>
      <c r="I21" s="73">
        <v>7</v>
      </c>
      <c r="J21" s="73">
        <v>71</v>
      </c>
      <c r="K21" s="72">
        <f t="shared" si="5"/>
        <v>0</v>
      </c>
      <c r="L21" s="72">
        <f t="shared" si="6"/>
        <v>71</v>
      </c>
      <c r="M21" s="73">
        <v>20</v>
      </c>
      <c r="N21" s="73">
        <v>20</v>
      </c>
      <c r="O21" s="73">
        <v>31</v>
      </c>
      <c r="P21" s="73"/>
      <c r="Q21" s="73">
        <v>71</v>
      </c>
      <c r="R21" s="73">
        <v>71</v>
      </c>
      <c r="S21" s="73">
        <v>71</v>
      </c>
      <c r="T21" s="3"/>
    </row>
    <row r="22" spans="1:20" ht="17.25" customHeight="1">
      <c r="A22" s="37" t="s">
        <v>23</v>
      </c>
      <c r="B22" s="40" t="s">
        <v>475</v>
      </c>
      <c r="C22" s="19" t="s">
        <v>19</v>
      </c>
      <c r="D22" s="75">
        <f>D542</f>
        <v>10744</v>
      </c>
      <c r="E22" s="75">
        <v>6965</v>
      </c>
      <c r="F22" s="75">
        <f t="shared" ref="F22:J22" si="19">F542</f>
        <v>9996</v>
      </c>
      <c r="G22" s="75">
        <f t="shared" si="19"/>
        <v>17692</v>
      </c>
      <c r="H22" s="75">
        <f t="shared" si="19"/>
        <v>9996</v>
      </c>
      <c r="I22" s="75">
        <v>11957</v>
      </c>
      <c r="J22" s="75">
        <f t="shared" si="19"/>
        <v>11957</v>
      </c>
      <c r="K22" s="72">
        <f t="shared" si="5"/>
        <v>0</v>
      </c>
      <c r="L22" s="72">
        <f t="shared" si="6"/>
        <v>11957</v>
      </c>
      <c r="M22" s="75">
        <f t="shared" ref="M22" si="20">M542</f>
        <v>5000</v>
      </c>
      <c r="N22" s="75">
        <f t="shared" ref="N22" si="21">N542</f>
        <v>2000</v>
      </c>
      <c r="O22" s="75">
        <f t="shared" ref="O22:P22" si="22">O542</f>
        <v>2600</v>
      </c>
      <c r="P22" s="75">
        <f t="shared" si="22"/>
        <v>2357</v>
      </c>
      <c r="Q22" s="75">
        <f t="shared" ref="Q22:S22" si="23">Q546</f>
        <v>11957</v>
      </c>
      <c r="R22" s="75">
        <f t="shared" si="23"/>
        <v>11957</v>
      </c>
      <c r="S22" s="75">
        <f t="shared" si="23"/>
        <v>11957</v>
      </c>
      <c r="T22" s="3"/>
    </row>
    <row r="23" spans="1:20" ht="0.75" customHeight="1">
      <c r="A23" s="37" t="s">
        <v>24</v>
      </c>
      <c r="B23" s="40" t="s">
        <v>25</v>
      </c>
      <c r="C23" s="19"/>
      <c r="D23" s="75"/>
      <c r="E23" s="75"/>
      <c r="F23" s="75"/>
      <c r="G23" s="75"/>
      <c r="H23" s="75"/>
      <c r="I23" s="75"/>
      <c r="J23" s="75"/>
      <c r="K23" s="72">
        <f t="shared" si="5"/>
        <v>0</v>
      </c>
      <c r="L23" s="72">
        <f t="shared" si="6"/>
        <v>0</v>
      </c>
      <c r="M23" s="75"/>
      <c r="N23" s="75"/>
      <c r="O23" s="75"/>
      <c r="P23" s="75"/>
      <c r="Q23" s="76"/>
      <c r="R23" s="76"/>
      <c r="S23" s="76"/>
      <c r="T23" s="3"/>
    </row>
    <row r="24" spans="1:20" ht="18.75" customHeight="1">
      <c r="A24" s="37" t="s">
        <v>24</v>
      </c>
      <c r="B24" s="40" t="s">
        <v>491</v>
      </c>
      <c r="C24" s="19" t="s">
        <v>19</v>
      </c>
      <c r="D24" s="83">
        <f t="shared" ref="D24:S24" si="24">D25+D26+D27+D28</f>
        <v>2732</v>
      </c>
      <c r="E24" s="83">
        <f t="shared" si="24"/>
        <v>1914</v>
      </c>
      <c r="F24" s="83">
        <f t="shared" si="24"/>
        <v>2732</v>
      </c>
      <c r="G24" s="83">
        <f t="shared" si="24"/>
        <v>2732</v>
      </c>
      <c r="H24" s="83">
        <f t="shared" si="24"/>
        <v>2732</v>
      </c>
      <c r="I24" s="83">
        <f t="shared" si="24"/>
        <v>2495</v>
      </c>
      <c r="J24" s="83">
        <f t="shared" si="24"/>
        <v>2495</v>
      </c>
      <c r="K24" s="72">
        <f t="shared" si="5"/>
        <v>0</v>
      </c>
      <c r="L24" s="72">
        <f t="shared" si="6"/>
        <v>2495</v>
      </c>
      <c r="M24" s="83">
        <f t="shared" ref="M24" si="25">M25+M26+M27+M28</f>
        <v>1200</v>
      </c>
      <c r="N24" s="83">
        <f t="shared" ref="N24" si="26">N25+N26+N27+N28</f>
        <v>700</v>
      </c>
      <c r="O24" s="83">
        <f t="shared" ref="O24:P24" si="27">O25+O26+O27+O28</f>
        <v>390</v>
      </c>
      <c r="P24" s="83">
        <f t="shared" si="27"/>
        <v>205</v>
      </c>
      <c r="Q24" s="83">
        <f t="shared" si="24"/>
        <v>2535</v>
      </c>
      <c r="R24" s="83">
        <f t="shared" si="24"/>
        <v>2575</v>
      </c>
      <c r="S24" s="83">
        <f t="shared" si="24"/>
        <v>2613</v>
      </c>
      <c r="T24" s="3"/>
    </row>
    <row r="25" spans="1:20" ht="17.25" hidden="1" customHeight="1">
      <c r="A25" s="37"/>
      <c r="B25" s="40" t="s">
        <v>26</v>
      </c>
      <c r="C25" s="19"/>
      <c r="D25" s="75"/>
      <c r="E25" s="75"/>
      <c r="F25" s="75"/>
      <c r="G25" s="75"/>
      <c r="H25" s="75"/>
      <c r="I25" s="75"/>
      <c r="J25" s="75"/>
      <c r="K25" s="72">
        <f t="shared" si="5"/>
        <v>0</v>
      </c>
      <c r="L25" s="72">
        <f t="shared" si="6"/>
        <v>0</v>
      </c>
      <c r="M25" s="75"/>
      <c r="N25" s="75"/>
      <c r="O25" s="75"/>
      <c r="P25" s="75"/>
      <c r="Q25" s="73"/>
      <c r="R25" s="73"/>
      <c r="S25" s="73"/>
      <c r="T25" s="3"/>
    </row>
    <row r="26" spans="1:20" ht="15">
      <c r="A26" s="37" t="s">
        <v>623</v>
      </c>
      <c r="B26" s="40" t="s">
        <v>487</v>
      </c>
      <c r="C26" s="19" t="s">
        <v>19</v>
      </c>
      <c r="D26" s="75">
        <v>1326</v>
      </c>
      <c r="E26" s="75">
        <v>1045</v>
      </c>
      <c r="F26" s="75">
        <v>1326</v>
      </c>
      <c r="G26" s="75">
        <v>1326</v>
      </c>
      <c r="H26" s="75">
        <v>1326</v>
      </c>
      <c r="I26" s="75">
        <v>1386</v>
      </c>
      <c r="J26" s="75">
        <v>1386</v>
      </c>
      <c r="K26" s="72">
        <f t="shared" si="5"/>
        <v>0</v>
      </c>
      <c r="L26" s="72">
        <f t="shared" si="6"/>
        <v>1386</v>
      </c>
      <c r="M26" s="75">
        <v>500</v>
      </c>
      <c r="N26" s="75">
        <v>400</v>
      </c>
      <c r="O26" s="75">
        <v>290</v>
      </c>
      <c r="P26" s="75">
        <v>196</v>
      </c>
      <c r="Q26" s="73">
        <v>1426</v>
      </c>
      <c r="R26" s="73">
        <v>1466</v>
      </c>
      <c r="S26" s="73">
        <v>1504</v>
      </c>
      <c r="T26" s="3"/>
    </row>
    <row r="27" spans="1:20" ht="0.75" customHeight="1">
      <c r="A27" s="37"/>
      <c r="B27" s="40" t="s">
        <v>446</v>
      </c>
      <c r="C27" s="19"/>
      <c r="D27" s="75"/>
      <c r="E27" s="75"/>
      <c r="F27" s="75"/>
      <c r="G27" s="75"/>
      <c r="H27" s="75"/>
      <c r="I27" s="75"/>
      <c r="J27" s="75"/>
      <c r="K27" s="72">
        <f t="shared" si="5"/>
        <v>0</v>
      </c>
      <c r="L27" s="72">
        <f t="shared" si="6"/>
        <v>0</v>
      </c>
      <c r="M27" s="75"/>
      <c r="N27" s="75"/>
      <c r="O27" s="75"/>
      <c r="P27" s="75"/>
      <c r="Q27" s="76"/>
      <c r="R27" s="76"/>
      <c r="S27" s="76"/>
      <c r="T27" s="3"/>
    </row>
    <row r="28" spans="1:20" ht="26.25" customHeight="1">
      <c r="A28" s="37" t="s">
        <v>473</v>
      </c>
      <c r="B28" s="39" t="s">
        <v>447</v>
      </c>
      <c r="C28" s="19" t="s">
        <v>19</v>
      </c>
      <c r="D28" s="75">
        <v>1406</v>
      </c>
      <c r="E28" s="75">
        <v>869</v>
      </c>
      <c r="F28" s="75">
        <v>1406</v>
      </c>
      <c r="G28" s="75">
        <v>1406</v>
      </c>
      <c r="H28" s="75">
        <v>1406</v>
      </c>
      <c r="I28" s="75">
        <v>1109</v>
      </c>
      <c r="J28" s="75">
        <v>1109</v>
      </c>
      <c r="K28" s="72">
        <f t="shared" si="5"/>
        <v>0</v>
      </c>
      <c r="L28" s="72">
        <f t="shared" si="6"/>
        <v>1109</v>
      </c>
      <c r="M28" s="75">
        <v>700</v>
      </c>
      <c r="N28" s="75">
        <v>300</v>
      </c>
      <c r="O28" s="75">
        <v>100</v>
      </c>
      <c r="P28" s="75">
        <v>9</v>
      </c>
      <c r="Q28" s="75">
        <v>1109</v>
      </c>
      <c r="R28" s="75">
        <v>1109</v>
      </c>
      <c r="S28" s="75">
        <v>1109</v>
      </c>
      <c r="T28" s="3"/>
    </row>
    <row r="29" spans="1:20" ht="15">
      <c r="A29" s="37" t="s">
        <v>624</v>
      </c>
      <c r="B29" s="40" t="s">
        <v>881</v>
      </c>
      <c r="C29" s="19" t="s">
        <v>19</v>
      </c>
      <c r="D29" s="83">
        <f t="shared" ref="D29:S29" si="28">D30+D31</f>
        <v>13666</v>
      </c>
      <c r="E29" s="83">
        <f t="shared" si="28"/>
        <v>13055</v>
      </c>
      <c r="F29" s="83">
        <f t="shared" si="28"/>
        <v>13666</v>
      </c>
      <c r="G29" s="83">
        <f t="shared" si="28"/>
        <v>13666</v>
      </c>
      <c r="H29" s="83">
        <f t="shared" si="28"/>
        <v>13666</v>
      </c>
      <c r="I29" s="83">
        <f t="shared" si="28"/>
        <v>13672</v>
      </c>
      <c r="J29" s="83">
        <f t="shared" si="28"/>
        <v>13672</v>
      </c>
      <c r="K29" s="72">
        <f t="shared" si="5"/>
        <v>0</v>
      </c>
      <c r="L29" s="72">
        <f t="shared" si="6"/>
        <v>13672</v>
      </c>
      <c r="M29" s="83">
        <f t="shared" ref="M29" si="29">M30+M31</f>
        <v>5000</v>
      </c>
      <c r="N29" s="83">
        <f t="shared" ref="N29" si="30">N30+N31</f>
        <v>4500</v>
      </c>
      <c r="O29" s="83">
        <f t="shared" ref="O29:P29" si="31">O30+O31</f>
        <v>1831</v>
      </c>
      <c r="P29" s="83">
        <f t="shared" si="31"/>
        <v>2341</v>
      </c>
      <c r="Q29" s="83">
        <f t="shared" si="28"/>
        <v>13678</v>
      </c>
      <c r="R29" s="83">
        <f t="shared" si="28"/>
        <v>13684</v>
      </c>
      <c r="S29" s="397">
        <f t="shared" si="28"/>
        <v>13689</v>
      </c>
      <c r="T29" s="3"/>
    </row>
    <row r="30" spans="1:20" ht="15">
      <c r="A30" s="37"/>
      <c r="B30" s="40" t="s">
        <v>882</v>
      </c>
      <c r="C30" s="19" t="s">
        <v>19</v>
      </c>
      <c r="D30" s="75">
        <v>12860</v>
      </c>
      <c r="E30" s="75">
        <v>12855</v>
      </c>
      <c r="F30" s="75">
        <v>12860</v>
      </c>
      <c r="G30" s="75">
        <v>12860</v>
      </c>
      <c r="H30" s="75">
        <v>12860</v>
      </c>
      <c r="I30" s="75">
        <v>13672</v>
      </c>
      <c r="J30" s="75">
        <v>13672</v>
      </c>
      <c r="K30" s="72">
        <f t="shared" si="5"/>
        <v>0</v>
      </c>
      <c r="L30" s="72">
        <f t="shared" si="6"/>
        <v>13672</v>
      </c>
      <c r="M30" s="75">
        <v>5000</v>
      </c>
      <c r="N30" s="75">
        <v>4500</v>
      </c>
      <c r="O30" s="75">
        <v>1831</v>
      </c>
      <c r="P30" s="75">
        <v>2341</v>
      </c>
      <c r="Q30" s="75">
        <v>13678</v>
      </c>
      <c r="R30" s="75">
        <v>13684</v>
      </c>
      <c r="S30" s="75">
        <v>13689</v>
      </c>
      <c r="T30" s="3"/>
    </row>
    <row r="31" spans="1:20" ht="1.5" hidden="1" customHeight="1">
      <c r="A31" s="37"/>
      <c r="B31" s="40" t="s">
        <v>27</v>
      </c>
      <c r="C31" s="19" t="s">
        <v>19</v>
      </c>
      <c r="D31" s="75">
        <v>806</v>
      </c>
      <c r="E31" s="75">
        <v>200</v>
      </c>
      <c r="F31" s="75">
        <v>806</v>
      </c>
      <c r="G31" s="75">
        <v>806</v>
      </c>
      <c r="H31" s="75">
        <v>806</v>
      </c>
      <c r="I31" s="75"/>
      <c r="J31" s="75">
        <v>0</v>
      </c>
      <c r="K31" s="72">
        <f t="shared" si="5"/>
        <v>0</v>
      </c>
      <c r="L31" s="72">
        <f t="shared" si="6"/>
        <v>0</v>
      </c>
      <c r="M31" s="75">
        <v>0</v>
      </c>
      <c r="N31" s="75">
        <v>0</v>
      </c>
      <c r="O31" s="75">
        <v>0</v>
      </c>
      <c r="P31" s="75">
        <v>0</v>
      </c>
      <c r="Q31" s="75"/>
      <c r="R31" s="75"/>
      <c r="S31" s="75"/>
      <c r="T31" s="3"/>
    </row>
    <row r="32" spans="1:20" ht="14.25" customHeight="1">
      <c r="A32" s="37" t="s">
        <v>625</v>
      </c>
      <c r="B32" s="40" t="s">
        <v>28</v>
      </c>
      <c r="C32" s="19" t="s">
        <v>19</v>
      </c>
      <c r="D32" s="75">
        <v>243</v>
      </c>
      <c r="E32" s="75">
        <v>225</v>
      </c>
      <c r="F32" s="75">
        <v>243</v>
      </c>
      <c r="G32" s="75">
        <v>243</v>
      </c>
      <c r="H32" s="75">
        <v>243</v>
      </c>
      <c r="I32" s="75">
        <v>276</v>
      </c>
      <c r="J32" s="75">
        <v>276</v>
      </c>
      <c r="K32" s="72">
        <f t="shared" si="5"/>
        <v>0</v>
      </c>
      <c r="L32" s="72">
        <f t="shared" si="6"/>
        <v>276</v>
      </c>
      <c r="M32" s="75">
        <v>70</v>
      </c>
      <c r="N32" s="75">
        <v>70</v>
      </c>
      <c r="O32" s="75">
        <v>60</v>
      </c>
      <c r="P32" s="75">
        <v>76</v>
      </c>
      <c r="Q32" s="75">
        <v>284</v>
      </c>
      <c r="R32" s="75">
        <v>292</v>
      </c>
      <c r="S32" s="75">
        <v>300</v>
      </c>
      <c r="T32" s="3"/>
    </row>
    <row r="33" spans="1:23" ht="7.5" hidden="1" customHeight="1">
      <c r="A33" s="37" t="s">
        <v>29</v>
      </c>
      <c r="B33" s="39" t="s">
        <v>30</v>
      </c>
      <c r="C33" s="19"/>
      <c r="D33" s="75"/>
      <c r="E33" s="75"/>
      <c r="F33" s="75"/>
      <c r="G33" s="75"/>
      <c r="H33" s="75"/>
      <c r="I33" s="75"/>
      <c r="J33" s="75"/>
      <c r="K33" s="72">
        <f t="shared" si="5"/>
        <v>0</v>
      </c>
      <c r="L33" s="72">
        <f t="shared" si="6"/>
        <v>0</v>
      </c>
      <c r="M33" s="75"/>
      <c r="N33" s="75"/>
      <c r="O33" s="75"/>
      <c r="P33" s="75"/>
      <c r="Q33" s="73"/>
      <c r="R33" s="73"/>
      <c r="S33" s="73"/>
      <c r="T33" s="3"/>
    </row>
    <row r="34" spans="1:23" ht="14.25" customHeight="1">
      <c r="A34" s="41">
        <v>2</v>
      </c>
      <c r="B34" s="33" t="s">
        <v>31</v>
      </c>
      <c r="C34" s="19" t="s">
        <v>32</v>
      </c>
      <c r="D34" s="77">
        <f>11941-3300+700</f>
        <v>9341</v>
      </c>
      <c r="E34" s="77">
        <v>9677</v>
      </c>
      <c r="F34" s="77">
        <v>5591</v>
      </c>
      <c r="G34" s="77">
        <v>5591</v>
      </c>
      <c r="H34" s="77">
        <v>5591</v>
      </c>
      <c r="I34" s="404">
        <v>10832</v>
      </c>
      <c r="J34" s="404">
        <f>10832+2000</f>
        <v>12832</v>
      </c>
      <c r="K34" s="396">
        <f t="shared" si="5"/>
        <v>0</v>
      </c>
      <c r="L34" s="396">
        <f t="shared" si="6"/>
        <v>12832</v>
      </c>
      <c r="M34" s="404">
        <f>5500-1700</f>
        <v>3800</v>
      </c>
      <c r="N34" s="404">
        <f>3000+200</f>
        <v>3200</v>
      </c>
      <c r="O34" s="404">
        <f>3000+50</f>
        <v>3050</v>
      </c>
      <c r="P34" s="404">
        <f>1332+1500-50</f>
        <v>2782</v>
      </c>
      <c r="Q34" s="405">
        <v>12916</v>
      </c>
      <c r="R34" s="405">
        <v>12916</v>
      </c>
      <c r="S34" s="405">
        <v>12916</v>
      </c>
      <c r="T34" s="3"/>
      <c r="U34" s="3"/>
      <c r="V34" s="3"/>
      <c r="W34" s="3"/>
    </row>
    <row r="35" spans="1:23" ht="13.5" customHeight="1">
      <c r="A35" s="41">
        <v>3</v>
      </c>
      <c r="B35" s="38" t="s">
        <v>883</v>
      </c>
      <c r="C35" s="19" t="s">
        <v>34</v>
      </c>
      <c r="D35" s="77">
        <v>101484</v>
      </c>
      <c r="E35" s="77">
        <v>20003</v>
      </c>
      <c r="F35" s="77">
        <v>103636</v>
      </c>
      <c r="G35" s="77">
        <v>103636</v>
      </c>
      <c r="H35" s="77">
        <v>103636</v>
      </c>
      <c r="I35" s="404">
        <v>50174</v>
      </c>
      <c r="J35" s="404">
        <v>50174</v>
      </c>
      <c r="K35" s="396">
        <f t="shared" si="5"/>
        <v>0</v>
      </c>
      <c r="L35" s="396">
        <f t="shared" si="6"/>
        <v>50174</v>
      </c>
      <c r="M35" s="404">
        <f>13000+555</f>
        <v>13555</v>
      </c>
      <c r="N35" s="404">
        <f>13000+52</f>
        <v>13052</v>
      </c>
      <c r="O35" s="404">
        <f>13000-2263</f>
        <v>10737</v>
      </c>
      <c r="P35" s="404">
        <f>11174+1656</f>
        <v>12830</v>
      </c>
      <c r="Q35" s="405">
        <v>30287</v>
      </c>
      <c r="R35" s="405">
        <v>17413</v>
      </c>
      <c r="S35" s="405">
        <v>16875</v>
      </c>
      <c r="T35" s="3"/>
      <c r="U35" s="3"/>
      <c r="V35" s="3"/>
      <c r="W35" s="3"/>
    </row>
    <row r="36" spans="1:23" ht="14.25" hidden="1" customHeight="1">
      <c r="A36" s="41"/>
      <c r="B36" s="40"/>
      <c r="C36" s="19"/>
      <c r="D36" s="75"/>
      <c r="E36" s="75"/>
      <c r="F36" s="75"/>
      <c r="G36" s="75"/>
      <c r="H36" s="75"/>
      <c r="I36" s="400"/>
      <c r="J36" s="400"/>
      <c r="K36" s="396">
        <f t="shared" si="5"/>
        <v>0</v>
      </c>
      <c r="L36" s="396">
        <f t="shared" si="6"/>
        <v>0</v>
      </c>
      <c r="M36" s="400"/>
      <c r="N36" s="400"/>
      <c r="O36" s="400"/>
      <c r="P36" s="400"/>
      <c r="Q36" s="399"/>
      <c r="R36" s="399"/>
      <c r="S36" s="399"/>
      <c r="T36" s="3"/>
    </row>
    <row r="37" spans="1:23" ht="14.25" customHeight="1">
      <c r="A37" s="26" t="s">
        <v>35</v>
      </c>
      <c r="B37" s="33" t="s">
        <v>810</v>
      </c>
      <c r="C37" s="92"/>
      <c r="D37" s="74">
        <f t="shared" ref="D37:J37" si="32">D38+D42+D49+D56+D59+D64+D54+D67</f>
        <v>9774.8799999999992</v>
      </c>
      <c r="E37" s="74">
        <f t="shared" si="32"/>
        <v>8982</v>
      </c>
      <c r="F37" s="74">
        <f t="shared" si="32"/>
        <v>9603</v>
      </c>
      <c r="G37" s="74">
        <f t="shared" si="32"/>
        <v>9783.32</v>
      </c>
      <c r="H37" s="74">
        <f t="shared" si="32"/>
        <v>9603</v>
      </c>
      <c r="I37" s="398">
        <f t="shared" si="32"/>
        <v>3400</v>
      </c>
      <c r="J37" s="398">
        <f t="shared" si="32"/>
        <v>9700</v>
      </c>
      <c r="K37" s="396">
        <f t="shared" si="5"/>
        <v>0</v>
      </c>
      <c r="L37" s="396">
        <f t="shared" si="6"/>
        <v>9700</v>
      </c>
      <c r="M37" s="398">
        <f t="shared" ref="M37" si="33">M38+M42+M49+M56+M59+M64+M54+M67</f>
        <v>1733</v>
      </c>
      <c r="N37" s="398">
        <f t="shared" ref="N37" si="34">N38+N42+N49+N56+N59+N64+N54+N67</f>
        <v>3124</v>
      </c>
      <c r="O37" s="398">
        <f t="shared" ref="O37:P37" si="35">O38+O42+O49+O56+O59+O64+O54+O67</f>
        <v>1719</v>
      </c>
      <c r="P37" s="398">
        <f t="shared" si="35"/>
        <v>3124</v>
      </c>
      <c r="Q37" s="398">
        <f>Q38+Q42+Q49+Q56+Q59+Q64+Q54+Q67</f>
        <v>10053</v>
      </c>
      <c r="R37" s="398">
        <f>R38+R42+R49+R56+R59+R64+R54+R67</f>
        <v>10355</v>
      </c>
      <c r="S37" s="398">
        <f>S38+S42+S49+S56+S59+S64+S54+S67</f>
        <v>10660</v>
      </c>
      <c r="T37" s="3"/>
    </row>
    <row r="38" spans="1:23" ht="28.5" customHeight="1">
      <c r="A38" s="41">
        <v>1</v>
      </c>
      <c r="B38" s="38" t="s">
        <v>36</v>
      </c>
      <c r="C38" s="19">
        <v>16.02</v>
      </c>
      <c r="D38" s="78">
        <f t="shared" ref="D38:S38" si="36">D39+D41+D40</f>
        <v>4010</v>
      </c>
      <c r="E38" s="78">
        <f t="shared" si="36"/>
        <v>2843</v>
      </c>
      <c r="F38" s="78">
        <f t="shared" si="36"/>
        <v>3498</v>
      </c>
      <c r="G38" s="78">
        <f t="shared" si="36"/>
        <v>4010</v>
      </c>
      <c r="H38" s="78">
        <f t="shared" si="36"/>
        <v>3498</v>
      </c>
      <c r="I38" s="406">
        <f t="shared" si="36"/>
        <v>3400</v>
      </c>
      <c r="J38" s="406">
        <f t="shared" si="36"/>
        <v>3400</v>
      </c>
      <c r="K38" s="396">
        <f t="shared" si="5"/>
        <v>0</v>
      </c>
      <c r="L38" s="396">
        <f t="shared" si="6"/>
        <v>3400</v>
      </c>
      <c r="M38" s="406">
        <f t="shared" ref="M38" si="37">M39+M41+M40</f>
        <v>858</v>
      </c>
      <c r="N38" s="406">
        <f t="shared" ref="N38" si="38">N39+N41+N40</f>
        <v>848</v>
      </c>
      <c r="O38" s="406">
        <f t="shared" ref="O38:P38" si="39">O39+O41+O40</f>
        <v>844</v>
      </c>
      <c r="P38" s="406">
        <f t="shared" si="39"/>
        <v>850</v>
      </c>
      <c r="Q38" s="406">
        <f t="shared" si="36"/>
        <v>3560</v>
      </c>
      <c r="R38" s="406">
        <f t="shared" si="36"/>
        <v>3670</v>
      </c>
      <c r="S38" s="406">
        <f t="shared" si="36"/>
        <v>3780</v>
      </c>
      <c r="T38" s="3"/>
    </row>
    <row r="39" spans="1:23" ht="14.25" customHeight="1">
      <c r="A39" s="41"/>
      <c r="B39" s="40" t="s">
        <v>37</v>
      </c>
      <c r="C39" s="19" t="s">
        <v>38</v>
      </c>
      <c r="D39" s="75">
        <v>200</v>
      </c>
      <c r="E39" s="75">
        <v>159</v>
      </c>
      <c r="F39" s="75">
        <v>173</v>
      </c>
      <c r="G39" s="75">
        <v>200</v>
      </c>
      <c r="H39" s="75">
        <v>173</v>
      </c>
      <c r="I39" s="75">
        <v>200</v>
      </c>
      <c r="J39" s="75">
        <v>200</v>
      </c>
      <c r="K39" s="72">
        <f t="shared" si="5"/>
        <v>0</v>
      </c>
      <c r="L39" s="72">
        <f t="shared" si="6"/>
        <v>200</v>
      </c>
      <c r="M39" s="75">
        <v>50</v>
      </c>
      <c r="N39" s="75">
        <v>50</v>
      </c>
      <c r="O39" s="75">
        <v>50</v>
      </c>
      <c r="P39" s="75">
        <v>50</v>
      </c>
      <c r="Q39" s="73">
        <v>210</v>
      </c>
      <c r="R39" s="73">
        <v>220</v>
      </c>
      <c r="S39" s="73">
        <v>230</v>
      </c>
      <c r="T39" s="3"/>
    </row>
    <row r="40" spans="1:23" ht="15">
      <c r="A40" s="41"/>
      <c r="B40" s="39" t="s">
        <v>39</v>
      </c>
      <c r="C40" s="19" t="s">
        <v>40</v>
      </c>
      <c r="D40" s="75">
        <v>3000</v>
      </c>
      <c r="E40" s="75">
        <v>2454</v>
      </c>
      <c r="F40" s="75">
        <v>2603</v>
      </c>
      <c r="G40" s="75">
        <v>3000</v>
      </c>
      <c r="H40" s="75">
        <v>2603</v>
      </c>
      <c r="I40" s="75">
        <v>2700</v>
      </c>
      <c r="J40" s="75">
        <v>2700</v>
      </c>
      <c r="K40" s="72">
        <f t="shared" si="5"/>
        <v>0</v>
      </c>
      <c r="L40" s="72">
        <f t="shared" si="6"/>
        <v>2700</v>
      </c>
      <c r="M40" s="75">
        <f>675+8</f>
        <v>683</v>
      </c>
      <c r="N40" s="75">
        <f>675-2</f>
        <v>673</v>
      </c>
      <c r="O40" s="75">
        <f>675-6</f>
        <v>669</v>
      </c>
      <c r="P40" s="75">
        <v>675</v>
      </c>
      <c r="Q40" s="73">
        <v>2800</v>
      </c>
      <c r="R40" s="73">
        <v>2850</v>
      </c>
      <c r="S40" s="73">
        <v>2900</v>
      </c>
      <c r="T40" s="3"/>
    </row>
    <row r="41" spans="1:23" ht="30">
      <c r="A41" s="41"/>
      <c r="B41" s="39" t="s">
        <v>41</v>
      </c>
      <c r="C41" s="19" t="s">
        <v>42</v>
      </c>
      <c r="D41" s="75">
        <f>230+580</f>
        <v>810</v>
      </c>
      <c r="E41" s="75">
        <v>230</v>
      </c>
      <c r="F41" s="75">
        <v>722</v>
      </c>
      <c r="G41" s="75">
        <v>810</v>
      </c>
      <c r="H41" s="75">
        <v>722</v>
      </c>
      <c r="I41" s="75">
        <v>500</v>
      </c>
      <c r="J41" s="75">
        <v>500</v>
      </c>
      <c r="K41" s="72">
        <f t="shared" si="5"/>
        <v>0</v>
      </c>
      <c r="L41" s="72">
        <f t="shared" si="6"/>
        <v>500</v>
      </c>
      <c r="M41" s="75">
        <v>125</v>
      </c>
      <c r="N41" s="75">
        <v>125</v>
      </c>
      <c r="O41" s="75">
        <v>125</v>
      </c>
      <c r="P41" s="75">
        <v>125</v>
      </c>
      <c r="Q41" s="73">
        <v>550</v>
      </c>
      <c r="R41" s="73">
        <v>600</v>
      </c>
      <c r="S41" s="73">
        <v>650</v>
      </c>
      <c r="T41" s="3"/>
    </row>
    <row r="42" spans="1:23" ht="12" customHeight="1">
      <c r="A42" s="41">
        <v>2</v>
      </c>
      <c r="B42" s="33" t="s">
        <v>906</v>
      </c>
      <c r="C42" s="19" t="s">
        <v>44</v>
      </c>
      <c r="D42" s="78">
        <f t="shared" ref="D42:S42" si="40">D43+D44+D45+D46+D47</f>
        <v>3900</v>
      </c>
      <c r="E42" s="78">
        <f t="shared" si="40"/>
        <v>3902</v>
      </c>
      <c r="F42" s="78">
        <f t="shared" si="40"/>
        <v>4008</v>
      </c>
      <c r="G42" s="78">
        <f t="shared" si="40"/>
        <v>3900</v>
      </c>
      <c r="H42" s="78">
        <f t="shared" si="40"/>
        <v>4008</v>
      </c>
      <c r="I42" s="78">
        <f t="shared" si="40"/>
        <v>0</v>
      </c>
      <c r="J42" s="78">
        <f t="shared" si="40"/>
        <v>4100</v>
      </c>
      <c r="K42" s="72">
        <f t="shared" si="5"/>
        <v>0</v>
      </c>
      <c r="L42" s="72">
        <f t="shared" si="6"/>
        <v>4100</v>
      </c>
      <c r="M42" s="78">
        <f t="shared" ref="M42" si="41">M43+M44+M45+M46+M47</f>
        <v>325</v>
      </c>
      <c r="N42" s="78">
        <f t="shared" ref="N42" si="42">N43+N44+N45+N46+N47</f>
        <v>1725</v>
      </c>
      <c r="O42" s="78">
        <f t="shared" ref="O42:P42" si="43">O43+O44+O45+O46+O47</f>
        <v>325</v>
      </c>
      <c r="P42" s="78">
        <f t="shared" si="43"/>
        <v>1725</v>
      </c>
      <c r="Q42" s="78">
        <f t="shared" si="40"/>
        <v>4160</v>
      </c>
      <c r="R42" s="78">
        <f t="shared" si="40"/>
        <v>4220</v>
      </c>
      <c r="S42" s="78">
        <f t="shared" si="40"/>
        <v>4280</v>
      </c>
      <c r="T42" s="3"/>
    </row>
    <row r="43" spans="1:23" ht="15.75" hidden="1" customHeight="1">
      <c r="A43" s="41"/>
      <c r="B43" s="40" t="s">
        <v>45</v>
      </c>
      <c r="C43" s="19" t="s">
        <v>46</v>
      </c>
      <c r="D43" s="75">
        <v>0</v>
      </c>
      <c r="E43" s="75"/>
      <c r="F43" s="75"/>
      <c r="G43" s="75"/>
      <c r="H43" s="75"/>
      <c r="I43" s="75"/>
      <c r="J43" s="75"/>
      <c r="K43" s="72">
        <f t="shared" si="5"/>
        <v>0</v>
      </c>
      <c r="L43" s="72">
        <f t="shared" si="6"/>
        <v>0</v>
      </c>
      <c r="M43" s="75"/>
      <c r="N43" s="75"/>
      <c r="O43" s="75"/>
      <c r="P43" s="75"/>
      <c r="Q43" s="73"/>
      <c r="R43" s="73"/>
      <c r="S43" s="73"/>
      <c r="T43" s="3"/>
    </row>
    <row r="44" spans="1:23" ht="16.5" hidden="1" customHeight="1">
      <c r="A44" s="41"/>
      <c r="B44" s="40" t="s">
        <v>47</v>
      </c>
      <c r="C44" s="19" t="s">
        <v>48</v>
      </c>
      <c r="D44" s="75">
        <v>0</v>
      </c>
      <c r="E44" s="75"/>
      <c r="F44" s="75"/>
      <c r="G44" s="75"/>
      <c r="H44" s="75"/>
      <c r="I44" s="75"/>
      <c r="J44" s="75"/>
      <c r="K44" s="72">
        <f t="shared" si="5"/>
        <v>0</v>
      </c>
      <c r="L44" s="72">
        <f t="shared" si="6"/>
        <v>0</v>
      </c>
      <c r="M44" s="75"/>
      <c r="N44" s="75"/>
      <c r="O44" s="75"/>
      <c r="P44" s="75"/>
      <c r="Q44" s="73"/>
      <c r="R44" s="73"/>
      <c r="S44" s="73"/>
      <c r="T44" s="3"/>
    </row>
    <row r="45" spans="1:23" ht="16.5" customHeight="1">
      <c r="A45" s="41"/>
      <c r="B45" s="40" t="s">
        <v>49</v>
      </c>
      <c r="C45" s="19" t="s">
        <v>50</v>
      </c>
      <c r="D45" s="75">
        <v>3800</v>
      </c>
      <c r="E45" s="75">
        <v>3800</v>
      </c>
      <c r="F45" s="197">
        <v>3934</v>
      </c>
      <c r="G45" s="75">
        <v>3800</v>
      </c>
      <c r="H45" s="75">
        <v>3934</v>
      </c>
      <c r="I45" s="75"/>
      <c r="J45" s="75">
        <v>4000</v>
      </c>
      <c r="K45" s="72">
        <f t="shared" si="5"/>
        <v>0</v>
      </c>
      <c r="L45" s="72">
        <f t="shared" si="6"/>
        <v>4000</v>
      </c>
      <c r="M45" s="75">
        <v>300</v>
      </c>
      <c r="N45" s="75">
        <v>1700</v>
      </c>
      <c r="O45" s="75">
        <v>300</v>
      </c>
      <c r="P45" s="75">
        <v>1700</v>
      </c>
      <c r="Q45" s="73">
        <v>4050</v>
      </c>
      <c r="R45" s="73">
        <v>4100</v>
      </c>
      <c r="S45" s="73">
        <v>4150</v>
      </c>
      <c r="T45" s="3"/>
    </row>
    <row r="46" spans="1:23" ht="12.75" customHeight="1">
      <c r="A46" s="41"/>
      <c r="B46" s="40" t="s">
        <v>51</v>
      </c>
      <c r="C46" s="19" t="s">
        <v>52</v>
      </c>
      <c r="D46" s="75">
        <v>0</v>
      </c>
      <c r="E46" s="75"/>
      <c r="F46" s="75"/>
      <c r="G46" s="75"/>
      <c r="H46" s="75"/>
      <c r="I46" s="75"/>
      <c r="J46" s="75"/>
      <c r="K46" s="72">
        <f t="shared" si="5"/>
        <v>0</v>
      </c>
      <c r="L46" s="72">
        <f t="shared" si="6"/>
        <v>0</v>
      </c>
      <c r="M46" s="75"/>
      <c r="N46" s="75"/>
      <c r="O46" s="75"/>
      <c r="P46" s="75"/>
      <c r="Q46" s="73"/>
      <c r="R46" s="73"/>
      <c r="S46" s="73"/>
      <c r="T46" s="3"/>
    </row>
    <row r="47" spans="1:23" ht="15" customHeight="1">
      <c r="A47" s="41"/>
      <c r="B47" s="40" t="s">
        <v>53</v>
      </c>
      <c r="C47" s="19" t="s">
        <v>54</v>
      </c>
      <c r="D47" s="78">
        <f t="shared" ref="D47:S47" si="44">D48</f>
        <v>100</v>
      </c>
      <c r="E47" s="78">
        <f t="shared" si="44"/>
        <v>102</v>
      </c>
      <c r="F47" s="78">
        <f t="shared" si="44"/>
        <v>74</v>
      </c>
      <c r="G47" s="78">
        <f t="shared" si="44"/>
        <v>100</v>
      </c>
      <c r="H47" s="78">
        <f t="shared" si="44"/>
        <v>74</v>
      </c>
      <c r="I47" s="78">
        <f t="shared" si="44"/>
        <v>0</v>
      </c>
      <c r="J47" s="78">
        <f t="shared" si="44"/>
        <v>100</v>
      </c>
      <c r="K47" s="72">
        <f t="shared" si="5"/>
        <v>0</v>
      </c>
      <c r="L47" s="72">
        <f t="shared" si="6"/>
        <v>100</v>
      </c>
      <c r="M47" s="78">
        <f t="shared" si="44"/>
        <v>25</v>
      </c>
      <c r="N47" s="78">
        <f t="shared" si="44"/>
        <v>25</v>
      </c>
      <c r="O47" s="78">
        <f t="shared" si="44"/>
        <v>25</v>
      </c>
      <c r="P47" s="78">
        <f t="shared" si="44"/>
        <v>25</v>
      </c>
      <c r="Q47" s="78">
        <f t="shared" si="44"/>
        <v>110</v>
      </c>
      <c r="R47" s="78">
        <f t="shared" si="44"/>
        <v>120</v>
      </c>
      <c r="S47" s="78">
        <f t="shared" si="44"/>
        <v>130</v>
      </c>
      <c r="T47" s="3"/>
    </row>
    <row r="48" spans="1:23" ht="12.75" customHeight="1">
      <c r="A48" s="41"/>
      <c r="B48" s="40" t="s">
        <v>55</v>
      </c>
      <c r="C48" s="19" t="s">
        <v>56</v>
      </c>
      <c r="D48" s="75">
        <v>100</v>
      </c>
      <c r="E48" s="75">
        <v>102</v>
      </c>
      <c r="F48" s="75">
        <v>74</v>
      </c>
      <c r="G48" s="75">
        <v>100</v>
      </c>
      <c r="H48" s="75">
        <v>74</v>
      </c>
      <c r="I48" s="75"/>
      <c r="J48" s="75">
        <v>100</v>
      </c>
      <c r="K48" s="72">
        <f t="shared" si="5"/>
        <v>0</v>
      </c>
      <c r="L48" s="72">
        <f t="shared" si="6"/>
        <v>100</v>
      </c>
      <c r="M48" s="75">
        <v>25</v>
      </c>
      <c r="N48" s="75">
        <v>25</v>
      </c>
      <c r="O48" s="75">
        <v>25</v>
      </c>
      <c r="P48" s="75">
        <v>25</v>
      </c>
      <c r="Q48" s="73">
        <v>110</v>
      </c>
      <c r="R48" s="73">
        <v>120</v>
      </c>
      <c r="S48" s="73">
        <v>130</v>
      </c>
      <c r="T48" s="3"/>
    </row>
    <row r="49" spans="1:23" ht="14.25">
      <c r="A49" s="41">
        <v>3</v>
      </c>
      <c r="B49" s="33" t="s">
        <v>57</v>
      </c>
      <c r="C49" s="19">
        <v>33.020000000000003</v>
      </c>
      <c r="D49" s="78">
        <f t="shared" ref="D49:S49" si="45">D51+D52+D53+D50</f>
        <v>1728</v>
      </c>
      <c r="E49" s="78">
        <f t="shared" si="45"/>
        <v>1449</v>
      </c>
      <c r="F49" s="78">
        <f t="shared" si="45"/>
        <v>1395</v>
      </c>
      <c r="G49" s="78">
        <f t="shared" si="45"/>
        <v>1728</v>
      </c>
      <c r="H49" s="78">
        <f t="shared" si="45"/>
        <v>1395</v>
      </c>
      <c r="I49" s="78">
        <f t="shared" si="45"/>
        <v>0</v>
      </c>
      <c r="J49" s="78">
        <f t="shared" si="45"/>
        <v>1935</v>
      </c>
      <c r="K49" s="72">
        <f t="shared" si="5"/>
        <v>0</v>
      </c>
      <c r="L49" s="72">
        <f t="shared" si="6"/>
        <v>1935</v>
      </c>
      <c r="M49" s="78">
        <f t="shared" ref="M49" si="46">M51+M52+M53+M50</f>
        <v>484</v>
      </c>
      <c r="N49" s="78">
        <f t="shared" ref="N49" si="47">N51+N52+N53+N50</f>
        <v>484</v>
      </c>
      <c r="O49" s="78">
        <f t="shared" ref="O49:P49" si="48">O51+O52+O53+O50</f>
        <v>484</v>
      </c>
      <c r="P49" s="78">
        <f t="shared" si="48"/>
        <v>483</v>
      </c>
      <c r="Q49" s="78">
        <f t="shared" si="45"/>
        <v>2043</v>
      </c>
      <c r="R49" s="78">
        <f t="shared" si="45"/>
        <v>2150</v>
      </c>
      <c r="S49" s="78">
        <f t="shared" si="45"/>
        <v>2260</v>
      </c>
      <c r="T49" s="3"/>
    </row>
    <row r="50" spans="1:23" ht="15">
      <c r="A50" s="41"/>
      <c r="B50" s="40" t="s">
        <v>593</v>
      </c>
      <c r="C50" s="19" t="s">
        <v>434</v>
      </c>
      <c r="D50" s="75">
        <f>1400+880-580</f>
        <v>1700</v>
      </c>
      <c r="E50" s="75">
        <v>1428</v>
      </c>
      <c r="F50" s="75">
        <v>1371</v>
      </c>
      <c r="G50" s="75">
        <v>1700</v>
      </c>
      <c r="H50" s="75">
        <v>1371</v>
      </c>
      <c r="I50" s="75"/>
      <c r="J50" s="75">
        <v>1900</v>
      </c>
      <c r="K50" s="72">
        <f t="shared" si="5"/>
        <v>0</v>
      </c>
      <c r="L50" s="72">
        <f t="shared" si="6"/>
        <v>1900</v>
      </c>
      <c r="M50" s="75">
        <v>475</v>
      </c>
      <c r="N50" s="75">
        <v>475</v>
      </c>
      <c r="O50" s="75">
        <v>475</v>
      </c>
      <c r="P50" s="75">
        <v>475</v>
      </c>
      <c r="Q50" s="75">
        <v>2000</v>
      </c>
      <c r="R50" s="75">
        <v>2100</v>
      </c>
      <c r="S50" s="75">
        <v>2200</v>
      </c>
      <c r="T50" s="3"/>
    </row>
    <row r="51" spans="1:23" ht="14.25" customHeight="1">
      <c r="A51" s="41"/>
      <c r="B51" s="40" t="s">
        <v>58</v>
      </c>
      <c r="C51" s="19" t="s">
        <v>59</v>
      </c>
      <c r="D51" s="75">
        <v>16</v>
      </c>
      <c r="E51" s="75">
        <v>17</v>
      </c>
      <c r="F51" s="75">
        <v>14</v>
      </c>
      <c r="G51" s="75">
        <v>16</v>
      </c>
      <c r="H51" s="75">
        <v>14</v>
      </c>
      <c r="I51" s="75"/>
      <c r="J51" s="75">
        <v>20</v>
      </c>
      <c r="K51" s="72">
        <f t="shared" si="5"/>
        <v>0</v>
      </c>
      <c r="L51" s="72">
        <f t="shared" si="6"/>
        <v>20</v>
      </c>
      <c r="M51" s="75">
        <v>5</v>
      </c>
      <c r="N51" s="75">
        <v>5</v>
      </c>
      <c r="O51" s="75">
        <v>5</v>
      </c>
      <c r="P51" s="75">
        <v>5</v>
      </c>
      <c r="Q51" s="73">
        <v>25</v>
      </c>
      <c r="R51" s="73">
        <v>30</v>
      </c>
      <c r="S51" s="73">
        <v>35</v>
      </c>
      <c r="T51" s="3"/>
    </row>
    <row r="52" spans="1:23" ht="14.25" hidden="1" customHeight="1">
      <c r="A52" s="41"/>
      <c r="B52" s="40" t="s">
        <v>60</v>
      </c>
      <c r="C52" s="19" t="s">
        <v>61</v>
      </c>
      <c r="D52" s="75"/>
      <c r="E52" s="75"/>
      <c r="F52" s="75"/>
      <c r="G52" s="75"/>
      <c r="H52" s="75"/>
      <c r="I52" s="75"/>
      <c r="J52" s="75"/>
      <c r="K52" s="72">
        <f t="shared" si="5"/>
        <v>0</v>
      </c>
      <c r="L52" s="72">
        <f t="shared" si="6"/>
        <v>0</v>
      </c>
      <c r="M52" s="75"/>
      <c r="N52" s="75"/>
      <c r="O52" s="75"/>
      <c r="P52" s="75"/>
      <c r="Q52" s="73"/>
      <c r="R52" s="73"/>
      <c r="S52" s="73"/>
      <c r="T52" s="3"/>
    </row>
    <row r="53" spans="1:23" ht="14.25" customHeight="1">
      <c r="A53" s="41"/>
      <c r="B53" s="40" t="s">
        <v>57</v>
      </c>
      <c r="C53" s="19" t="s">
        <v>62</v>
      </c>
      <c r="D53" s="75">
        <v>12</v>
      </c>
      <c r="E53" s="75">
        <v>4</v>
      </c>
      <c r="F53" s="75">
        <v>10</v>
      </c>
      <c r="G53" s="75">
        <v>12</v>
      </c>
      <c r="H53" s="75">
        <v>10</v>
      </c>
      <c r="I53" s="75"/>
      <c r="J53" s="75">
        <v>15</v>
      </c>
      <c r="K53" s="72">
        <f t="shared" si="5"/>
        <v>0</v>
      </c>
      <c r="L53" s="72">
        <f t="shared" si="6"/>
        <v>15</v>
      </c>
      <c r="M53" s="75">
        <v>4</v>
      </c>
      <c r="N53" s="75">
        <v>4</v>
      </c>
      <c r="O53" s="75">
        <v>4</v>
      </c>
      <c r="P53" s="75">
        <v>3</v>
      </c>
      <c r="Q53" s="73">
        <v>18</v>
      </c>
      <c r="R53" s="73">
        <v>20</v>
      </c>
      <c r="S53" s="73">
        <v>25</v>
      </c>
      <c r="T53" s="3"/>
    </row>
    <row r="54" spans="1:23" ht="14.25" customHeight="1">
      <c r="A54" s="41">
        <v>4</v>
      </c>
      <c r="B54" s="33" t="s">
        <v>63</v>
      </c>
      <c r="C54" s="19">
        <v>35.020000000000003</v>
      </c>
      <c r="D54" s="139">
        <f t="shared" ref="D54:S54" si="49">D55</f>
        <v>40</v>
      </c>
      <c r="E54" s="139">
        <f t="shared" si="49"/>
        <v>34</v>
      </c>
      <c r="F54" s="139">
        <f t="shared" si="49"/>
        <v>51</v>
      </c>
      <c r="G54" s="139">
        <f t="shared" si="49"/>
        <v>40</v>
      </c>
      <c r="H54" s="139">
        <f t="shared" si="49"/>
        <v>51</v>
      </c>
      <c r="I54" s="139">
        <f t="shared" si="49"/>
        <v>0</v>
      </c>
      <c r="J54" s="139">
        <f t="shared" si="49"/>
        <v>65</v>
      </c>
      <c r="K54" s="72">
        <f t="shared" si="5"/>
        <v>0</v>
      </c>
      <c r="L54" s="72">
        <f t="shared" si="6"/>
        <v>65</v>
      </c>
      <c r="M54" s="139">
        <f t="shared" si="49"/>
        <v>16</v>
      </c>
      <c r="N54" s="139">
        <f t="shared" si="49"/>
        <v>17</v>
      </c>
      <c r="O54" s="139">
        <f t="shared" si="49"/>
        <v>16</v>
      </c>
      <c r="P54" s="139">
        <f t="shared" si="49"/>
        <v>16</v>
      </c>
      <c r="Q54" s="139">
        <f t="shared" si="49"/>
        <v>80</v>
      </c>
      <c r="R54" s="139">
        <f t="shared" si="49"/>
        <v>95</v>
      </c>
      <c r="S54" s="139">
        <f t="shared" si="49"/>
        <v>110</v>
      </c>
      <c r="T54" s="3"/>
    </row>
    <row r="55" spans="1:23" ht="15" customHeight="1">
      <c r="A55" s="41"/>
      <c r="B55" s="40" t="s">
        <v>64</v>
      </c>
      <c r="C55" s="19" t="s">
        <v>65</v>
      </c>
      <c r="D55" s="75">
        <v>40</v>
      </c>
      <c r="E55" s="75">
        <v>34</v>
      </c>
      <c r="F55" s="197">
        <v>51</v>
      </c>
      <c r="G55" s="75">
        <v>40</v>
      </c>
      <c r="H55" s="75">
        <v>51</v>
      </c>
      <c r="I55" s="75">
        <v>0</v>
      </c>
      <c r="J55" s="75">
        <v>65</v>
      </c>
      <c r="K55" s="72">
        <f t="shared" si="5"/>
        <v>0</v>
      </c>
      <c r="L55" s="72">
        <f t="shared" si="6"/>
        <v>65</v>
      </c>
      <c r="M55" s="75">
        <v>16</v>
      </c>
      <c r="N55" s="75">
        <v>17</v>
      </c>
      <c r="O55" s="75">
        <v>16</v>
      </c>
      <c r="P55" s="75">
        <v>16</v>
      </c>
      <c r="Q55" s="73">
        <v>80</v>
      </c>
      <c r="R55" s="73">
        <v>95</v>
      </c>
      <c r="S55" s="73">
        <v>110</v>
      </c>
      <c r="T55" s="3"/>
    </row>
    <row r="56" spans="1:23" ht="13.5" customHeight="1">
      <c r="A56" s="41">
        <v>5</v>
      </c>
      <c r="B56" s="33" t="s">
        <v>66</v>
      </c>
      <c r="C56" s="19">
        <v>36.020000000000003</v>
      </c>
      <c r="D56" s="139">
        <f t="shared" ref="D56:S56" si="50">D57+D58</f>
        <v>50</v>
      </c>
      <c r="E56" s="139">
        <f t="shared" si="50"/>
        <v>48</v>
      </c>
      <c r="F56" s="139">
        <f t="shared" si="50"/>
        <v>173</v>
      </c>
      <c r="G56" s="139">
        <f t="shared" si="50"/>
        <v>50</v>
      </c>
      <c r="H56" s="139">
        <f t="shared" si="50"/>
        <v>173</v>
      </c>
      <c r="I56" s="139">
        <f t="shared" si="50"/>
        <v>0</v>
      </c>
      <c r="J56" s="139">
        <f t="shared" si="50"/>
        <v>200</v>
      </c>
      <c r="K56" s="72">
        <f t="shared" si="5"/>
        <v>0</v>
      </c>
      <c r="L56" s="72">
        <f t="shared" si="6"/>
        <v>200</v>
      </c>
      <c r="M56" s="139">
        <f t="shared" ref="M56" si="51">M57+M58</f>
        <v>50</v>
      </c>
      <c r="N56" s="139">
        <f t="shared" ref="N56" si="52">N57+N58</f>
        <v>50</v>
      </c>
      <c r="O56" s="139">
        <f t="shared" ref="O56:P56" si="53">O57+O58</f>
        <v>50</v>
      </c>
      <c r="P56" s="139">
        <f t="shared" si="53"/>
        <v>50</v>
      </c>
      <c r="Q56" s="139">
        <f t="shared" si="50"/>
        <v>210</v>
      </c>
      <c r="R56" s="139">
        <f t="shared" si="50"/>
        <v>220</v>
      </c>
      <c r="S56" s="139">
        <f t="shared" si="50"/>
        <v>230</v>
      </c>
      <c r="T56" s="3"/>
    </row>
    <row r="57" spans="1:23" ht="14.25" hidden="1" customHeight="1">
      <c r="A57" s="41"/>
      <c r="B57" s="40" t="s">
        <v>67</v>
      </c>
      <c r="C57" s="19" t="s">
        <v>68</v>
      </c>
      <c r="D57" s="75">
        <v>0</v>
      </c>
      <c r="E57" s="75"/>
      <c r="F57" s="75"/>
      <c r="G57" s="75"/>
      <c r="H57" s="75"/>
      <c r="I57" s="75"/>
      <c r="J57" s="75"/>
      <c r="K57" s="72">
        <f t="shared" si="5"/>
        <v>0</v>
      </c>
      <c r="L57" s="72">
        <f t="shared" si="6"/>
        <v>0</v>
      </c>
      <c r="M57" s="75"/>
      <c r="N57" s="75"/>
      <c r="O57" s="75"/>
      <c r="P57" s="75"/>
      <c r="Q57" s="73"/>
      <c r="R57" s="73"/>
      <c r="S57" s="73"/>
      <c r="T57" s="3"/>
    </row>
    <row r="58" spans="1:23" ht="16.5" customHeight="1">
      <c r="A58" s="41"/>
      <c r="B58" s="40" t="s">
        <v>69</v>
      </c>
      <c r="C58" s="19" t="s">
        <v>70</v>
      </c>
      <c r="D58" s="75">
        <v>50</v>
      </c>
      <c r="E58" s="75">
        <v>48</v>
      </c>
      <c r="F58" s="197">
        <v>173</v>
      </c>
      <c r="G58" s="75">
        <v>50</v>
      </c>
      <c r="H58" s="75">
        <v>173</v>
      </c>
      <c r="I58" s="75">
        <v>0</v>
      </c>
      <c r="J58" s="75">
        <v>200</v>
      </c>
      <c r="K58" s="72">
        <f t="shared" si="5"/>
        <v>0</v>
      </c>
      <c r="L58" s="72">
        <f t="shared" si="6"/>
        <v>200</v>
      </c>
      <c r="M58" s="75">
        <v>50</v>
      </c>
      <c r="N58" s="75">
        <v>50</v>
      </c>
      <c r="O58" s="75">
        <v>50</v>
      </c>
      <c r="P58" s="75">
        <v>50</v>
      </c>
      <c r="Q58" s="73">
        <v>210</v>
      </c>
      <c r="R58" s="73">
        <v>220</v>
      </c>
      <c r="S58" s="73">
        <v>230</v>
      </c>
      <c r="T58" s="3"/>
    </row>
    <row r="59" spans="1:23" ht="14.25">
      <c r="A59" s="41">
        <v>6</v>
      </c>
      <c r="B59" s="33" t="s">
        <v>71</v>
      </c>
      <c r="C59" s="19">
        <v>37.020000000000003</v>
      </c>
      <c r="D59" s="139">
        <f t="shared" ref="D59:J59" si="54">D60+D63</f>
        <v>46.879999999999995</v>
      </c>
      <c r="E59" s="139">
        <f t="shared" si="54"/>
        <v>238</v>
      </c>
      <c r="F59" s="139">
        <f t="shared" si="54"/>
        <v>55</v>
      </c>
      <c r="G59" s="139">
        <f t="shared" si="54"/>
        <v>55.32</v>
      </c>
      <c r="H59" s="139">
        <f t="shared" si="54"/>
        <v>55</v>
      </c>
      <c r="I59" s="139">
        <f t="shared" si="54"/>
        <v>0</v>
      </c>
      <c r="J59" s="139">
        <f t="shared" si="54"/>
        <v>0</v>
      </c>
      <c r="K59" s="72">
        <f t="shared" si="5"/>
        <v>0</v>
      </c>
      <c r="L59" s="72">
        <f t="shared" si="6"/>
        <v>0</v>
      </c>
      <c r="M59" s="139">
        <f t="shared" ref="M59" si="55">M60+M63</f>
        <v>0</v>
      </c>
      <c r="N59" s="139">
        <f t="shared" ref="N59" si="56">N60+N63</f>
        <v>0</v>
      </c>
      <c r="O59" s="139">
        <f t="shared" ref="O59:P59" si="57">O60+O63</f>
        <v>0</v>
      </c>
      <c r="P59" s="139">
        <f t="shared" si="57"/>
        <v>0</v>
      </c>
      <c r="Q59" s="79">
        <f t="shared" ref="Q59:S59" si="58">Q60+Q63+Q61+Q62</f>
        <v>0</v>
      </c>
      <c r="R59" s="79">
        <f t="shared" si="58"/>
        <v>0</v>
      </c>
      <c r="S59" s="79">
        <f t="shared" si="58"/>
        <v>0</v>
      </c>
      <c r="T59" s="3"/>
    </row>
    <row r="60" spans="1:23" ht="0.75" customHeight="1">
      <c r="A60" s="41"/>
      <c r="B60" s="40" t="s">
        <v>72</v>
      </c>
      <c r="C60" s="19" t="s">
        <v>73</v>
      </c>
      <c r="D60" s="75">
        <f>12.66+30+4.22</f>
        <v>46.879999999999995</v>
      </c>
      <c r="E60" s="75">
        <v>238</v>
      </c>
      <c r="F60" s="76">
        <v>55</v>
      </c>
      <c r="G60" s="76">
        <v>55.32</v>
      </c>
      <c r="H60" s="76">
        <v>55</v>
      </c>
      <c r="I60" s="76">
        <v>0</v>
      </c>
      <c r="J60" s="75">
        <v>0</v>
      </c>
      <c r="K60" s="72">
        <f t="shared" si="5"/>
        <v>0</v>
      </c>
      <c r="L60" s="72">
        <f t="shared" si="6"/>
        <v>0</v>
      </c>
      <c r="M60" s="75">
        <v>0</v>
      </c>
      <c r="N60" s="75">
        <v>0</v>
      </c>
      <c r="O60" s="75">
        <v>0</v>
      </c>
      <c r="P60" s="75">
        <v>0</v>
      </c>
      <c r="Q60" s="73">
        <v>0</v>
      </c>
      <c r="R60" s="73">
        <v>0</v>
      </c>
      <c r="S60" s="73">
        <v>0</v>
      </c>
      <c r="T60" s="3"/>
      <c r="U60" s="192" t="s">
        <v>635</v>
      </c>
    </row>
    <row r="61" spans="1:23" ht="28.5" customHeight="1">
      <c r="A61" s="41"/>
      <c r="B61" s="39" t="s">
        <v>74</v>
      </c>
      <c r="C61" s="19" t="s">
        <v>75</v>
      </c>
      <c r="D61" s="73">
        <f>-D231+D96+D79+D92-D1087</f>
        <v>-10000</v>
      </c>
      <c r="E61" s="73"/>
      <c r="F61" s="76">
        <v>-239</v>
      </c>
      <c r="G61" s="76">
        <v>-13596.17</v>
      </c>
      <c r="H61" s="76">
        <v>-239</v>
      </c>
      <c r="I61" s="76">
        <f>-I231+I96+I79+I92-I1087</f>
        <v>10687</v>
      </c>
      <c r="J61" s="73">
        <f>-J231+J96+J79+J92+J91+55582</f>
        <v>0</v>
      </c>
      <c r="K61" s="73">
        <f t="shared" ref="K61:P61" si="59">-K231+K96+K79+K92+K91</f>
        <v>0</v>
      </c>
      <c r="L61" s="73">
        <f t="shared" si="59"/>
        <v>-55582</v>
      </c>
      <c r="M61" s="73">
        <f>-M231+M96+M79+M92+M91+55582</f>
        <v>0</v>
      </c>
      <c r="N61" s="73">
        <f t="shared" si="59"/>
        <v>0</v>
      </c>
      <c r="O61" s="73">
        <f t="shared" si="59"/>
        <v>0</v>
      </c>
      <c r="P61" s="73">
        <f t="shared" si="59"/>
        <v>0</v>
      </c>
      <c r="Q61" s="73">
        <f>-Q231+Q96+Q79+Q92+Q91</f>
        <v>0</v>
      </c>
      <c r="R61" s="73">
        <f t="shared" ref="R61:S61" si="60">-R231+R96+R79+R92+R91</f>
        <v>0</v>
      </c>
      <c r="S61" s="73">
        <f t="shared" si="60"/>
        <v>0</v>
      </c>
      <c r="T61" s="3"/>
      <c r="U61" s="192" t="s">
        <v>635</v>
      </c>
      <c r="W61" s="150">
        <f>Q91+Q92+Q96</f>
        <v>155701</v>
      </c>
    </row>
    <row r="62" spans="1:23" ht="15">
      <c r="A62" s="41"/>
      <c r="B62" s="40" t="s">
        <v>76</v>
      </c>
      <c r="C62" s="19" t="s">
        <v>77</v>
      </c>
      <c r="D62" s="75">
        <f t="shared" ref="D62:S62" si="61">-D61</f>
        <v>10000</v>
      </c>
      <c r="E62" s="75">
        <f t="shared" si="61"/>
        <v>0</v>
      </c>
      <c r="F62" s="75">
        <f t="shared" si="61"/>
        <v>239</v>
      </c>
      <c r="G62" s="75">
        <f t="shared" si="61"/>
        <v>13596.17</v>
      </c>
      <c r="H62" s="75">
        <f t="shared" si="61"/>
        <v>239</v>
      </c>
      <c r="I62" s="75">
        <f t="shared" si="61"/>
        <v>-10687</v>
      </c>
      <c r="J62" s="75">
        <f t="shared" si="61"/>
        <v>0</v>
      </c>
      <c r="K62" s="75">
        <f t="shared" si="61"/>
        <v>0</v>
      </c>
      <c r="L62" s="75">
        <f t="shared" si="61"/>
        <v>55582</v>
      </c>
      <c r="M62" s="75">
        <f t="shared" si="61"/>
        <v>0</v>
      </c>
      <c r="N62" s="75">
        <f t="shared" si="61"/>
        <v>0</v>
      </c>
      <c r="O62" s="75">
        <f t="shared" si="61"/>
        <v>0</v>
      </c>
      <c r="P62" s="75">
        <f t="shared" si="61"/>
        <v>0</v>
      </c>
      <c r="Q62" s="75">
        <f t="shared" si="61"/>
        <v>0</v>
      </c>
      <c r="R62" s="75">
        <f t="shared" si="61"/>
        <v>0</v>
      </c>
      <c r="S62" s="75">
        <f t="shared" si="61"/>
        <v>0</v>
      </c>
      <c r="T62" s="3"/>
    </row>
    <row r="63" spans="1:23" ht="17.25" hidden="1" customHeight="1">
      <c r="A63" s="41"/>
      <c r="B63" s="40" t="s">
        <v>78</v>
      </c>
      <c r="C63" s="19" t="s">
        <v>79</v>
      </c>
      <c r="D63" s="75">
        <v>0</v>
      </c>
      <c r="E63" s="75"/>
      <c r="F63" s="75"/>
      <c r="G63" s="75"/>
      <c r="H63" s="75"/>
      <c r="I63" s="75"/>
      <c r="J63" s="75"/>
      <c r="K63" s="72">
        <f t="shared" si="5"/>
        <v>0</v>
      </c>
      <c r="L63" s="72">
        <f t="shared" si="6"/>
        <v>0</v>
      </c>
      <c r="M63" s="75"/>
      <c r="N63" s="75"/>
      <c r="O63" s="75"/>
      <c r="P63" s="75"/>
      <c r="Q63" s="73"/>
      <c r="R63" s="73"/>
      <c r="S63" s="73"/>
      <c r="T63" s="3"/>
    </row>
    <row r="64" spans="1:23" ht="18" hidden="1" customHeight="1">
      <c r="A64" s="41">
        <v>7</v>
      </c>
      <c r="B64" s="33" t="s">
        <v>80</v>
      </c>
      <c r="C64" s="19">
        <v>39</v>
      </c>
      <c r="D64" s="75">
        <f t="shared" ref="D64:S64" si="62">D65+D66</f>
        <v>0</v>
      </c>
      <c r="E64" s="75">
        <f t="shared" si="62"/>
        <v>468</v>
      </c>
      <c r="F64" s="76">
        <f t="shared" si="62"/>
        <v>423</v>
      </c>
      <c r="G64" s="76">
        <f t="shared" si="62"/>
        <v>0</v>
      </c>
      <c r="H64" s="76">
        <f t="shared" si="62"/>
        <v>423</v>
      </c>
      <c r="I64" s="76">
        <f t="shared" si="62"/>
        <v>0</v>
      </c>
      <c r="J64" s="75">
        <f t="shared" si="62"/>
        <v>0</v>
      </c>
      <c r="K64" s="72">
        <f t="shared" si="5"/>
        <v>0</v>
      </c>
      <c r="L64" s="72">
        <f t="shared" si="6"/>
        <v>0</v>
      </c>
      <c r="M64" s="75">
        <f t="shared" ref="M64" si="63">M65+M66</f>
        <v>0</v>
      </c>
      <c r="N64" s="75">
        <f t="shared" ref="N64" si="64">N65+N66</f>
        <v>0</v>
      </c>
      <c r="O64" s="75">
        <f t="shared" ref="O64:P64" si="65">O65+O66</f>
        <v>0</v>
      </c>
      <c r="P64" s="75">
        <f t="shared" si="65"/>
        <v>0</v>
      </c>
      <c r="Q64" s="75">
        <f t="shared" si="62"/>
        <v>0</v>
      </c>
      <c r="R64" s="75">
        <f t="shared" si="62"/>
        <v>0</v>
      </c>
      <c r="S64" s="75">
        <f t="shared" si="62"/>
        <v>0</v>
      </c>
      <c r="T64" s="3"/>
    </row>
    <row r="65" spans="1:24" ht="18.75" hidden="1" customHeight="1">
      <c r="A65" s="41"/>
      <c r="B65" s="40" t="s">
        <v>81</v>
      </c>
      <c r="C65" s="19" t="s">
        <v>82</v>
      </c>
      <c r="D65" s="75">
        <v>0</v>
      </c>
      <c r="E65" s="75">
        <v>6</v>
      </c>
      <c r="F65" s="76">
        <v>9</v>
      </c>
      <c r="G65" s="76"/>
      <c r="H65" s="76">
        <v>9</v>
      </c>
      <c r="I65" s="76">
        <v>0</v>
      </c>
      <c r="J65" s="75">
        <v>0</v>
      </c>
      <c r="K65" s="72">
        <f t="shared" si="5"/>
        <v>0</v>
      </c>
      <c r="L65" s="72">
        <f t="shared" si="6"/>
        <v>0</v>
      </c>
      <c r="M65" s="75">
        <v>0</v>
      </c>
      <c r="N65" s="75">
        <v>0</v>
      </c>
      <c r="O65" s="75">
        <v>0</v>
      </c>
      <c r="P65" s="75">
        <v>0</v>
      </c>
      <c r="Q65" s="73">
        <v>0</v>
      </c>
      <c r="R65" s="73">
        <v>0</v>
      </c>
      <c r="S65" s="73">
        <v>0</v>
      </c>
      <c r="T65" s="3"/>
    </row>
    <row r="66" spans="1:24" ht="15" hidden="1" customHeight="1">
      <c r="A66" s="41"/>
      <c r="B66" s="40" t="s">
        <v>83</v>
      </c>
      <c r="C66" s="19" t="s">
        <v>84</v>
      </c>
      <c r="D66" s="75">
        <v>0</v>
      </c>
      <c r="E66" s="75">
        <v>462</v>
      </c>
      <c r="F66" s="75">
        <v>414</v>
      </c>
      <c r="G66" s="75"/>
      <c r="H66" s="75">
        <v>414</v>
      </c>
      <c r="I66" s="75">
        <v>0</v>
      </c>
      <c r="J66" s="75">
        <v>0</v>
      </c>
      <c r="K66" s="72">
        <f t="shared" si="5"/>
        <v>0</v>
      </c>
      <c r="L66" s="72">
        <f t="shared" si="6"/>
        <v>0</v>
      </c>
      <c r="M66" s="75">
        <v>0</v>
      </c>
      <c r="N66" s="75">
        <v>0</v>
      </c>
      <c r="O66" s="75">
        <v>0</v>
      </c>
      <c r="P66" s="75">
        <v>0</v>
      </c>
      <c r="Q66" s="73">
        <v>0</v>
      </c>
      <c r="R66" s="73">
        <v>0</v>
      </c>
      <c r="S66" s="73">
        <v>0</v>
      </c>
      <c r="T66" s="3"/>
    </row>
    <row r="67" spans="1:24" ht="15.75" hidden="1" customHeight="1">
      <c r="A67" s="41">
        <v>8</v>
      </c>
      <c r="B67" s="40" t="s">
        <v>85</v>
      </c>
      <c r="C67" s="19">
        <v>40</v>
      </c>
      <c r="D67" s="75">
        <f>D68</f>
        <v>0</v>
      </c>
      <c r="E67" s="75">
        <f t="shared" ref="E67:P67" si="66">E68</f>
        <v>0</v>
      </c>
      <c r="F67" s="75">
        <f t="shared" si="66"/>
        <v>0</v>
      </c>
      <c r="G67" s="75">
        <f t="shared" si="66"/>
        <v>0</v>
      </c>
      <c r="H67" s="75">
        <f t="shared" si="66"/>
        <v>0</v>
      </c>
      <c r="I67" s="75">
        <f t="shared" si="66"/>
        <v>0</v>
      </c>
      <c r="J67" s="75">
        <f t="shared" si="66"/>
        <v>0</v>
      </c>
      <c r="K67" s="72">
        <f t="shared" si="5"/>
        <v>0</v>
      </c>
      <c r="L67" s="72">
        <f t="shared" si="6"/>
        <v>0</v>
      </c>
      <c r="M67" s="75">
        <f t="shared" si="66"/>
        <v>0</v>
      </c>
      <c r="N67" s="75">
        <f t="shared" si="66"/>
        <v>0</v>
      </c>
      <c r="O67" s="75">
        <f t="shared" si="66"/>
        <v>0</v>
      </c>
      <c r="P67" s="75">
        <f t="shared" si="66"/>
        <v>0</v>
      </c>
      <c r="Q67" s="73"/>
      <c r="R67" s="73"/>
      <c r="S67" s="73"/>
      <c r="T67" s="3"/>
    </row>
    <row r="68" spans="1:24" ht="16.5" hidden="1" customHeight="1">
      <c r="A68" s="41"/>
      <c r="B68" s="40" t="s">
        <v>86</v>
      </c>
      <c r="C68" s="19">
        <v>4014</v>
      </c>
      <c r="D68" s="75"/>
      <c r="E68" s="75"/>
      <c r="F68" s="75"/>
      <c r="G68" s="75"/>
      <c r="H68" s="75"/>
      <c r="I68" s="75"/>
      <c r="J68" s="75"/>
      <c r="K68" s="72">
        <f t="shared" si="5"/>
        <v>0</v>
      </c>
      <c r="L68" s="72">
        <f t="shared" si="6"/>
        <v>0</v>
      </c>
      <c r="M68" s="75"/>
      <c r="N68" s="75"/>
      <c r="O68" s="75"/>
      <c r="P68" s="75"/>
      <c r="Q68" s="73"/>
      <c r="R68" s="73"/>
      <c r="S68" s="73"/>
      <c r="T68" s="3"/>
    </row>
    <row r="69" spans="1:24" ht="11.25" hidden="1" customHeight="1">
      <c r="A69" s="41"/>
      <c r="B69" s="40"/>
      <c r="C69" s="19"/>
      <c r="D69" s="75"/>
      <c r="E69" s="75"/>
      <c r="F69" s="75"/>
      <c r="G69" s="75"/>
      <c r="H69" s="75"/>
      <c r="I69" s="75"/>
      <c r="J69" s="75"/>
      <c r="K69" s="72">
        <f t="shared" si="5"/>
        <v>0</v>
      </c>
      <c r="L69" s="72">
        <f t="shared" si="6"/>
        <v>0</v>
      </c>
      <c r="M69" s="75"/>
      <c r="N69" s="75"/>
      <c r="O69" s="75"/>
      <c r="P69" s="75"/>
      <c r="Q69" s="73"/>
      <c r="R69" s="73"/>
      <c r="S69" s="73"/>
      <c r="T69" s="3"/>
    </row>
    <row r="70" spans="1:24" ht="18.75" customHeight="1">
      <c r="A70" s="26" t="s">
        <v>87</v>
      </c>
      <c r="B70" s="33" t="s">
        <v>88</v>
      </c>
      <c r="C70" s="19" t="s">
        <v>89</v>
      </c>
      <c r="D70" s="74">
        <f t="shared" ref="D70:S70" si="67">D71</f>
        <v>9476</v>
      </c>
      <c r="E70" s="74">
        <f t="shared" si="67"/>
        <v>150876</v>
      </c>
      <c r="F70" s="74">
        <f t="shared" si="67"/>
        <v>14862</v>
      </c>
      <c r="G70" s="74">
        <f t="shared" si="67"/>
        <v>17011.650000000001</v>
      </c>
      <c r="H70" s="74">
        <f t="shared" si="67"/>
        <v>14862</v>
      </c>
      <c r="I70" s="74">
        <f t="shared" si="67"/>
        <v>76330</v>
      </c>
      <c r="J70" s="74">
        <f t="shared" si="67"/>
        <v>30621</v>
      </c>
      <c r="K70" s="72">
        <f t="shared" si="5"/>
        <v>0</v>
      </c>
      <c r="L70" s="72">
        <f t="shared" si="6"/>
        <v>30621</v>
      </c>
      <c r="M70" s="74">
        <f t="shared" si="67"/>
        <v>7576</v>
      </c>
      <c r="N70" s="74">
        <f t="shared" si="67"/>
        <v>8075</v>
      </c>
      <c r="O70" s="74">
        <f t="shared" si="67"/>
        <v>7789</v>
      </c>
      <c r="P70" s="74">
        <f t="shared" si="67"/>
        <v>7181</v>
      </c>
      <c r="Q70" s="74">
        <f t="shared" si="67"/>
        <v>46125</v>
      </c>
      <c r="R70" s="74">
        <f t="shared" si="67"/>
        <v>36282</v>
      </c>
      <c r="S70" s="74">
        <f t="shared" si="67"/>
        <v>9354</v>
      </c>
      <c r="T70" s="3"/>
    </row>
    <row r="71" spans="1:24" ht="14.25" customHeight="1">
      <c r="A71" s="41"/>
      <c r="B71" s="40" t="s">
        <v>90</v>
      </c>
      <c r="C71" s="19">
        <v>42.02</v>
      </c>
      <c r="D71" s="72">
        <f t="shared" ref="D71:S71" si="68">D72+D73+D77+D78+D79+D80+D82+D83+D84+D85+D88+D89+D81+D91+D92+D93+D87</f>
        <v>9476</v>
      </c>
      <c r="E71" s="72">
        <f t="shared" si="68"/>
        <v>150876</v>
      </c>
      <c r="F71" s="72">
        <f t="shared" si="68"/>
        <v>14862</v>
      </c>
      <c r="G71" s="72">
        <f t="shared" si="68"/>
        <v>17011.650000000001</v>
      </c>
      <c r="H71" s="72">
        <f t="shared" si="68"/>
        <v>14862</v>
      </c>
      <c r="I71" s="72">
        <f t="shared" si="68"/>
        <v>76330</v>
      </c>
      <c r="J71" s="72">
        <f t="shared" si="68"/>
        <v>30621</v>
      </c>
      <c r="K71" s="72">
        <f t="shared" si="5"/>
        <v>0</v>
      </c>
      <c r="L71" s="72">
        <f t="shared" si="6"/>
        <v>30621</v>
      </c>
      <c r="M71" s="72">
        <f t="shared" ref="M71" si="69">M72+M73+M77+M78+M79+M80+M82+M83+M84+M85+M88+M89+M81+M91+M92+M93+M87</f>
        <v>7576</v>
      </c>
      <c r="N71" s="72">
        <f t="shared" ref="N71" si="70">N72+N73+N77+N78+N79+N80+N82+N83+N84+N85+N88+N89+N81+N91+N92+N93+N87</f>
        <v>8075</v>
      </c>
      <c r="O71" s="72">
        <f t="shared" ref="O71:P71" si="71">O72+O73+O77+O78+O79+O80+O82+O83+O84+O85+O88+O89+O81+O91+O92+O93+O87</f>
        <v>7789</v>
      </c>
      <c r="P71" s="72">
        <f t="shared" si="71"/>
        <v>7181</v>
      </c>
      <c r="Q71" s="72">
        <f t="shared" si="68"/>
        <v>46125</v>
      </c>
      <c r="R71" s="72">
        <f t="shared" si="68"/>
        <v>36282</v>
      </c>
      <c r="S71" s="72">
        <f t="shared" si="68"/>
        <v>9354</v>
      </c>
      <c r="T71" s="3"/>
    </row>
    <row r="72" spans="1:24" ht="15.75" hidden="1" customHeight="1">
      <c r="A72" s="41"/>
      <c r="B72" s="28" t="s">
        <v>91</v>
      </c>
      <c r="C72" s="19" t="s">
        <v>92</v>
      </c>
      <c r="D72" s="75">
        <v>0</v>
      </c>
      <c r="E72" s="75"/>
      <c r="F72" s="75"/>
      <c r="G72" s="75"/>
      <c r="H72" s="75"/>
      <c r="I72" s="75"/>
      <c r="J72" s="75"/>
      <c r="K72" s="72">
        <f t="shared" si="5"/>
        <v>0</v>
      </c>
      <c r="L72" s="72">
        <f t="shared" si="6"/>
        <v>0</v>
      </c>
      <c r="M72" s="75"/>
      <c r="N72" s="75"/>
      <c r="O72" s="75"/>
      <c r="P72" s="75"/>
      <c r="Q72" s="73"/>
      <c r="R72" s="73"/>
      <c r="S72" s="73"/>
      <c r="T72" s="3"/>
    </row>
    <row r="73" spans="1:24" ht="0.75" customHeight="1">
      <c r="A73" s="41"/>
      <c r="B73" s="28" t="s">
        <v>93</v>
      </c>
      <c r="C73" s="92" t="s">
        <v>94</v>
      </c>
      <c r="D73" s="83">
        <f>D74+D75+D76</f>
        <v>0</v>
      </c>
      <c r="E73" s="83">
        <f t="shared" ref="E73:J73" si="72">E74+E75+E76</f>
        <v>476</v>
      </c>
      <c r="F73" s="83">
        <f t="shared" si="72"/>
        <v>5412</v>
      </c>
      <c r="G73" s="83">
        <f t="shared" si="72"/>
        <v>5536</v>
      </c>
      <c r="H73" s="83">
        <f t="shared" si="72"/>
        <v>5412</v>
      </c>
      <c r="I73" s="83">
        <f t="shared" si="72"/>
        <v>0</v>
      </c>
      <c r="J73" s="83">
        <f t="shared" si="72"/>
        <v>0</v>
      </c>
      <c r="K73" s="72">
        <f t="shared" si="5"/>
        <v>0</v>
      </c>
      <c r="L73" s="72">
        <f t="shared" si="6"/>
        <v>0</v>
      </c>
      <c r="M73" s="83">
        <f t="shared" ref="M73" si="73">M74+M75+M76</f>
        <v>0</v>
      </c>
      <c r="N73" s="83">
        <f t="shared" ref="N73" si="74">N74+N75+N76</f>
        <v>0</v>
      </c>
      <c r="O73" s="83">
        <f t="shared" ref="O73:P73" si="75">O74+O75+O76</f>
        <v>0</v>
      </c>
      <c r="P73" s="83">
        <f t="shared" si="75"/>
        <v>0</v>
      </c>
      <c r="Q73" s="73"/>
      <c r="R73" s="73"/>
      <c r="S73" s="73"/>
      <c r="T73" s="3"/>
    </row>
    <row r="74" spans="1:24" ht="30" hidden="1" customHeight="1">
      <c r="A74" s="41"/>
      <c r="B74" s="42" t="s">
        <v>95</v>
      </c>
      <c r="C74" s="19" t="s">
        <v>96</v>
      </c>
      <c r="D74" s="75">
        <v>0</v>
      </c>
      <c r="E74" s="75">
        <v>476</v>
      </c>
      <c r="F74" s="75">
        <v>5412</v>
      </c>
      <c r="G74" s="75">
        <v>5536</v>
      </c>
      <c r="H74" s="75">
        <v>5412</v>
      </c>
      <c r="I74" s="75"/>
      <c r="J74" s="75"/>
      <c r="K74" s="72">
        <f t="shared" si="5"/>
        <v>0</v>
      </c>
      <c r="L74" s="72">
        <f t="shared" si="6"/>
        <v>0</v>
      </c>
      <c r="M74" s="75"/>
      <c r="N74" s="75"/>
      <c r="O74" s="75"/>
      <c r="P74" s="75"/>
      <c r="Q74" s="73"/>
      <c r="R74" s="73"/>
      <c r="S74" s="73"/>
      <c r="T74" s="3"/>
    </row>
    <row r="75" spans="1:24" ht="15" hidden="1" customHeight="1">
      <c r="A75" s="41"/>
      <c r="B75" s="28" t="s">
        <v>97</v>
      </c>
      <c r="C75" s="19" t="s">
        <v>98</v>
      </c>
      <c r="D75" s="75">
        <v>0</v>
      </c>
      <c r="E75" s="75"/>
      <c r="F75" s="75"/>
      <c r="G75" s="75"/>
      <c r="H75" s="75"/>
      <c r="I75" s="75"/>
      <c r="J75" s="75"/>
      <c r="K75" s="72">
        <f t="shared" si="5"/>
        <v>0</v>
      </c>
      <c r="L75" s="72">
        <f t="shared" si="6"/>
        <v>0</v>
      </c>
      <c r="M75" s="75"/>
      <c r="N75" s="75"/>
      <c r="O75" s="75"/>
      <c r="P75" s="75"/>
      <c r="Q75" s="73"/>
      <c r="R75" s="73"/>
      <c r="S75" s="73"/>
      <c r="T75" s="3"/>
    </row>
    <row r="76" spans="1:24" ht="18.75" hidden="1" customHeight="1">
      <c r="A76" s="41"/>
      <c r="B76" s="28" t="s">
        <v>99</v>
      </c>
      <c r="C76" s="19" t="s">
        <v>100</v>
      </c>
      <c r="D76" s="75">
        <v>0</v>
      </c>
      <c r="E76" s="75"/>
      <c r="F76" s="75"/>
      <c r="G76" s="75"/>
      <c r="H76" s="75"/>
      <c r="I76" s="75"/>
      <c r="J76" s="75"/>
      <c r="K76" s="72">
        <f t="shared" ref="K76:K139" si="76">J76-L76</f>
        <v>0</v>
      </c>
      <c r="L76" s="72">
        <f t="shared" ref="L76:L139" si="77">M76+N76+O76+P76</f>
        <v>0</v>
      </c>
      <c r="M76" s="75"/>
      <c r="N76" s="75"/>
      <c r="O76" s="75"/>
      <c r="P76" s="75"/>
      <c r="Q76" s="73"/>
      <c r="R76" s="73"/>
      <c r="S76" s="73"/>
      <c r="T76" s="3"/>
    </row>
    <row r="77" spans="1:24" ht="25.5" hidden="1" customHeight="1">
      <c r="A77" s="41"/>
      <c r="B77" s="42" t="s">
        <v>101</v>
      </c>
      <c r="C77" s="19" t="s">
        <v>102</v>
      </c>
      <c r="D77" s="75">
        <v>0</v>
      </c>
      <c r="E77" s="75">
        <v>1946</v>
      </c>
      <c r="F77" s="75"/>
      <c r="G77" s="75"/>
      <c r="H77" s="75"/>
      <c r="I77" s="75"/>
      <c r="J77" s="75"/>
      <c r="K77" s="72">
        <f t="shared" si="76"/>
        <v>0</v>
      </c>
      <c r="L77" s="72">
        <f t="shared" si="77"/>
        <v>0</v>
      </c>
      <c r="M77" s="75"/>
      <c r="N77" s="75"/>
      <c r="O77" s="75"/>
      <c r="P77" s="75"/>
      <c r="Q77" s="73"/>
      <c r="R77" s="73"/>
      <c r="S77" s="73"/>
      <c r="T77" s="3"/>
    </row>
    <row r="78" spans="1:24" ht="25.5" hidden="1" customHeight="1">
      <c r="A78" s="41"/>
      <c r="B78" s="42" t="s">
        <v>103</v>
      </c>
      <c r="C78" s="19" t="s">
        <v>104</v>
      </c>
      <c r="D78" s="75">
        <v>0</v>
      </c>
      <c r="E78" s="75"/>
      <c r="F78" s="75"/>
      <c r="G78" s="75"/>
      <c r="H78" s="75"/>
      <c r="I78" s="75"/>
      <c r="J78" s="75"/>
      <c r="K78" s="72">
        <f t="shared" si="76"/>
        <v>0</v>
      </c>
      <c r="L78" s="72">
        <f t="shared" si="77"/>
        <v>0</v>
      </c>
      <c r="M78" s="75"/>
      <c r="N78" s="75"/>
      <c r="O78" s="75"/>
      <c r="P78" s="75"/>
      <c r="Q78" s="73"/>
      <c r="R78" s="73"/>
      <c r="S78" s="73"/>
      <c r="T78" s="3"/>
    </row>
    <row r="79" spans="1:24" ht="15" customHeight="1">
      <c r="A79" s="41"/>
      <c r="B79" s="28" t="s">
        <v>105</v>
      </c>
      <c r="C79" s="19" t="s">
        <v>106</v>
      </c>
      <c r="D79" s="73"/>
      <c r="E79" s="73"/>
      <c r="F79" s="73"/>
      <c r="G79" s="73"/>
      <c r="H79" s="73"/>
      <c r="I79" s="73"/>
      <c r="J79" s="73"/>
      <c r="K79" s="72">
        <f t="shared" si="76"/>
        <v>0</v>
      </c>
      <c r="L79" s="72">
        <f t="shared" si="77"/>
        <v>0</v>
      </c>
      <c r="M79" s="73"/>
      <c r="N79" s="73"/>
      <c r="O79" s="73"/>
      <c r="P79" s="73"/>
      <c r="Q79" s="73"/>
      <c r="R79" s="73"/>
      <c r="S79" s="73"/>
      <c r="T79" s="3"/>
    </row>
    <row r="80" spans="1:24" ht="14.25" customHeight="1">
      <c r="A80" s="41"/>
      <c r="B80" s="28" t="s">
        <v>107</v>
      </c>
      <c r="C80" s="19" t="s">
        <v>108</v>
      </c>
      <c r="D80" s="80">
        <f t="shared" ref="D80:S80" si="78">D744</f>
        <v>1525</v>
      </c>
      <c r="E80" s="80">
        <v>136440</v>
      </c>
      <c r="F80" s="80">
        <v>1059</v>
      </c>
      <c r="G80" s="80">
        <f t="shared" si="78"/>
        <v>1135</v>
      </c>
      <c r="H80" s="80">
        <v>1059</v>
      </c>
      <c r="I80" s="80">
        <f t="shared" si="78"/>
        <v>2200</v>
      </c>
      <c r="J80" s="75">
        <f t="shared" si="78"/>
        <v>967</v>
      </c>
      <c r="K80" s="72">
        <f t="shared" si="76"/>
        <v>0</v>
      </c>
      <c r="L80" s="72">
        <f t="shared" si="77"/>
        <v>967</v>
      </c>
      <c r="M80" s="75">
        <f t="shared" ref="M80" si="79">M744</f>
        <v>330</v>
      </c>
      <c r="N80" s="75">
        <f t="shared" ref="N80" si="80">N744</f>
        <v>330</v>
      </c>
      <c r="O80" s="75">
        <f t="shared" ref="O80:P80" si="81">O744</f>
        <v>307</v>
      </c>
      <c r="P80" s="75">
        <f t="shared" si="81"/>
        <v>0</v>
      </c>
      <c r="Q80" s="80">
        <f t="shared" si="78"/>
        <v>2800</v>
      </c>
      <c r="R80" s="80">
        <f t="shared" si="78"/>
        <v>2850</v>
      </c>
      <c r="S80" s="80">
        <f t="shared" si="78"/>
        <v>2850</v>
      </c>
      <c r="T80" s="3"/>
      <c r="X80" s="2">
        <f>273*20986</f>
        <v>5729178</v>
      </c>
    </row>
    <row r="81" spans="1:20" ht="15" hidden="1" customHeight="1">
      <c r="A81" s="41"/>
      <c r="B81" s="28" t="s">
        <v>109</v>
      </c>
      <c r="C81" s="19" t="s">
        <v>110</v>
      </c>
      <c r="D81" s="75">
        <v>0</v>
      </c>
      <c r="E81" s="75"/>
      <c r="F81" s="75"/>
      <c r="G81" s="75"/>
      <c r="H81" s="75"/>
      <c r="I81" s="75"/>
      <c r="J81" s="75"/>
      <c r="K81" s="72">
        <f t="shared" si="76"/>
        <v>0</v>
      </c>
      <c r="L81" s="72">
        <f t="shared" si="77"/>
        <v>0</v>
      </c>
      <c r="M81" s="75"/>
      <c r="N81" s="75"/>
      <c r="O81" s="75"/>
      <c r="P81" s="75"/>
      <c r="Q81" s="73"/>
      <c r="R81" s="73"/>
      <c r="S81" s="73"/>
      <c r="T81" s="3"/>
    </row>
    <row r="82" spans="1:20" ht="13.5" hidden="1" customHeight="1">
      <c r="A82" s="41"/>
      <c r="B82" s="28" t="s">
        <v>111</v>
      </c>
      <c r="C82" s="19" t="s">
        <v>112</v>
      </c>
      <c r="D82" s="75">
        <v>0</v>
      </c>
      <c r="E82" s="75"/>
      <c r="F82" s="75"/>
      <c r="G82" s="75"/>
      <c r="H82" s="75"/>
      <c r="I82" s="75"/>
      <c r="J82" s="75"/>
      <c r="K82" s="72">
        <f t="shared" si="76"/>
        <v>0</v>
      </c>
      <c r="L82" s="72">
        <f t="shared" si="77"/>
        <v>0</v>
      </c>
      <c r="M82" s="75"/>
      <c r="N82" s="75"/>
      <c r="O82" s="75"/>
      <c r="P82" s="75"/>
      <c r="Q82" s="73"/>
      <c r="R82" s="73"/>
      <c r="S82" s="73"/>
      <c r="T82" s="3"/>
    </row>
    <row r="83" spans="1:20" ht="15" hidden="1" customHeight="1">
      <c r="A83" s="41"/>
      <c r="B83" s="28" t="s">
        <v>113</v>
      </c>
      <c r="C83" s="19" t="s">
        <v>114</v>
      </c>
      <c r="D83" s="75">
        <v>0</v>
      </c>
      <c r="E83" s="75"/>
      <c r="F83" s="75"/>
      <c r="G83" s="75"/>
      <c r="H83" s="75"/>
      <c r="I83" s="75"/>
      <c r="J83" s="75"/>
      <c r="K83" s="72">
        <f t="shared" si="76"/>
        <v>0</v>
      </c>
      <c r="L83" s="72">
        <f t="shared" si="77"/>
        <v>0</v>
      </c>
      <c r="M83" s="75"/>
      <c r="N83" s="75"/>
      <c r="O83" s="75"/>
      <c r="P83" s="75"/>
      <c r="Q83" s="73"/>
      <c r="R83" s="73"/>
      <c r="S83" s="73"/>
      <c r="T83" s="3"/>
    </row>
    <row r="84" spans="1:20" ht="16.5" customHeight="1">
      <c r="A84" s="41"/>
      <c r="B84" s="28" t="s">
        <v>115</v>
      </c>
      <c r="C84" s="19" t="s">
        <v>116</v>
      </c>
      <c r="D84" s="80">
        <f>5730-284</f>
        <v>5446</v>
      </c>
      <c r="E84" s="80">
        <v>3602</v>
      </c>
      <c r="F84" s="80">
        <v>5277</v>
      </c>
      <c r="G84" s="80">
        <v>5366</v>
      </c>
      <c r="H84" s="80">
        <v>5277</v>
      </c>
      <c r="I84" s="80"/>
      <c r="J84" s="75">
        <v>5524</v>
      </c>
      <c r="K84" s="72">
        <f t="shared" si="76"/>
        <v>0</v>
      </c>
      <c r="L84" s="72">
        <f t="shared" si="77"/>
        <v>5524</v>
      </c>
      <c r="M84" s="75">
        <v>1380</v>
      </c>
      <c r="N84" s="75">
        <v>1380</v>
      </c>
      <c r="O84" s="75">
        <v>1380</v>
      </c>
      <c r="P84" s="75">
        <v>1384</v>
      </c>
      <c r="Q84" s="80">
        <f>Q567</f>
        <v>6504</v>
      </c>
      <c r="R84" s="80">
        <f t="shared" ref="R84:S84" si="82">R567</f>
        <v>6504</v>
      </c>
      <c r="S84" s="80">
        <f t="shared" si="82"/>
        <v>6504</v>
      </c>
      <c r="T84" s="3"/>
    </row>
    <row r="85" spans="1:20" ht="0.75" customHeight="1">
      <c r="A85" s="41"/>
      <c r="B85" s="28" t="s">
        <v>117</v>
      </c>
      <c r="C85" s="19" t="s">
        <v>118</v>
      </c>
      <c r="D85" s="75"/>
      <c r="E85" s="75"/>
      <c r="F85" s="75"/>
      <c r="G85" s="75"/>
      <c r="H85" s="75"/>
      <c r="I85" s="75"/>
      <c r="J85" s="75"/>
      <c r="K85" s="72">
        <f t="shared" si="76"/>
        <v>0</v>
      </c>
      <c r="L85" s="72">
        <f t="shared" si="77"/>
        <v>0</v>
      </c>
      <c r="M85" s="75"/>
      <c r="N85" s="75"/>
      <c r="O85" s="75"/>
      <c r="P85" s="75"/>
      <c r="Q85" s="73"/>
      <c r="R85" s="73"/>
      <c r="S85" s="73"/>
      <c r="T85" s="3"/>
    </row>
    <row r="86" spans="1:20" ht="17.25" hidden="1" customHeight="1">
      <c r="A86" s="41"/>
      <c r="B86" s="28" t="s">
        <v>119</v>
      </c>
      <c r="C86" s="19" t="s">
        <v>120</v>
      </c>
      <c r="D86" s="75">
        <v>0</v>
      </c>
      <c r="E86" s="75"/>
      <c r="F86" s="75"/>
      <c r="G86" s="75"/>
      <c r="H86" s="75"/>
      <c r="I86" s="75"/>
      <c r="J86" s="75"/>
      <c r="K86" s="72">
        <f t="shared" si="76"/>
        <v>0</v>
      </c>
      <c r="L86" s="72">
        <f t="shared" si="77"/>
        <v>0</v>
      </c>
      <c r="M86" s="75"/>
      <c r="N86" s="75"/>
      <c r="O86" s="75"/>
      <c r="P86" s="75"/>
      <c r="Q86" s="73"/>
      <c r="R86" s="73"/>
      <c r="S86" s="73"/>
      <c r="T86" s="3"/>
    </row>
    <row r="87" spans="1:20" ht="27.75" hidden="1" customHeight="1">
      <c r="A87" s="41"/>
      <c r="B87" s="42" t="s">
        <v>121</v>
      </c>
      <c r="C87" s="19" t="s">
        <v>122</v>
      </c>
      <c r="D87" s="75">
        <v>0</v>
      </c>
      <c r="E87" s="75">
        <v>192</v>
      </c>
      <c r="F87" s="75"/>
      <c r="G87" s="75"/>
      <c r="H87" s="75"/>
      <c r="I87" s="75"/>
      <c r="J87" s="75"/>
      <c r="K87" s="72">
        <f t="shared" si="76"/>
        <v>0</v>
      </c>
      <c r="L87" s="72">
        <f t="shared" si="77"/>
        <v>0</v>
      </c>
      <c r="M87" s="75"/>
      <c r="N87" s="75"/>
      <c r="O87" s="75"/>
      <c r="P87" s="75"/>
      <c r="Q87" s="73"/>
      <c r="R87" s="73"/>
      <c r="S87" s="73"/>
      <c r="T87" s="3"/>
    </row>
    <row r="88" spans="1:20" ht="31.5" hidden="1" customHeight="1">
      <c r="A88" s="41"/>
      <c r="B88" s="42" t="s">
        <v>123</v>
      </c>
      <c r="C88" s="19" t="s">
        <v>124</v>
      </c>
      <c r="D88" s="75"/>
      <c r="E88" s="75"/>
      <c r="F88" s="75"/>
      <c r="G88" s="75"/>
      <c r="H88" s="75"/>
      <c r="I88" s="75"/>
      <c r="J88" s="75"/>
      <c r="K88" s="72">
        <f t="shared" si="76"/>
        <v>0</v>
      </c>
      <c r="L88" s="72">
        <f t="shared" si="77"/>
        <v>0</v>
      </c>
      <c r="M88" s="75"/>
      <c r="N88" s="75"/>
      <c r="O88" s="75"/>
      <c r="P88" s="75"/>
      <c r="Q88" s="73"/>
      <c r="R88" s="73"/>
      <c r="S88" s="73"/>
      <c r="T88" s="3"/>
    </row>
    <row r="89" spans="1:20" ht="26.25" hidden="1" customHeight="1">
      <c r="A89" s="41"/>
      <c r="B89" s="42" t="s">
        <v>125</v>
      </c>
      <c r="C89" s="19" t="s">
        <v>126</v>
      </c>
      <c r="D89" s="75">
        <v>0</v>
      </c>
      <c r="E89" s="75"/>
      <c r="F89" s="75"/>
      <c r="G89" s="75"/>
      <c r="H89" s="75"/>
      <c r="I89" s="75"/>
      <c r="J89" s="75"/>
      <c r="K89" s="72">
        <f t="shared" si="76"/>
        <v>0</v>
      </c>
      <c r="L89" s="72">
        <f t="shared" si="77"/>
        <v>0</v>
      </c>
      <c r="M89" s="75"/>
      <c r="N89" s="75"/>
      <c r="O89" s="75"/>
      <c r="P89" s="75"/>
      <c r="Q89" s="73"/>
      <c r="R89" s="73"/>
      <c r="S89" s="73"/>
      <c r="T89" s="3"/>
    </row>
    <row r="90" spans="1:20" ht="26.25" hidden="1" customHeight="1">
      <c r="A90" s="41"/>
      <c r="B90" s="43" t="s">
        <v>127</v>
      </c>
      <c r="C90" s="20" t="s">
        <v>128</v>
      </c>
      <c r="D90" s="75">
        <v>0</v>
      </c>
      <c r="E90" s="75"/>
      <c r="F90" s="75"/>
      <c r="G90" s="75"/>
      <c r="H90" s="75"/>
      <c r="I90" s="75"/>
      <c r="J90" s="75"/>
      <c r="K90" s="72">
        <f t="shared" si="76"/>
        <v>0</v>
      </c>
      <c r="L90" s="72">
        <f t="shared" si="77"/>
        <v>0</v>
      </c>
      <c r="M90" s="75"/>
      <c r="N90" s="75"/>
      <c r="O90" s="75"/>
      <c r="P90" s="75"/>
      <c r="Q90" s="73"/>
      <c r="R90" s="73"/>
      <c r="S90" s="73"/>
      <c r="T90" s="3"/>
    </row>
    <row r="91" spans="1:20" ht="27" customHeight="1">
      <c r="A91" s="41"/>
      <c r="B91" s="223" t="s">
        <v>129</v>
      </c>
      <c r="C91" s="21" t="s">
        <v>130</v>
      </c>
      <c r="D91" s="75"/>
      <c r="E91" s="75">
        <v>4750</v>
      </c>
      <c r="F91" s="75">
        <v>2145</v>
      </c>
      <c r="G91" s="75">
        <v>2445.65</v>
      </c>
      <c r="H91" s="75">
        <v>2145</v>
      </c>
      <c r="I91" s="329">
        <v>66000</v>
      </c>
      <c r="J91" s="75">
        <v>16000</v>
      </c>
      <c r="K91" s="72">
        <f t="shared" si="76"/>
        <v>0</v>
      </c>
      <c r="L91" s="72">
        <f t="shared" si="77"/>
        <v>16000</v>
      </c>
      <c r="M91" s="75">
        <v>4000</v>
      </c>
      <c r="N91" s="75">
        <v>4000</v>
      </c>
      <c r="O91" s="75">
        <v>4000</v>
      </c>
      <c r="P91" s="75">
        <v>4000</v>
      </c>
      <c r="Q91" s="73">
        <f>11500+25321</f>
        <v>36821</v>
      </c>
      <c r="R91" s="73">
        <f>1607+25321</f>
        <v>26928</v>
      </c>
      <c r="S91" s="73"/>
      <c r="T91" s="3"/>
    </row>
    <row r="92" spans="1:20" ht="27.75" customHeight="1">
      <c r="A92" s="41"/>
      <c r="B92" s="42" t="s">
        <v>884</v>
      </c>
      <c r="C92" s="105" t="s">
        <v>511</v>
      </c>
      <c r="D92" s="73">
        <f t="shared" ref="D92:S92" si="83">D278+D1072+D764+D282+D775+D780+D785+D790+D1078+D796</f>
        <v>2185</v>
      </c>
      <c r="E92" s="73">
        <v>3470</v>
      </c>
      <c r="F92" s="76">
        <v>968</v>
      </c>
      <c r="G92" s="76">
        <v>2209</v>
      </c>
      <c r="H92" s="76">
        <v>968</v>
      </c>
      <c r="I92" s="330">
        <f t="shared" ref="I92" si="84">I278+I1072+I764+I282+I775+I780+I785+I790+I1078+I796</f>
        <v>8130</v>
      </c>
      <c r="J92" s="73">
        <f t="shared" si="83"/>
        <v>8130</v>
      </c>
      <c r="K92" s="72">
        <f t="shared" si="76"/>
        <v>0</v>
      </c>
      <c r="L92" s="72">
        <f t="shared" si="77"/>
        <v>8130</v>
      </c>
      <c r="M92" s="73">
        <f t="shared" ref="M92" si="85">M278+M1072+M764+M282+M775+M780+M785+M790+M1078+M796</f>
        <v>1866</v>
      </c>
      <c r="N92" s="73">
        <f t="shared" ref="N92" si="86">N278+N1072+N764+N282+N775+N780+N785+N790+N1078+N796</f>
        <v>2365</v>
      </c>
      <c r="O92" s="73">
        <f t="shared" ref="O92:P92" si="87">O278+O1072+O764+O282+O775+O780+O785+O790+O1078+O796</f>
        <v>2102</v>
      </c>
      <c r="P92" s="73">
        <f t="shared" si="87"/>
        <v>1797</v>
      </c>
      <c r="Q92" s="73">
        <f t="shared" si="83"/>
        <v>0</v>
      </c>
      <c r="R92" s="73">
        <f t="shared" si="83"/>
        <v>0</v>
      </c>
      <c r="S92" s="73">
        <f t="shared" si="83"/>
        <v>0</v>
      </c>
      <c r="T92" s="3"/>
    </row>
    <row r="93" spans="1:20" ht="27" hidden="1" customHeight="1">
      <c r="A93" s="41"/>
      <c r="B93" s="42" t="s">
        <v>515</v>
      </c>
      <c r="C93" s="105" t="s">
        <v>516</v>
      </c>
      <c r="D93" s="73">
        <f>33+287</f>
        <v>320</v>
      </c>
      <c r="E93" s="73">
        <v>0</v>
      </c>
      <c r="F93" s="73">
        <v>1</v>
      </c>
      <c r="G93" s="73">
        <v>320</v>
      </c>
      <c r="H93" s="73">
        <v>1</v>
      </c>
      <c r="I93" s="202">
        <v>0</v>
      </c>
      <c r="J93" s="73">
        <v>0</v>
      </c>
      <c r="K93" s="72">
        <f t="shared" si="76"/>
        <v>0</v>
      </c>
      <c r="L93" s="72">
        <f t="shared" si="77"/>
        <v>0</v>
      </c>
      <c r="M93" s="73">
        <v>0</v>
      </c>
      <c r="N93" s="73">
        <v>0</v>
      </c>
      <c r="O93" s="73">
        <v>0</v>
      </c>
      <c r="P93" s="73">
        <v>0</v>
      </c>
      <c r="Q93" s="73">
        <v>0</v>
      </c>
      <c r="R93" s="73">
        <v>0</v>
      </c>
      <c r="S93" s="73">
        <v>0</v>
      </c>
      <c r="T93" s="3"/>
    </row>
    <row r="94" spans="1:20" ht="31.5" hidden="1" customHeight="1">
      <c r="A94" s="41"/>
      <c r="B94" s="27" t="s">
        <v>517</v>
      </c>
      <c r="C94" s="194" t="s">
        <v>518</v>
      </c>
      <c r="D94" s="87"/>
      <c r="E94" s="87">
        <f>E95</f>
        <v>14917</v>
      </c>
      <c r="F94" s="87">
        <f t="shared" ref="F94:S94" si="88">F95</f>
        <v>2826</v>
      </c>
      <c r="G94" s="87">
        <f t="shared" si="88"/>
        <v>0</v>
      </c>
      <c r="H94" s="87">
        <f t="shared" si="88"/>
        <v>2826</v>
      </c>
      <c r="I94" s="331">
        <f t="shared" si="88"/>
        <v>0</v>
      </c>
      <c r="J94" s="87">
        <f t="shared" si="88"/>
        <v>0</v>
      </c>
      <c r="K94" s="72">
        <f t="shared" si="76"/>
        <v>0</v>
      </c>
      <c r="L94" s="72">
        <f t="shared" si="77"/>
        <v>0</v>
      </c>
      <c r="M94" s="87">
        <f t="shared" si="88"/>
        <v>0</v>
      </c>
      <c r="N94" s="87">
        <f t="shared" si="88"/>
        <v>0</v>
      </c>
      <c r="O94" s="87">
        <f t="shared" si="88"/>
        <v>0</v>
      </c>
      <c r="P94" s="87">
        <f t="shared" si="88"/>
        <v>0</v>
      </c>
      <c r="Q94" s="87">
        <f t="shared" si="88"/>
        <v>0</v>
      </c>
      <c r="R94" s="87">
        <f t="shared" si="88"/>
        <v>0</v>
      </c>
      <c r="S94" s="87">
        <f t="shared" si="88"/>
        <v>0</v>
      </c>
      <c r="T94" s="3"/>
    </row>
    <row r="95" spans="1:20" ht="44.25" hidden="1" customHeight="1">
      <c r="A95" s="41"/>
      <c r="B95" s="42" t="s">
        <v>650</v>
      </c>
      <c r="C95" s="105" t="s">
        <v>651</v>
      </c>
      <c r="D95" s="73"/>
      <c r="E95" s="73">
        <v>14917</v>
      </c>
      <c r="F95" s="73">
        <v>2826</v>
      </c>
      <c r="G95" s="73"/>
      <c r="H95" s="73">
        <v>2826</v>
      </c>
      <c r="I95" s="202"/>
      <c r="J95" s="73"/>
      <c r="K95" s="72">
        <f t="shared" si="76"/>
        <v>0</v>
      </c>
      <c r="L95" s="72">
        <f t="shared" si="77"/>
        <v>0</v>
      </c>
      <c r="M95" s="73"/>
      <c r="N95" s="73"/>
      <c r="O95" s="73"/>
      <c r="P95" s="73"/>
      <c r="Q95" s="73"/>
      <c r="R95" s="73"/>
      <c r="S95" s="73"/>
      <c r="T95" s="3"/>
    </row>
    <row r="96" spans="1:20" ht="57" customHeight="1">
      <c r="A96" s="177" t="s">
        <v>131</v>
      </c>
      <c r="B96" s="178" t="s">
        <v>456</v>
      </c>
      <c r="C96" s="147">
        <v>48.02</v>
      </c>
      <c r="D96" s="72">
        <f t="shared" ref="D96:S96" si="89">D97+D101+D105</f>
        <v>14108</v>
      </c>
      <c r="E96" s="72">
        <f t="shared" si="89"/>
        <v>702</v>
      </c>
      <c r="F96" s="72">
        <f t="shared" si="89"/>
        <v>733</v>
      </c>
      <c r="G96" s="72">
        <f t="shared" si="89"/>
        <v>14263</v>
      </c>
      <c r="H96" s="72">
        <f t="shared" si="89"/>
        <v>722</v>
      </c>
      <c r="I96" s="407">
        <f t="shared" si="89"/>
        <v>50572</v>
      </c>
      <c r="J96" s="396">
        <f t="shared" si="89"/>
        <v>50572</v>
      </c>
      <c r="K96" s="396">
        <f t="shared" si="76"/>
        <v>0</v>
      </c>
      <c r="L96" s="396">
        <f t="shared" si="77"/>
        <v>50572</v>
      </c>
      <c r="M96" s="396">
        <f t="shared" ref="M96" si="90">M97+M101+M105</f>
        <v>11536</v>
      </c>
      <c r="N96" s="396">
        <f t="shared" ref="N96" si="91">N97+N101+N105</f>
        <v>14699</v>
      </c>
      <c r="O96" s="396">
        <f t="shared" ref="O96:P96" si="92">O97+O101+O105</f>
        <v>13255</v>
      </c>
      <c r="P96" s="396">
        <f t="shared" si="92"/>
        <v>11082</v>
      </c>
      <c r="Q96" s="396">
        <f t="shared" si="89"/>
        <v>118880</v>
      </c>
      <c r="R96" s="396">
        <f t="shared" si="89"/>
        <v>106789</v>
      </c>
      <c r="S96" s="396">
        <f t="shared" si="89"/>
        <v>57634</v>
      </c>
      <c r="T96" s="3"/>
    </row>
    <row r="97" spans="1:20" ht="15.75" customHeight="1">
      <c r="A97" s="145"/>
      <c r="B97" s="179" t="s">
        <v>599</v>
      </c>
      <c r="C97" s="147" t="s">
        <v>460</v>
      </c>
      <c r="D97" s="72">
        <f t="shared" ref="D97:S97" si="93">D98+D99+D100</f>
        <v>12704</v>
      </c>
      <c r="E97" s="72">
        <f t="shared" si="93"/>
        <v>436</v>
      </c>
      <c r="F97" s="72">
        <f t="shared" si="93"/>
        <v>370</v>
      </c>
      <c r="G97" s="72">
        <f t="shared" si="93"/>
        <v>12581</v>
      </c>
      <c r="H97" s="72">
        <f t="shared" si="93"/>
        <v>370</v>
      </c>
      <c r="I97" s="407">
        <f t="shared" si="93"/>
        <v>48418</v>
      </c>
      <c r="J97" s="129">
        <f t="shared" si="93"/>
        <v>48418</v>
      </c>
      <c r="K97" s="129">
        <f t="shared" si="76"/>
        <v>0</v>
      </c>
      <c r="L97" s="129">
        <f t="shared" si="77"/>
        <v>48418</v>
      </c>
      <c r="M97" s="129">
        <f t="shared" ref="M97" si="94">M98+M99+M100</f>
        <v>10913</v>
      </c>
      <c r="N97" s="129">
        <f t="shared" ref="N97" si="95">N98+N99+N100</f>
        <v>14120</v>
      </c>
      <c r="O97" s="129">
        <f t="shared" ref="O97:P97" si="96">O98+O99+O100</f>
        <v>12676</v>
      </c>
      <c r="P97" s="129">
        <f t="shared" si="96"/>
        <v>10709</v>
      </c>
      <c r="Q97" s="129">
        <f t="shared" si="93"/>
        <v>114739</v>
      </c>
      <c r="R97" s="129">
        <f t="shared" si="93"/>
        <v>103799</v>
      </c>
      <c r="S97" s="129">
        <f t="shared" si="93"/>
        <v>54079</v>
      </c>
      <c r="T97" s="3"/>
    </row>
    <row r="98" spans="1:20" ht="17.25" customHeight="1">
      <c r="A98" s="41"/>
      <c r="B98" s="28" t="s">
        <v>132</v>
      </c>
      <c r="C98" s="19" t="s">
        <v>457</v>
      </c>
      <c r="D98" s="75">
        <f t="shared" ref="D98:S98" si="97">D279+D1073+D776+D781+D786+D791+D1079+D797</f>
        <v>12704</v>
      </c>
      <c r="E98" s="75">
        <v>3</v>
      </c>
      <c r="F98" s="76">
        <v>111</v>
      </c>
      <c r="G98" s="76">
        <v>12581</v>
      </c>
      <c r="H98" s="76">
        <v>111</v>
      </c>
      <c r="I98" s="330">
        <f t="shared" ref="I98" si="98">I279+I1073+I776+I781+I786+I791+I1079+I797</f>
        <v>48418</v>
      </c>
      <c r="J98" s="75">
        <f t="shared" si="97"/>
        <v>48418</v>
      </c>
      <c r="K98" s="72">
        <f t="shared" si="76"/>
        <v>0</v>
      </c>
      <c r="L98" s="72">
        <f t="shared" si="77"/>
        <v>48418</v>
      </c>
      <c r="M98" s="75">
        <f t="shared" ref="M98" si="99">M279+M1073+M776+M781+M786+M791+M1079+M797</f>
        <v>10913</v>
      </c>
      <c r="N98" s="75">
        <f t="shared" ref="N98" si="100">N279+N1073+N776+N781+N786+N791+N1079+N797</f>
        <v>14120</v>
      </c>
      <c r="O98" s="75">
        <f t="shared" ref="O98:P98" si="101">O279+O1073+O776+O781+O786+O791+O1079+O797</f>
        <v>12676</v>
      </c>
      <c r="P98" s="75">
        <f t="shared" si="101"/>
        <v>10709</v>
      </c>
      <c r="Q98" s="75">
        <f t="shared" si="97"/>
        <v>114739</v>
      </c>
      <c r="R98" s="75">
        <f t="shared" si="97"/>
        <v>103799</v>
      </c>
      <c r="S98" s="75">
        <f t="shared" si="97"/>
        <v>54079</v>
      </c>
      <c r="T98" s="3"/>
    </row>
    <row r="99" spans="1:20" ht="17.25" customHeight="1">
      <c r="A99" s="41"/>
      <c r="B99" s="28" t="s">
        <v>133</v>
      </c>
      <c r="C99" s="19" t="s">
        <v>458</v>
      </c>
      <c r="D99" s="75"/>
      <c r="E99" s="75">
        <v>433</v>
      </c>
      <c r="F99" s="75">
        <v>259</v>
      </c>
      <c r="G99" s="75"/>
      <c r="H99" s="75">
        <v>259</v>
      </c>
      <c r="I99" s="329"/>
      <c r="J99" s="75"/>
      <c r="K99" s="72">
        <f t="shared" si="76"/>
        <v>0</v>
      </c>
      <c r="L99" s="72">
        <f t="shared" si="77"/>
        <v>0</v>
      </c>
      <c r="M99" s="75"/>
      <c r="N99" s="75"/>
      <c r="O99" s="75"/>
      <c r="P99" s="75"/>
      <c r="Q99" s="73"/>
      <c r="R99" s="73"/>
      <c r="S99" s="73"/>
      <c r="T99" s="3"/>
    </row>
    <row r="100" spans="1:20" ht="17.25" customHeight="1">
      <c r="A100" s="41"/>
      <c r="B100" s="28" t="s">
        <v>134</v>
      </c>
      <c r="C100" s="19" t="s">
        <v>459</v>
      </c>
      <c r="D100" s="143"/>
      <c r="E100" s="143"/>
      <c r="F100" s="143"/>
      <c r="G100" s="143"/>
      <c r="H100" s="143"/>
      <c r="I100" s="333"/>
      <c r="J100" s="143"/>
      <c r="K100" s="72">
        <f t="shared" si="76"/>
        <v>0</v>
      </c>
      <c r="L100" s="72">
        <f t="shared" si="77"/>
        <v>0</v>
      </c>
      <c r="M100" s="143"/>
      <c r="N100" s="143"/>
      <c r="O100" s="143"/>
      <c r="P100" s="143"/>
      <c r="Q100" s="143"/>
      <c r="R100" s="143"/>
      <c r="S100" s="143"/>
      <c r="T100" s="3"/>
    </row>
    <row r="101" spans="1:20" ht="17.25" customHeight="1">
      <c r="A101" s="145"/>
      <c r="B101" s="180" t="s">
        <v>600</v>
      </c>
      <c r="C101" s="181" t="s">
        <v>519</v>
      </c>
      <c r="D101" s="78">
        <f t="shared" ref="D101:S101" si="102">D102+D103+D104</f>
        <v>1273</v>
      </c>
      <c r="E101" s="78">
        <f t="shared" si="102"/>
        <v>266</v>
      </c>
      <c r="F101" s="78">
        <f t="shared" si="102"/>
        <v>363</v>
      </c>
      <c r="G101" s="78">
        <f t="shared" si="102"/>
        <v>1551</v>
      </c>
      <c r="H101" s="78">
        <f t="shared" si="102"/>
        <v>352</v>
      </c>
      <c r="I101" s="334">
        <f t="shared" si="102"/>
        <v>2110</v>
      </c>
      <c r="J101" s="78">
        <f t="shared" si="102"/>
        <v>2110</v>
      </c>
      <c r="K101" s="72">
        <f t="shared" si="76"/>
        <v>0</v>
      </c>
      <c r="L101" s="72">
        <f t="shared" si="77"/>
        <v>2110</v>
      </c>
      <c r="M101" s="78">
        <f t="shared" ref="M101" si="103">M102+M103+M104</f>
        <v>579</v>
      </c>
      <c r="N101" s="78">
        <f t="shared" ref="N101" si="104">N102+N103+N104</f>
        <v>579</v>
      </c>
      <c r="O101" s="78">
        <f t="shared" ref="O101:P101" si="105">O102+O103+O104</f>
        <v>579</v>
      </c>
      <c r="P101" s="78">
        <f t="shared" si="105"/>
        <v>373</v>
      </c>
      <c r="Q101" s="78">
        <f t="shared" si="102"/>
        <v>4141</v>
      </c>
      <c r="R101" s="78">
        <f t="shared" si="102"/>
        <v>2990</v>
      </c>
      <c r="S101" s="78">
        <f t="shared" si="102"/>
        <v>3555</v>
      </c>
      <c r="T101" s="3"/>
    </row>
    <row r="102" spans="1:20" ht="17.25" customHeight="1">
      <c r="A102" s="41"/>
      <c r="B102" s="28" t="s">
        <v>132</v>
      </c>
      <c r="C102" s="19" t="s">
        <v>520</v>
      </c>
      <c r="D102" s="75">
        <f t="shared" ref="D102:S102" si="106">D765+D283</f>
        <v>1273</v>
      </c>
      <c r="E102" s="75">
        <v>58</v>
      </c>
      <c r="F102" s="75">
        <v>352</v>
      </c>
      <c r="G102" s="75">
        <v>1551</v>
      </c>
      <c r="H102" s="75">
        <v>352</v>
      </c>
      <c r="I102" s="329">
        <f t="shared" ref="I102" si="107">I765+I283</f>
        <v>2110</v>
      </c>
      <c r="J102" s="75">
        <f t="shared" si="106"/>
        <v>2110</v>
      </c>
      <c r="K102" s="72">
        <f t="shared" si="76"/>
        <v>0</v>
      </c>
      <c r="L102" s="72">
        <f t="shared" si="77"/>
        <v>2110</v>
      </c>
      <c r="M102" s="75">
        <f t="shared" ref="M102" si="108">M765+M283</f>
        <v>579</v>
      </c>
      <c r="N102" s="75">
        <f t="shared" ref="N102" si="109">N765+N283</f>
        <v>579</v>
      </c>
      <c r="O102" s="75">
        <f t="shared" ref="O102:P102" si="110">O765+O283</f>
        <v>579</v>
      </c>
      <c r="P102" s="75">
        <f t="shared" si="110"/>
        <v>373</v>
      </c>
      <c r="Q102" s="75">
        <f t="shared" si="106"/>
        <v>4141</v>
      </c>
      <c r="R102" s="75">
        <f t="shared" si="106"/>
        <v>2990</v>
      </c>
      <c r="S102" s="75">
        <f t="shared" si="106"/>
        <v>3555</v>
      </c>
      <c r="T102" s="3"/>
    </row>
    <row r="103" spans="1:20" ht="17.25" customHeight="1">
      <c r="A103" s="41"/>
      <c r="B103" s="28" t="s">
        <v>133</v>
      </c>
      <c r="C103" s="19" t="s">
        <v>521</v>
      </c>
      <c r="D103" s="136"/>
      <c r="E103" s="136"/>
      <c r="F103" s="136">
        <v>11</v>
      </c>
      <c r="G103" s="136"/>
      <c r="H103" s="136"/>
      <c r="I103" s="335"/>
      <c r="J103" s="136"/>
      <c r="K103" s="72">
        <f t="shared" si="76"/>
        <v>0</v>
      </c>
      <c r="L103" s="72">
        <f t="shared" si="77"/>
        <v>0</v>
      </c>
      <c r="M103" s="136"/>
      <c r="N103" s="136"/>
      <c r="O103" s="136"/>
      <c r="P103" s="136"/>
      <c r="Q103" s="136"/>
      <c r="R103" s="136"/>
      <c r="S103" s="136"/>
      <c r="T103" s="3"/>
    </row>
    <row r="104" spans="1:20" ht="16.5" customHeight="1">
      <c r="A104" s="41"/>
      <c r="B104" s="28" t="s">
        <v>134</v>
      </c>
      <c r="C104" s="19" t="s">
        <v>522</v>
      </c>
      <c r="D104" s="75">
        <v>0</v>
      </c>
      <c r="E104" s="75">
        <v>208</v>
      </c>
      <c r="F104" s="75"/>
      <c r="G104" s="75"/>
      <c r="H104" s="75"/>
      <c r="I104" s="329"/>
      <c r="J104" s="75"/>
      <c r="K104" s="72">
        <f t="shared" si="76"/>
        <v>0</v>
      </c>
      <c r="L104" s="72">
        <f t="shared" si="77"/>
        <v>0</v>
      </c>
      <c r="M104" s="75"/>
      <c r="N104" s="75"/>
      <c r="O104" s="75"/>
      <c r="P104" s="75"/>
      <c r="Q104" s="73"/>
      <c r="R104" s="73"/>
      <c r="S104" s="73"/>
      <c r="T104" s="3"/>
    </row>
    <row r="105" spans="1:20" ht="0.75" customHeight="1">
      <c r="A105" s="145"/>
      <c r="B105" s="458" t="s">
        <v>601</v>
      </c>
      <c r="C105" s="182" t="s">
        <v>523</v>
      </c>
      <c r="D105" s="139">
        <f t="shared" ref="D105:S105" si="111">D106+D107+D108</f>
        <v>131</v>
      </c>
      <c r="E105" s="78">
        <f t="shared" si="111"/>
        <v>0</v>
      </c>
      <c r="F105" s="78">
        <f t="shared" si="111"/>
        <v>0</v>
      </c>
      <c r="G105" s="78">
        <f t="shared" si="111"/>
        <v>131</v>
      </c>
      <c r="H105" s="78">
        <f t="shared" si="111"/>
        <v>0</v>
      </c>
      <c r="I105" s="334">
        <f t="shared" si="111"/>
        <v>44</v>
      </c>
      <c r="J105" s="78">
        <f t="shared" si="111"/>
        <v>44</v>
      </c>
      <c r="K105" s="72">
        <f t="shared" si="76"/>
        <v>0</v>
      </c>
      <c r="L105" s="72">
        <f t="shared" si="77"/>
        <v>44</v>
      </c>
      <c r="M105" s="78">
        <f t="shared" ref="M105" si="112">M106+M107+M108</f>
        <v>44</v>
      </c>
      <c r="N105" s="78">
        <f t="shared" ref="N105" si="113">N106+N107+N108</f>
        <v>0</v>
      </c>
      <c r="O105" s="78">
        <f t="shared" ref="O105:P105" si="114">O106+O107+O108</f>
        <v>0</v>
      </c>
      <c r="P105" s="78">
        <f t="shared" si="114"/>
        <v>0</v>
      </c>
      <c r="Q105" s="78">
        <f t="shared" si="111"/>
        <v>0</v>
      </c>
      <c r="R105" s="78">
        <f t="shared" si="111"/>
        <v>0</v>
      </c>
      <c r="S105" s="78">
        <f t="shared" si="111"/>
        <v>0</v>
      </c>
      <c r="T105" s="3"/>
    </row>
    <row r="106" spans="1:20" ht="16.5" hidden="1" customHeight="1">
      <c r="A106" s="41"/>
      <c r="B106" s="28" t="s">
        <v>137</v>
      </c>
      <c r="C106" s="19" t="s">
        <v>524</v>
      </c>
      <c r="D106" s="75">
        <f>D771</f>
        <v>131</v>
      </c>
      <c r="E106" s="75">
        <f t="shared" ref="E106" si="115">E766</f>
        <v>0</v>
      </c>
      <c r="F106" s="75"/>
      <c r="G106" s="75">
        <f t="shared" ref="G106:S106" si="116">G771</f>
        <v>131</v>
      </c>
      <c r="H106" s="75"/>
      <c r="I106" s="329">
        <f t="shared" si="116"/>
        <v>44</v>
      </c>
      <c r="J106" s="75">
        <f t="shared" si="116"/>
        <v>44</v>
      </c>
      <c r="K106" s="72">
        <f t="shared" si="76"/>
        <v>0</v>
      </c>
      <c r="L106" s="72">
        <f t="shared" si="77"/>
        <v>44</v>
      </c>
      <c r="M106" s="75">
        <f t="shared" ref="M106" si="117">M771</f>
        <v>44</v>
      </c>
      <c r="N106" s="75">
        <f t="shared" ref="N106" si="118">N771</f>
        <v>0</v>
      </c>
      <c r="O106" s="75">
        <f t="shared" ref="O106:P106" si="119">O771</f>
        <v>0</v>
      </c>
      <c r="P106" s="75">
        <f t="shared" si="119"/>
        <v>0</v>
      </c>
      <c r="Q106" s="75">
        <f t="shared" si="116"/>
        <v>0</v>
      </c>
      <c r="R106" s="75">
        <f t="shared" si="116"/>
        <v>0</v>
      </c>
      <c r="S106" s="75">
        <f t="shared" si="116"/>
        <v>0</v>
      </c>
      <c r="T106" s="3"/>
    </row>
    <row r="107" spans="1:20" ht="16.5" hidden="1" customHeight="1">
      <c r="A107" s="41"/>
      <c r="B107" s="28" t="s">
        <v>133</v>
      </c>
      <c r="C107" s="19" t="s">
        <v>525</v>
      </c>
      <c r="D107" s="136"/>
      <c r="E107" s="136"/>
      <c r="F107" s="136"/>
      <c r="G107" s="136"/>
      <c r="H107" s="136"/>
      <c r="I107" s="335"/>
      <c r="J107" s="136"/>
      <c r="K107" s="72">
        <f t="shared" si="76"/>
        <v>0</v>
      </c>
      <c r="L107" s="72">
        <f t="shared" si="77"/>
        <v>0</v>
      </c>
      <c r="M107" s="136"/>
      <c r="N107" s="136"/>
      <c r="O107" s="136"/>
      <c r="P107" s="136"/>
      <c r="Q107" s="136"/>
      <c r="R107" s="136"/>
      <c r="S107" s="136"/>
      <c r="T107" s="3"/>
    </row>
    <row r="108" spans="1:20" ht="16.5" hidden="1" customHeight="1">
      <c r="A108" s="41"/>
      <c r="B108" s="28" t="s">
        <v>134</v>
      </c>
      <c r="C108" s="19" t="s">
        <v>526</v>
      </c>
      <c r="D108" s="75">
        <v>0</v>
      </c>
      <c r="E108" s="75"/>
      <c r="F108" s="75"/>
      <c r="G108" s="75"/>
      <c r="H108" s="75"/>
      <c r="I108" s="329"/>
      <c r="J108" s="75"/>
      <c r="K108" s="72">
        <f t="shared" si="76"/>
        <v>0</v>
      </c>
      <c r="L108" s="72">
        <f t="shared" si="77"/>
        <v>0</v>
      </c>
      <c r="M108" s="75"/>
      <c r="N108" s="75"/>
      <c r="O108" s="75"/>
      <c r="P108" s="75"/>
      <c r="Q108" s="73"/>
      <c r="R108" s="73"/>
      <c r="S108" s="73"/>
      <c r="T108" s="3"/>
    </row>
    <row r="109" spans="1:20" ht="1.5" hidden="1" customHeight="1">
      <c r="A109" s="41"/>
      <c r="B109" s="41" t="s">
        <v>136</v>
      </c>
      <c r="C109" s="19" t="s">
        <v>526</v>
      </c>
      <c r="D109" s="75">
        <v>0</v>
      </c>
      <c r="E109" s="75">
        <v>0</v>
      </c>
      <c r="F109" s="75">
        <v>0</v>
      </c>
      <c r="G109" s="75">
        <v>0</v>
      </c>
      <c r="H109" s="75">
        <v>0</v>
      </c>
      <c r="I109" s="329">
        <v>0</v>
      </c>
      <c r="J109" s="75">
        <v>0</v>
      </c>
      <c r="K109" s="72">
        <f t="shared" si="76"/>
        <v>0</v>
      </c>
      <c r="L109" s="72">
        <f t="shared" si="77"/>
        <v>0</v>
      </c>
      <c r="M109" s="75">
        <v>0</v>
      </c>
      <c r="N109" s="75">
        <v>0</v>
      </c>
      <c r="O109" s="75">
        <v>0</v>
      </c>
      <c r="P109" s="75">
        <v>0</v>
      </c>
      <c r="Q109" s="73"/>
      <c r="R109" s="73"/>
      <c r="S109" s="73"/>
      <c r="T109" s="3"/>
    </row>
    <row r="110" spans="1:20" ht="0.75" hidden="1" customHeight="1">
      <c r="A110" s="41"/>
      <c r="B110" s="28" t="s">
        <v>137</v>
      </c>
      <c r="C110" s="19"/>
      <c r="D110" s="75">
        <v>0</v>
      </c>
      <c r="E110" s="75"/>
      <c r="F110" s="75"/>
      <c r="G110" s="75"/>
      <c r="H110" s="75"/>
      <c r="I110" s="329"/>
      <c r="J110" s="75"/>
      <c r="K110" s="72">
        <f t="shared" si="76"/>
        <v>0</v>
      </c>
      <c r="L110" s="72">
        <f t="shared" si="77"/>
        <v>0</v>
      </c>
      <c r="M110" s="75"/>
      <c r="N110" s="75"/>
      <c r="O110" s="75"/>
      <c r="P110" s="75"/>
      <c r="Q110" s="73"/>
      <c r="R110" s="73"/>
      <c r="S110" s="73"/>
      <c r="T110" s="3"/>
    </row>
    <row r="111" spans="1:20" ht="16.5" hidden="1" customHeight="1">
      <c r="A111" s="41"/>
      <c r="B111" s="28" t="s">
        <v>133</v>
      </c>
      <c r="C111" s="19"/>
      <c r="D111" s="75">
        <v>0</v>
      </c>
      <c r="E111" s="75"/>
      <c r="F111" s="75"/>
      <c r="G111" s="75"/>
      <c r="H111" s="75"/>
      <c r="I111" s="329"/>
      <c r="J111" s="75"/>
      <c r="K111" s="72">
        <f t="shared" si="76"/>
        <v>0</v>
      </c>
      <c r="L111" s="72">
        <f t="shared" si="77"/>
        <v>0</v>
      </c>
      <c r="M111" s="75"/>
      <c r="N111" s="75"/>
      <c r="O111" s="75"/>
      <c r="P111" s="75"/>
      <c r="Q111" s="73"/>
      <c r="R111" s="73"/>
      <c r="S111" s="73"/>
      <c r="T111" s="3"/>
    </row>
    <row r="112" spans="1:20" ht="16.5" hidden="1" customHeight="1">
      <c r="A112" s="41"/>
      <c r="B112" s="28" t="s">
        <v>134</v>
      </c>
      <c r="C112" s="19"/>
      <c r="D112" s="75">
        <v>0</v>
      </c>
      <c r="E112" s="75"/>
      <c r="F112" s="75"/>
      <c r="G112" s="75"/>
      <c r="H112" s="75"/>
      <c r="I112" s="329"/>
      <c r="J112" s="75"/>
      <c r="K112" s="72">
        <f t="shared" si="76"/>
        <v>0</v>
      </c>
      <c r="L112" s="72">
        <f t="shared" si="77"/>
        <v>0</v>
      </c>
      <c r="M112" s="75"/>
      <c r="N112" s="75"/>
      <c r="O112" s="75"/>
      <c r="P112" s="75"/>
      <c r="Q112" s="73"/>
      <c r="R112" s="73"/>
      <c r="S112" s="73"/>
      <c r="T112" s="3"/>
    </row>
    <row r="113" spans="1:20" ht="16.5" hidden="1" customHeight="1">
      <c r="A113" s="41"/>
      <c r="B113" s="41" t="s">
        <v>138</v>
      </c>
      <c r="C113" s="19" t="s">
        <v>139</v>
      </c>
      <c r="D113" s="78">
        <f t="shared" ref="D113:S113" si="120">D114+D115+D116</f>
        <v>0</v>
      </c>
      <c r="E113" s="78">
        <f t="shared" si="120"/>
        <v>0</v>
      </c>
      <c r="F113" s="78">
        <f t="shared" si="120"/>
        <v>0</v>
      </c>
      <c r="G113" s="78">
        <f t="shared" si="120"/>
        <v>0</v>
      </c>
      <c r="H113" s="78">
        <f t="shared" si="120"/>
        <v>0</v>
      </c>
      <c r="I113" s="334">
        <f t="shared" si="120"/>
        <v>0</v>
      </c>
      <c r="J113" s="78">
        <f t="shared" si="120"/>
        <v>0</v>
      </c>
      <c r="K113" s="72">
        <f t="shared" si="76"/>
        <v>0</v>
      </c>
      <c r="L113" s="72">
        <f t="shared" si="77"/>
        <v>0</v>
      </c>
      <c r="M113" s="78">
        <f t="shared" ref="M113" si="121">M114+M115+M116</f>
        <v>0</v>
      </c>
      <c r="N113" s="78">
        <f t="shared" ref="N113" si="122">N114+N115+N116</f>
        <v>0</v>
      </c>
      <c r="O113" s="78">
        <f t="shared" ref="O113:P113" si="123">O114+O115+O116</f>
        <v>0</v>
      </c>
      <c r="P113" s="78">
        <f t="shared" si="123"/>
        <v>0</v>
      </c>
      <c r="Q113" s="78">
        <f t="shared" si="120"/>
        <v>0</v>
      </c>
      <c r="R113" s="78">
        <f t="shared" si="120"/>
        <v>0</v>
      </c>
      <c r="S113" s="78">
        <f t="shared" si="120"/>
        <v>0</v>
      </c>
      <c r="T113" s="3"/>
    </row>
    <row r="114" spans="1:20" ht="1.5" hidden="1" customHeight="1">
      <c r="A114" s="41"/>
      <c r="B114" s="28" t="s">
        <v>137</v>
      </c>
      <c r="C114" s="19"/>
      <c r="D114" s="75">
        <v>0</v>
      </c>
      <c r="E114" s="75"/>
      <c r="F114" s="75"/>
      <c r="G114" s="75"/>
      <c r="H114" s="75"/>
      <c r="I114" s="329"/>
      <c r="J114" s="75"/>
      <c r="K114" s="72">
        <f t="shared" si="76"/>
        <v>0</v>
      </c>
      <c r="L114" s="72">
        <f t="shared" si="77"/>
        <v>0</v>
      </c>
      <c r="M114" s="75"/>
      <c r="N114" s="75"/>
      <c r="O114" s="75"/>
      <c r="P114" s="75"/>
      <c r="Q114" s="73"/>
      <c r="R114" s="73"/>
      <c r="S114" s="73"/>
      <c r="T114" s="3"/>
    </row>
    <row r="115" spans="1:20" ht="16.5" hidden="1" customHeight="1">
      <c r="A115" s="41"/>
      <c r="B115" s="28" t="s">
        <v>133</v>
      </c>
      <c r="C115" s="19"/>
      <c r="D115" s="75">
        <v>0</v>
      </c>
      <c r="E115" s="75"/>
      <c r="F115" s="75"/>
      <c r="G115" s="75"/>
      <c r="H115" s="75"/>
      <c r="I115" s="329"/>
      <c r="J115" s="75"/>
      <c r="K115" s="72">
        <f t="shared" si="76"/>
        <v>0</v>
      </c>
      <c r="L115" s="72">
        <f t="shared" si="77"/>
        <v>0</v>
      </c>
      <c r="M115" s="75"/>
      <c r="N115" s="75"/>
      <c r="O115" s="75"/>
      <c r="P115" s="75"/>
      <c r="Q115" s="73"/>
      <c r="R115" s="73"/>
      <c r="S115" s="73"/>
      <c r="T115" s="3"/>
    </row>
    <row r="116" spans="1:20" ht="16.5" hidden="1" customHeight="1">
      <c r="A116" s="41"/>
      <c r="B116" s="28" t="s">
        <v>134</v>
      </c>
      <c r="C116" s="19"/>
      <c r="D116" s="75">
        <v>0</v>
      </c>
      <c r="E116" s="75"/>
      <c r="F116" s="75"/>
      <c r="G116" s="75"/>
      <c r="H116" s="75"/>
      <c r="I116" s="329"/>
      <c r="J116" s="75"/>
      <c r="K116" s="72">
        <f t="shared" si="76"/>
        <v>0</v>
      </c>
      <c r="L116" s="72">
        <f t="shared" si="77"/>
        <v>0</v>
      </c>
      <c r="M116" s="75"/>
      <c r="N116" s="75"/>
      <c r="O116" s="75"/>
      <c r="P116" s="75"/>
      <c r="Q116" s="73"/>
      <c r="R116" s="73"/>
      <c r="S116" s="73"/>
      <c r="T116" s="3"/>
    </row>
    <row r="117" spans="1:20" ht="16.5" customHeight="1">
      <c r="A117" s="71"/>
      <c r="B117" s="111" t="s">
        <v>140</v>
      </c>
      <c r="C117" s="114"/>
      <c r="D117" s="113">
        <f t="shared" ref="D117:S117" si="124">D118+D120+D123+D138+D167</f>
        <v>309134.88</v>
      </c>
      <c r="E117" s="113">
        <f t="shared" si="124"/>
        <v>356020</v>
      </c>
      <c r="F117" s="113">
        <f t="shared" si="124"/>
        <v>310870.5</v>
      </c>
      <c r="G117" s="113">
        <f t="shared" si="124"/>
        <v>312029.66000000003</v>
      </c>
      <c r="H117" s="113">
        <f t="shared" si="124"/>
        <v>310870.5</v>
      </c>
      <c r="I117" s="408">
        <f t="shared" si="124"/>
        <v>251739</v>
      </c>
      <c r="J117" s="409">
        <f t="shared" si="124"/>
        <v>253707</v>
      </c>
      <c r="K117" s="396">
        <f t="shared" si="76"/>
        <v>0</v>
      </c>
      <c r="L117" s="396">
        <f t="shared" si="77"/>
        <v>253707</v>
      </c>
      <c r="M117" s="409">
        <f t="shared" ref="M117" si="125">M118+M120+M123+M138+M167</f>
        <v>65298</v>
      </c>
      <c r="N117" s="409">
        <f t="shared" ref="N117" si="126">N118+N120+N123+N138+N167</f>
        <v>71736</v>
      </c>
      <c r="O117" s="409">
        <f t="shared" ref="O117:P117" si="127">O118+O120+O123+O138+O167</f>
        <v>66343</v>
      </c>
      <c r="P117" s="409">
        <f t="shared" si="127"/>
        <v>50330</v>
      </c>
      <c r="Q117" s="409">
        <f t="shared" si="124"/>
        <v>260796</v>
      </c>
      <c r="R117" s="409">
        <f t="shared" si="124"/>
        <v>254836</v>
      </c>
      <c r="S117" s="409">
        <f t="shared" si="124"/>
        <v>261162</v>
      </c>
      <c r="T117" s="3"/>
    </row>
    <row r="118" spans="1:20" ht="15.75" customHeight="1">
      <c r="A118" s="26" t="s">
        <v>8</v>
      </c>
      <c r="B118" s="31" t="s">
        <v>9</v>
      </c>
      <c r="C118" s="90">
        <v>1.02</v>
      </c>
      <c r="D118" s="72">
        <f t="shared" ref="D118:S118" si="128">D119</f>
        <v>180</v>
      </c>
      <c r="E118" s="72">
        <f t="shared" si="128"/>
        <v>156</v>
      </c>
      <c r="F118" s="72">
        <f t="shared" si="128"/>
        <v>108</v>
      </c>
      <c r="G118" s="72">
        <f t="shared" si="128"/>
        <v>180</v>
      </c>
      <c r="H118" s="72">
        <f t="shared" si="128"/>
        <v>108</v>
      </c>
      <c r="I118" s="410">
        <f t="shared" si="128"/>
        <v>300</v>
      </c>
      <c r="J118" s="396">
        <f t="shared" si="128"/>
        <v>300</v>
      </c>
      <c r="K118" s="396">
        <f t="shared" si="76"/>
        <v>0</v>
      </c>
      <c r="L118" s="396">
        <f t="shared" si="77"/>
        <v>300</v>
      </c>
      <c r="M118" s="396">
        <f t="shared" si="128"/>
        <v>0</v>
      </c>
      <c r="N118" s="396">
        <f t="shared" si="128"/>
        <v>150</v>
      </c>
      <c r="O118" s="396">
        <f t="shared" si="128"/>
        <v>150</v>
      </c>
      <c r="P118" s="396">
        <f t="shared" si="128"/>
        <v>0</v>
      </c>
      <c r="Q118" s="396">
        <f t="shared" si="128"/>
        <v>310</v>
      </c>
      <c r="R118" s="396">
        <f t="shared" si="128"/>
        <v>320</v>
      </c>
      <c r="S118" s="396">
        <f t="shared" si="128"/>
        <v>330</v>
      </c>
      <c r="T118" s="3"/>
    </row>
    <row r="119" spans="1:20" ht="16.5" customHeight="1">
      <c r="A119" s="26"/>
      <c r="B119" s="32" t="s">
        <v>10</v>
      </c>
      <c r="C119" s="91" t="s">
        <v>11</v>
      </c>
      <c r="D119" s="75">
        <f>D12</f>
        <v>180</v>
      </c>
      <c r="E119" s="75">
        <f t="shared" ref="E119:J119" si="129">E12</f>
        <v>156</v>
      </c>
      <c r="F119" s="75">
        <f t="shared" si="129"/>
        <v>108</v>
      </c>
      <c r="G119" s="75">
        <f t="shared" si="129"/>
        <v>180</v>
      </c>
      <c r="H119" s="75">
        <f t="shared" si="129"/>
        <v>108</v>
      </c>
      <c r="I119" s="411">
        <f t="shared" si="129"/>
        <v>300</v>
      </c>
      <c r="J119" s="400">
        <f t="shared" si="129"/>
        <v>300</v>
      </c>
      <c r="K119" s="396">
        <f t="shared" si="76"/>
        <v>0</v>
      </c>
      <c r="L119" s="396">
        <f t="shared" si="77"/>
        <v>300</v>
      </c>
      <c r="M119" s="400">
        <f t="shared" ref="M119" si="130">M12</f>
        <v>0</v>
      </c>
      <c r="N119" s="400">
        <f t="shared" ref="N119" si="131">N12</f>
        <v>150</v>
      </c>
      <c r="O119" s="400">
        <f t="shared" ref="O119:P119" si="132">O12</f>
        <v>150</v>
      </c>
      <c r="P119" s="400">
        <f t="shared" si="132"/>
        <v>0</v>
      </c>
      <c r="Q119" s="399">
        <f t="shared" ref="Q119:S119" si="133">Q13</f>
        <v>310</v>
      </c>
      <c r="R119" s="399">
        <f t="shared" si="133"/>
        <v>320</v>
      </c>
      <c r="S119" s="399">
        <f t="shared" si="133"/>
        <v>330</v>
      </c>
      <c r="T119" s="3"/>
    </row>
    <row r="120" spans="1:20" ht="16.5" customHeight="1">
      <c r="A120" s="26" t="s">
        <v>12</v>
      </c>
      <c r="B120" s="33" t="s">
        <v>13</v>
      </c>
      <c r="C120" s="92">
        <v>4.0199999999999996</v>
      </c>
      <c r="D120" s="74">
        <f t="shared" ref="D120:S120" si="134">D121+D122</f>
        <v>163608</v>
      </c>
      <c r="E120" s="74">
        <f t="shared" si="134"/>
        <v>108824</v>
      </c>
      <c r="F120" s="74">
        <f t="shared" si="134"/>
        <v>159549.5</v>
      </c>
      <c r="G120" s="74">
        <f t="shared" si="134"/>
        <v>165210.51</v>
      </c>
      <c r="H120" s="74">
        <f t="shared" si="134"/>
        <v>159549.5</v>
      </c>
      <c r="I120" s="412">
        <f t="shared" si="134"/>
        <v>124730</v>
      </c>
      <c r="J120" s="398">
        <f t="shared" si="134"/>
        <v>124730</v>
      </c>
      <c r="K120" s="396">
        <f t="shared" si="76"/>
        <v>0</v>
      </c>
      <c r="L120" s="396">
        <f t="shared" si="77"/>
        <v>124730</v>
      </c>
      <c r="M120" s="398">
        <f t="shared" ref="M120" si="135">M121+M122</f>
        <v>26000</v>
      </c>
      <c r="N120" s="398">
        <f t="shared" ref="N120" si="136">N121+N122</f>
        <v>36000</v>
      </c>
      <c r="O120" s="398">
        <f t="shared" ref="O120:P120" si="137">O121+O122</f>
        <v>39000</v>
      </c>
      <c r="P120" s="398">
        <f t="shared" si="137"/>
        <v>23730</v>
      </c>
      <c r="Q120" s="398">
        <f t="shared" si="134"/>
        <v>131585</v>
      </c>
      <c r="R120" s="398">
        <f t="shared" si="134"/>
        <v>138083</v>
      </c>
      <c r="S120" s="398">
        <f t="shared" si="134"/>
        <v>144581</v>
      </c>
      <c r="T120" s="3"/>
    </row>
    <row r="121" spans="1:20" ht="18" customHeight="1">
      <c r="A121" s="26"/>
      <c r="B121" s="40" t="s">
        <v>141</v>
      </c>
      <c r="C121" s="19" t="s">
        <v>14</v>
      </c>
      <c r="D121" s="75">
        <f t="shared" ref="D121:S122" si="138">D15</f>
        <v>102782</v>
      </c>
      <c r="E121" s="75">
        <f t="shared" si="138"/>
        <v>79317</v>
      </c>
      <c r="F121" s="75">
        <f t="shared" si="138"/>
        <v>97121</v>
      </c>
      <c r="G121" s="75">
        <f t="shared" si="138"/>
        <v>102782</v>
      </c>
      <c r="H121" s="75">
        <f t="shared" si="138"/>
        <v>97121</v>
      </c>
      <c r="I121" s="411">
        <f t="shared" si="138"/>
        <v>108461</v>
      </c>
      <c r="J121" s="400">
        <f t="shared" si="138"/>
        <v>108461</v>
      </c>
      <c r="K121" s="396">
        <f t="shared" si="76"/>
        <v>0</v>
      </c>
      <c r="L121" s="396">
        <f t="shared" si="77"/>
        <v>108461</v>
      </c>
      <c r="M121" s="399">
        <f t="shared" si="138"/>
        <v>22000</v>
      </c>
      <c r="N121" s="399">
        <f t="shared" si="138"/>
        <v>31500</v>
      </c>
      <c r="O121" s="399">
        <f t="shared" si="138"/>
        <v>34000</v>
      </c>
      <c r="P121" s="399">
        <f t="shared" si="138"/>
        <v>20961</v>
      </c>
      <c r="Q121" s="399">
        <f t="shared" si="138"/>
        <v>91125</v>
      </c>
      <c r="R121" s="399">
        <f t="shared" si="138"/>
        <v>95625</v>
      </c>
      <c r="S121" s="399">
        <f t="shared" si="138"/>
        <v>100125</v>
      </c>
      <c r="T121" s="3"/>
    </row>
    <row r="122" spans="1:20" ht="15.75" customHeight="1">
      <c r="A122" s="26"/>
      <c r="B122" s="40" t="s">
        <v>142</v>
      </c>
      <c r="C122" s="19" t="s">
        <v>15</v>
      </c>
      <c r="D122" s="75">
        <f t="shared" si="138"/>
        <v>60826</v>
      </c>
      <c r="E122" s="75">
        <f t="shared" si="138"/>
        <v>29507</v>
      </c>
      <c r="F122" s="75">
        <f t="shared" si="138"/>
        <v>62428.5</v>
      </c>
      <c r="G122" s="75">
        <f t="shared" si="138"/>
        <v>62428.51</v>
      </c>
      <c r="H122" s="75">
        <f t="shared" si="138"/>
        <v>62428.5</v>
      </c>
      <c r="I122" s="411">
        <f t="shared" si="138"/>
        <v>16269</v>
      </c>
      <c r="J122" s="400">
        <f t="shared" si="138"/>
        <v>16269</v>
      </c>
      <c r="K122" s="396">
        <f t="shared" si="76"/>
        <v>0</v>
      </c>
      <c r="L122" s="396">
        <f t="shared" si="77"/>
        <v>16269</v>
      </c>
      <c r="M122" s="399">
        <f t="shared" si="138"/>
        <v>4000</v>
      </c>
      <c r="N122" s="399">
        <f t="shared" si="138"/>
        <v>4500</v>
      </c>
      <c r="O122" s="399">
        <f t="shared" si="138"/>
        <v>5000</v>
      </c>
      <c r="P122" s="399">
        <f t="shared" si="138"/>
        <v>2769</v>
      </c>
      <c r="Q122" s="399">
        <f t="shared" si="138"/>
        <v>40460</v>
      </c>
      <c r="R122" s="399">
        <f t="shared" si="138"/>
        <v>42458</v>
      </c>
      <c r="S122" s="399">
        <f t="shared" si="138"/>
        <v>44456</v>
      </c>
      <c r="T122" s="3"/>
    </row>
    <row r="123" spans="1:20" ht="18" customHeight="1">
      <c r="A123" s="26" t="s">
        <v>16</v>
      </c>
      <c r="B123" s="33" t="s">
        <v>17</v>
      </c>
      <c r="C123" s="19" t="s">
        <v>18</v>
      </c>
      <c r="D123" s="74">
        <f t="shared" ref="D123:S123" si="139">D124+D136+D137</f>
        <v>138281</v>
      </c>
      <c r="E123" s="74">
        <f t="shared" si="139"/>
        <v>98292</v>
      </c>
      <c r="F123" s="74">
        <f t="shared" si="139"/>
        <v>135935</v>
      </c>
      <c r="G123" s="74">
        <f t="shared" si="139"/>
        <v>143631</v>
      </c>
      <c r="H123" s="74">
        <f t="shared" si="139"/>
        <v>135935</v>
      </c>
      <c r="I123" s="412">
        <f t="shared" si="139"/>
        <v>110422</v>
      </c>
      <c r="J123" s="398">
        <f t="shared" si="139"/>
        <v>112486</v>
      </c>
      <c r="K123" s="396">
        <f t="shared" si="76"/>
        <v>0</v>
      </c>
      <c r="L123" s="396">
        <f t="shared" si="77"/>
        <v>112486</v>
      </c>
      <c r="M123" s="398">
        <f t="shared" ref="M123" si="140">M124+M136+M137</f>
        <v>35855</v>
      </c>
      <c r="N123" s="398">
        <f t="shared" ref="N123" si="141">N124+N136+N137</f>
        <v>30752</v>
      </c>
      <c r="O123" s="398">
        <f t="shared" ref="O123:P123" si="142">O124+O136+O137</f>
        <v>23787</v>
      </c>
      <c r="P123" s="398">
        <f t="shared" si="142"/>
        <v>22092</v>
      </c>
      <c r="Q123" s="398">
        <f t="shared" si="139"/>
        <v>109544</v>
      </c>
      <c r="R123" s="398">
        <f t="shared" si="139"/>
        <v>96724</v>
      </c>
      <c r="S123" s="398">
        <f t="shared" si="139"/>
        <v>96237</v>
      </c>
      <c r="T123" s="3"/>
    </row>
    <row r="124" spans="1:20" ht="18" customHeight="1">
      <c r="A124" s="41">
        <v>1</v>
      </c>
      <c r="B124" s="33" t="s">
        <v>143</v>
      </c>
      <c r="C124" s="19" t="s">
        <v>19</v>
      </c>
      <c r="D124" s="72">
        <f t="shared" ref="D124:J124" si="143">D125+D126+D128+D129+D130+D131+D134+D135+D127</f>
        <v>27456</v>
      </c>
      <c r="E124" s="72">
        <f t="shared" si="143"/>
        <v>68612</v>
      </c>
      <c r="F124" s="72">
        <f t="shared" si="143"/>
        <v>26708</v>
      </c>
      <c r="G124" s="72">
        <f t="shared" si="143"/>
        <v>34404</v>
      </c>
      <c r="H124" s="72">
        <f t="shared" si="143"/>
        <v>26708</v>
      </c>
      <c r="I124" s="410">
        <f t="shared" si="143"/>
        <v>49416</v>
      </c>
      <c r="J124" s="396">
        <f t="shared" si="143"/>
        <v>49480</v>
      </c>
      <c r="K124" s="396">
        <f t="shared" si="76"/>
        <v>0</v>
      </c>
      <c r="L124" s="396">
        <f t="shared" si="77"/>
        <v>49480</v>
      </c>
      <c r="M124" s="396">
        <f t="shared" ref="M124" si="144">M125+M126+M128+M129+M130+M131+M134+M135+M127</f>
        <v>18500</v>
      </c>
      <c r="N124" s="396">
        <f t="shared" ref="N124" si="145">N125+N126+N128+N129+N130+N131+N134+N135+N127</f>
        <v>14500</v>
      </c>
      <c r="O124" s="396">
        <f t="shared" ref="O124:P124" si="146">O125+O126+O128+O129+O130+O131+O134+O135+O127</f>
        <v>10000</v>
      </c>
      <c r="P124" s="396">
        <f t="shared" si="146"/>
        <v>6480</v>
      </c>
      <c r="Q124" s="396">
        <f>Q125+Q126+Q128+Q129+Q130+Q131+Q134+Q135+Q127</f>
        <v>66341</v>
      </c>
      <c r="R124" s="396">
        <f>R125+R126+R128+R129+R130+R131+R134+R135+R127</f>
        <v>66395</v>
      </c>
      <c r="S124" s="396">
        <f>S125+S126+S128+S129+S130+S131+S134+S135+S127</f>
        <v>66446</v>
      </c>
      <c r="T124" s="3"/>
    </row>
    <row r="125" spans="1:20" ht="16.5" customHeight="1">
      <c r="A125" s="41"/>
      <c r="B125" s="40" t="s">
        <v>20</v>
      </c>
      <c r="C125" s="19" t="s">
        <v>19</v>
      </c>
      <c r="D125" s="75">
        <f t="shared" ref="D125:S130" si="147">D19</f>
        <v>0</v>
      </c>
      <c r="E125" s="75">
        <f t="shared" si="147"/>
        <v>29299</v>
      </c>
      <c r="F125" s="75">
        <f t="shared" si="147"/>
        <v>0</v>
      </c>
      <c r="G125" s="75">
        <f t="shared" si="147"/>
        <v>0</v>
      </c>
      <c r="H125" s="75">
        <f t="shared" si="147"/>
        <v>0</v>
      </c>
      <c r="I125" s="329">
        <f t="shared" si="147"/>
        <v>12503</v>
      </c>
      <c r="J125" s="75">
        <f t="shared" si="147"/>
        <v>12503</v>
      </c>
      <c r="K125" s="72">
        <f t="shared" si="76"/>
        <v>0</v>
      </c>
      <c r="L125" s="72">
        <f t="shared" si="77"/>
        <v>12503</v>
      </c>
      <c r="M125" s="75">
        <f t="shared" ref="M125" si="148">M19</f>
        <v>4210</v>
      </c>
      <c r="N125" s="75">
        <f t="shared" ref="N125" si="149">N19</f>
        <v>4410</v>
      </c>
      <c r="O125" s="75">
        <f t="shared" ref="O125:P125" si="150">O19</f>
        <v>2888</v>
      </c>
      <c r="P125" s="75">
        <f t="shared" si="150"/>
        <v>995</v>
      </c>
      <c r="Q125" s="75">
        <f t="shared" si="147"/>
        <v>22505</v>
      </c>
      <c r="R125" s="75">
        <f t="shared" si="147"/>
        <v>22505</v>
      </c>
      <c r="S125" s="75">
        <f t="shared" si="147"/>
        <v>22505</v>
      </c>
      <c r="T125" s="3"/>
    </row>
    <row r="126" spans="1:20" ht="12.75" customHeight="1">
      <c r="A126" s="41"/>
      <c r="B126" s="40" t="s">
        <v>474</v>
      </c>
      <c r="C126" s="19" t="s">
        <v>19</v>
      </c>
      <c r="D126" s="75">
        <f t="shared" si="147"/>
        <v>0</v>
      </c>
      <c r="E126" s="75">
        <f t="shared" si="147"/>
        <v>17083</v>
      </c>
      <c r="F126" s="75">
        <f t="shared" si="147"/>
        <v>0</v>
      </c>
      <c r="G126" s="75">
        <f t="shared" si="147"/>
        <v>0</v>
      </c>
      <c r="H126" s="75">
        <f t="shared" si="147"/>
        <v>0</v>
      </c>
      <c r="I126" s="329">
        <f t="shared" si="147"/>
        <v>8506</v>
      </c>
      <c r="J126" s="75">
        <f t="shared" si="147"/>
        <v>8506</v>
      </c>
      <c r="K126" s="72">
        <f t="shared" si="76"/>
        <v>0</v>
      </c>
      <c r="L126" s="72">
        <f t="shared" si="77"/>
        <v>8506</v>
      </c>
      <c r="M126" s="75">
        <f t="shared" ref="M126" si="151">M20</f>
        <v>3000</v>
      </c>
      <c r="N126" s="75">
        <f t="shared" ref="N126" si="152">N20</f>
        <v>2800</v>
      </c>
      <c r="O126" s="75">
        <f t="shared" ref="O126:P126" si="153">O20</f>
        <v>2200</v>
      </c>
      <c r="P126" s="75">
        <f t="shared" si="153"/>
        <v>506</v>
      </c>
      <c r="Q126" s="75">
        <f t="shared" si="147"/>
        <v>15311</v>
      </c>
      <c r="R126" s="75">
        <f t="shared" si="147"/>
        <v>15311</v>
      </c>
      <c r="S126" s="75">
        <f t="shared" si="147"/>
        <v>15311</v>
      </c>
      <c r="T126" s="3"/>
    </row>
    <row r="127" spans="1:20" ht="12.75" customHeight="1">
      <c r="A127" s="41"/>
      <c r="B127" s="40" t="s">
        <v>22</v>
      </c>
      <c r="C127" s="19" t="s">
        <v>19</v>
      </c>
      <c r="D127" s="75">
        <f t="shared" si="147"/>
        <v>71</v>
      </c>
      <c r="E127" s="75">
        <f t="shared" si="147"/>
        <v>71</v>
      </c>
      <c r="F127" s="75">
        <f t="shared" si="147"/>
        <v>71</v>
      </c>
      <c r="G127" s="75">
        <f t="shared" si="147"/>
        <v>71</v>
      </c>
      <c r="H127" s="75">
        <f t="shared" si="147"/>
        <v>71</v>
      </c>
      <c r="I127" s="329">
        <f t="shared" si="147"/>
        <v>7</v>
      </c>
      <c r="J127" s="75">
        <f t="shared" si="147"/>
        <v>71</v>
      </c>
      <c r="K127" s="72">
        <f t="shared" si="76"/>
        <v>0</v>
      </c>
      <c r="L127" s="72">
        <f t="shared" si="77"/>
        <v>71</v>
      </c>
      <c r="M127" s="75">
        <f t="shared" ref="M127" si="154">M21</f>
        <v>20</v>
      </c>
      <c r="N127" s="75">
        <f t="shared" ref="N127" si="155">N21</f>
        <v>20</v>
      </c>
      <c r="O127" s="75">
        <f t="shared" ref="O127:P127" si="156">O21</f>
        <v>31</v>
      </c>
      <c r="P127" s="75">
        <f t="shared" si="156"/>
        <v>0</v>
      </c>
      <c r="Q127" s="75">
        <f t="shared" si="147"/>
        <v>71</v>
      </c>
      <c r="R127" s="75">
        <f t="shared" si="147"/>
        <v>71</v>
      </c>
      <c r="S127" s="75">
        <f t="shared" si="147"/>
        <v>71</v>
      </c>
      <c r="T127" s="3"/>
    </row>
    <row r="128" spans="1:20" ht="15" customHeight="1">
      <c r="A128" s="41"/>
      <c r="B128" s="40" t="s">
        <v>475</v>
      </c>
      <c r="C128" s="19" t="s">
        <v>19</v>
      </c>
      <c r="D128" s="75">
        <f t="shared" si="147"/>
        <v>10744</v>
      </c>
      <c r="E128" s="75">
        <f t="shared" si="147"/>
        <v>6965</v>
      </c>
      <c r="F128" s="75">
        <f t="shared" si="147"/>
        <v>9996</v>
      </c>
      <c r="G128" s="75">
        <f t="shared" si="147"/>
        <v>17692</v>
      </c>
      <c r="H128" s="75">
        <f t="shared" si="147"/>
        <v>9996</v>
      </c>
      <c r="I128" s="329">
        <f t="shared" si="147"/>
        <v>11957</v>
      </c>
      <c r="J128" s="75">
        <f t="shared" si="147"/>
        <v>11957</v>
      </c>
      <c r="K128" s="72">
        <f t="shared" si="76"/>
        <v>0</v>
      </c>
      <c r="L128" s="72">
        <f t="shared" si="77"/>
        <v>11957</v>
      </c>
      <c r="M128" s="75">
        <f t="shared" ref="M128" si="157">M22</f>
        <v>5000</v>
      </c>
      <c r="N128" s="75">
        <f t="shared" ref="N128" si="158">N22</f>
        <v>2000</v>
      </c>
      <c r="O128" s="75">
        <f t="shared" ref="O128:P128" si="159">O22</f>
        <v>2600</v>
      </c>
      <c r="P128" s="75">
        <f t="shared" si="159"/>
        <v>2357</v>
      </c>
      <c r="Q128" s="75">
        <f t="shared" si="147"/>
        <v>11957</v>
      </c>
      <c r="R128" s="75">
        <f t="shared" si="147"/>
        <v>11957</v>
      </c>
      <c r="S128" s="75">
        <f t="shared" si="147"/>
        <v>11957</v>
      </c>
      <c r="T128" s="3"/>
    </row>
    <row r="129" spans="1:20" ht="15.75" hidden="1" customHeight="1">
      <c r="A129" s="41"/>
      <c r="B129" s="40" t="s">
        <v>25</v>
      </c>
      <c r="C129" s="19"/>
      <c r="D129" s="75">
        <f t="shared" si="147"/>
        <v>0</v>
      </c>
      <c r="E129" s="75"/>
      <c r="F129" s="75"/>
      <c r="G129" s="75"/>
      <c r="H129" s="75"/>
      <c r="I129" s="329"/>
      <c r="J129" s="75"/>
      <c r="K129" s="72">
        <f t="shared" si="76"/>
        <v>0</v>
      </c>
      <c r="L129" s="72">
        <f t="shared" si="77"/>
        <v>0</v>
      </c>
      <c r="M129" s="75"/>
      <c r="N129" s="75"/>
      <c r="O129" s="75"/>
      <c r="P129" s="75"/>
      <c r="Q129" s="75">
        <f t="shared" si="147"/>
        <v>0</v>
      </c>
      <c r="R129" s="75">
        <f t="shared" si="147"/>
        <v>0</v>
      </c>
      <c r="S129" s="75">
        <f t="shared" si="147"/>
        <v>0</v>
      </c>
      <c r="T129" s="3"/>
    </row>
    <row r="130" spans="1:20" ht="15">
      <c r="A130" s="41"/>
      <c r="B130" s="40" t="s">
        <v>144</v>
      </c>
      <c r="C130" s="19" t="s">
        <v>19</v>
      </c>
      <c r="D130" s="75">
        <f t="shared" si="147"/>
        <v>2732</v>
      </c>
      <c r="E130" s="75">
        <f t="shared" si="147"/>
        <v>1914</v>
      </c>
      <c r="F130" s="75">
        <f t="shared" si="147"/>
        <v>2732</v>
      </c>
      <c r="G130" s="75">
        <f t="shared" si="147"/>
        <v>2732</v>
      </c>
      <c r="H130" s="75">
        <f t="shared" si="147"/>
        <v>2732</v>
      </c>
      <c r="I130" s="329">
        <f t="shared" si="147"/>
        <v>2495</v>
      </c>
      <c r="J130" s="75">
        <f t="shared" si="147"/>
        <v>2495</v>
      </c>
      <c r="K130" s="72">
        <f t="shared" si="76"/>
        <v>0</v>
      </c>
      <c r="L130" s="72">
        <f t="shared" si="77"/>
        <v>2495</v>
      </c>
      <c r="M130" s="75">
        <f t="shared" ref="M130" si="160">M24</f>
        <v>1200</v>
      </c>
      <c r="N130" s="75">
        <f t="shared" ref="N130" si="161">N24</f>
        <v>700</v>
      </c>
      <c r="O130" s="75">
        <f t="shared" ref="O130:P130" si="162">O24</f>
        <v>390</v>
      </c>
      <c r="P130" s="75">
        <f t="shared" si="162"/>
        <v>205</v>
      </c>
      <c r="Q130" s="75">
        <f t="shared" si="147"/>
        <v>2535</v>
      </c>
      <c r="R130" s="75">
        <f t="shared" si="147"/>
        <v>2575</v>
      </c>
      <c r="S130" s="75">
        <f t="shared" si="147"/>
        <v>2613</v>
      </c>
      <c r="T130" s="3"/>
    </row>
    <row r="131" spans="1:20" ht="16.5" customHeight="1">
      <c r="A131" s="41"/>
      <c r="B131" s="40" t="s">
        <v>145</v>
      </c>
      <c r="C131" s="19" t="s">
        <v>19</v>
      </c>
      <c r="D131" s="75">
        <f t="shared" ref="D131:S137" si="163">D29</f>
        <v>13666</v>
      </c>
      <c r="E131" s="75">
        <f t="shared" si="163"/>
        <v>13055</v>
      </c>
      <c r="F131" s="75">
        <f t="shared" si="163"/>
        <v>13666</v>
      </c>
      <c r="G131" s="75">
        <f t="shared" si="163"/>
        <v>13666</v>
      </c>
      <c r="H131" s="75">
        <f t="shared" si="163"/>
        <v>13666</v>
      </c>
      <c r="I131" s="329">
        <f t="shared" si="163"/>
        <v>13672</v>
      </c>
      <c r="J131" s="75">
        <f t="shared" si="163"/>
        <v>13672</v>
      </c>
      <c r="K131" s="72">
        <f t="shared" si="76"/>
        <v>0</v>
      </c>
      <c r="L131" s="72">
        <f t="shared" si="77"/>
        <v>13672</v>
      </c>
      <c r="M131" s="75">
        <f t="shared" ref="M131" si="164">M29</f>
        <v>5000</v>
      </c>
      <c r="N131" s="75">
        <f t="shared" ref="N131" si="165">N29</f>
        <v>4500</v>
      </c>
      <c r="O131" s="75">
        <f t="shared" ref="O131:P131" si="166">O29</f>
        <v>1831</v>
      </c>
      <c r="P131" s="75">
        <f t="shared" si="166"/>
        <v>2341</v>
      </c>
      <c r="Q131" s="75">
        <f t="shared" si="163"/>
        <v>13678</v>
      </c>
      <c r="R131" s="75">
        <f t="shared" si="163"/>
        <v>13684</v>
      </c>
      <c r="S131" s="75">
        <f t="shared" si="163"/>
        <v>13689</v>
      </c>
      <c r="T131" s="3"/>
    </row>
    <row r="132" spans="1:20" ht="14.25" customHeight="1">
      <c r="A132" s="41"/>
      <c r="B132" s="40" t="s">
        <v>146</v>
      </c>
      <c r="C132" s="19" t="s">
        <v>19</v>
      </c>
      <c r="D132" s="75">
        <f t="shared" si="163"/>
        <v>12860</v>
      </c>
      <c r="E132" s="75">
        <f t="shared" si="163"/>
        <v>12855</v>
      </c>
      <c r="F132" s="75">
        <f t="shared" si="163"/>
        <v>12860</v>
      </c>
      <c r="G132" s="75">
        <f t="shared" si="163"/>
        <v>12860</v>
      </c>
      <c r="H132" s="75">
        <f t="shared" si="163"/>
        <v>12860</v>
      </c>
      <c r="I132" s="329">
        <f t="shared" si="163"/>
        <v>13672</v>
      </c>
      <c r="J132" s="75">
        <f t="shared" si="163"/>
        <v>13672</v>
      </c>
      <c r="K132" s="72">
        <f t="shared" si="76"/>
        <v>0</v>
      </c>
      <c r="L132" s="72">
        <f t="shared" si="77"/>
        <v>13672</v>
      </c>
      <c r="M132" s="75">
        <f t="shared" ref="M132" si="167">M30</f>
        <v>5000</v>
      </c>
      <c r="N132" s="75">
        <f t="shared" ref="N132" si="168">N30</f>
        <v>4500</v>
      </c>
      <c r="O132" s="75">
        <f t="shared" ref="O132:P132" si="169">O30</f>
        <v>1831</v>
      </c>
      <c r="P132" s="75">
        <f t="shared" si="169"/>
        <v>2341</v>
      </c>
      <c r="Q132" s="75">
        <f t="shared" si="163"/>
        <v>13678</v>
      </c>
      <c r="R132" s="75">
        <f t="shared" si="163"/>
        <v>13684</v>
      </c>
      <c r="S132" s="75">
        <f t="shared" si="163"/>
        <v>13689</v>
      </c>
      <c r="T132" s="3"/>
    </row>
    <row r="133" spans="1:20" ht="0.75" customHeight="1">
      <c r="A133" s="41"/>
      <c r="B133" s="40" t="s">
        <v>147</v>
      </c>
      <c r="C133" s="19" t="s">
        <v>19</v>
      </c>
      <c r="D133" s="75">
        <f t="shared" si="163"/>
        <v>806</v>
      </c>
      <c r="E133" s="75">
        <f t="shared" si="163"/>
        <v>200</v>
      </c>
      <c r="F133" s="75">
        <f t="shared" si="163"/>
        <v>806</v>
      </c>
      <c r="G133" s="75">
        <f t="shared" si="163"/>
        <v>806</v>
      </c>
      <c r="H133" s="75">
        <f t="shared" si="163"/>
        <v>806</v>
      </c>
      <c r="I133" s="329">
        <f t="shared" si="163"/>
        <v>0</v>
      </c>
      <c r="J133" s="75">
        <f t="shared" si="163"/>
        <v>0</v>
      </c>
      <c r="K133" s="72">
        <f t="shared" si="76"/>
        <v>0</v>
      </c>
      <c r="L133" s="72">
        <f t="shared" si="77"/>
        <v>0</v>
      </c>
      <c r="M133" s="75">
        <f t="shared" ref="M133" si="170">M31</f>
        <v>0</v>
      </c>
      <c r="N133" s="75">
        <f t="shared" ref="N133" si="171">N31</f>
        <v>0</v>
      </c>
      <c r="O133" s="75">
        <f t="shared" ref="O133:P133" si="172">O31</f>
        <v>0</v>
      </c>
      <c r="P133" s="75">
        <f t="shared" si="172"/>
        <v>0</v>
      </c>
      <c r="Q133" s="75">
        <f t="shared" si="163"/>
        <v>0</v>
      </c>
      <c r="R133" s="75">
        <f t="shared" si="163"/>
        <v>0</v>
      </c>
      <c r="S133" s="75">
        <f t="shared" si="163"/>
        <v>0</v>
      </c>
      <c r="T133" s="3"/>
    </row>
    <row r="134" spans="1:20" ht="18.75" customHeight="1">
      <c r="A134" s="41"/>
      <c r="B134" s="40" t="s">
        <v>28</v>
      </c>
      <c r="C134" s="19" t="s">
        <v>19</v>
      </c>
      <c r="D134" s="75">
        <f t="shared" si="163"/>
        <v>243</v>
      </c>
      <c r="E134" s="75">
        <f t="shared" si="163"/>
        <v>225</v>
      </c>
      <c r="F134" s="75">
        <f t="shared" si="163"/>
        <v>243</v>
      </c>
      <c r="G134" s="75">
        <f t="shared" si="163"/>
        <v>243</v>
      </c>
      <c r="H134" s="75">
        <f t="shared" si="163"/>
        <v>243</v>
      </c>
      <c r="I134" s="329">
        <f t="shared" si="163"/>
        <v>276</v>
      </c>
      <c r="J134" s="75">
        <f t="shared" si="163"/>
        <v>276</v>
      </c>
      <c r="K134" s="72">
        <f t="shared" si="76"/>
        <v>0</v>
      </c>
      <c r="L134" s="72">
        <f t="shared" si="77"/>
        <v>276</v>
      </c>
      <c r="M134" s="75">
        <f t="shared" ref="M134" si="173">M32</f>
        <v>70</v>
      </c>
      <c r="N134" s="75">
        <f t="shared" ref="N134" si="174">N32</f>
        <v>70</v>
      </c>
      <c r="O134" s="75">
        <f t="shared" ref="O134:P134" si="175">O32</f>
        <v>60</v>
      </c>
      <c r="P134" s="75">
        <f t="shared" si="175"/>
        <v>76</v>
      </c>
      <c r="Q134" s="75">
        <f t="shared" si="163"/>
        <v>284</v>
      </c>
      <c r="R134" s="75">
        <f t="shared" si="163"/>
        <v>292</v>
      </c>
      <c r="S134" s="75">
        <f t="shared" si="163"/>
        <v>300</v>
      </c>
      <c r="T134" s="3"/>
    </row>
    <row r="135" spans="1:20" ht="0.75" customHeight="1">
      <c r="A135" s="41"/>
      <c r="B135" s="39" t="s">
        <v>30</v>
      </c>
      <c r="C135" s="19"/>
      <c r="D135" s="75">
        <f t="shared" si="163"/>
        <v>0</v>
      </c>
      <c r="E135" s="75"/>
      <c r="F135" s="75"/>
      <c r="G135" s="75"/>
      <c r="H135" s="75"/>
      <c r="I135" s="329"/>
      <c r="J135" s="75"/>
      <c r="K135" s="72">
        <f t="shared" si="76"/>
        <v>0</v>
      </c>
      <c r="L135" s="72">
        <f t="shared" si="77"/>
        <v>0</v>
      </c>
      <c r="M135" s="75"/>
      <c r="N135" s="75"/>
      <c r="O135" s="75"/>
      <c r="P135" s="75"/>
      <c r="Q135" s="75">
        <f t="shared" si="163"/>
        <v>0</v>
      </c>
      <c r="R135" s="75">
        <f t="shared" si="163"/>
        <v>0</v>
      </c>
      <c r="S135" s="75">
        <f t="shared" si="163"/>
        <v>0</v>
      </c>
      <c r="T135" s="3"/>
    </row>
    <row r="136" spans="1:20" ht="18.75" customHeight="1">
      <c r="A136" s="41">
        <v>2</v>
      </c>
      <c r="B136" s="33" t="s">
        <v>31</v>
      </c>
      <c r="C136" s="19" t="s">
        <v>32</v>
      </c>
      <c r="D136" s="78">
        <f t="shared" si="163"/>
        <v>9341</v>
      </c>
      <c r="E136" s="78">
        <f t="shared" si="163"/>
        <v>9677</v>
      </c>
      <c r="F136" s="78">
        <f t="shared" si="163"/>
        <v>5591</v>
      </c>
      <c r="G136" s="78">
        <f t="shared" si="163"/>
        <v>5591</v>
      </c>
      <c r="H136" s="78">
        <f t="shared" si="163"/>
        <v>5591</v>
      </c>
      <c r="I136" s="334">
        <f t="shared" si="163"/>
        <v>10832</v>
      </c>
      <c r="J136" s="78">
        <f t="shared" si="163"/>
        <v>12832</v>
      </c>
      <c r="K136" s="72">
        <f t="shared" si="76"/>
        <v>0</v>
      </c>
      <c r="L136" s="72">
        <f t="shared" si="77"/>
        <v>12832</v>
      </c>
      <c r="M136" s="78">
        <f t="shared" ref="M136" si="176">M34</f>
        <v>3800</v>
      </c>
      <c r="N136" s="78">
        <f t="shared" ref="N136" si="177">N34</f>
        <v>3200</v>
      </c>
      <c r="O136" s="78">
        <f t="shared" ref="O136:P136" si="178">O34</f>
        <v>3050</v>
      </c>
      <c r="P136" s="78">
        <f t="shared" si="178"/>
        <v>2782</v>
      </c>
      <c r="Q136" s="78">
        <f t="shared" si="163"/>
        <v>12916</v>
      </c>
      <c r="R136" s="78">
        <f t="shared" si="163"/>
        <v>12916</v>
      </c>
      <c r="S136" s="78">
        <f t="shared" si="163"/>
        <v>12916</v>
      </c>
      <c r="T136" s="3"/>
    </row>
    <row r="137" spans="1:20" ht="15.75" customHeight="1">
      <c r="A137" s="41">
        <v>3</v>
      </c>
      <c r="B137" s="33" t="s">
        <v>33</v>
      </c>
      <c r="C137" s="19" t="s">
        <v>34</v>
      </c>
      <c r="D137" s="78">
        <f t="shared" si="163"/>
        <v>101484</v>
      </c>
      <c r="E137" s="78">
        <f t="shared" si="163"/>
        <v>20003</v>
      </c>
      <c r="F137" s="78">
        <f t="shared" si="163"/>
        <v>103636</v>
      </c>
      <c r="G137" s="78">
        <f t="shared" si="163"/>
        <v>103636</v>
      </c>
      <c r="H137" s="78">
        <f t="shared" si="163"/>
        <v>103636</v>
      </c>
      <c r="I137" s="334">
        <f t="shared" si="163"/>
        <v>50174</v>
      </c>
      <c r="J137" s="78">
        <f t="shared" si="163"/>
        <v>50174</v>
      </c>
      <c r="K137" s="72">
        <f t="shared" si="76"/>
        <v>0</v>
      </c>
      <c r="L137" s="72">
        <f t="shared" si="77"/>
        <v>50174</v>
      </c>
      <c r="M137" s="78">
        <f t="shared" ref="M137" si="179">M35</f>
        <v>13555</v>
      </c>
      <c r="N137" s="78">
        <f t="shared" ref="N137" si="180">N35</f>
        <v>13052</v>
      </c>
      <c r="O137" s="78">
        <f t="shared" ref="O137:P137" si="181">O35</f>
        <v>10737</v>
      </c>
      <c r="P137" s="78">
        <f t="shared" si="181"/>
        <v>12830</v>
      </c>
      <c r="Q137" s="78">
        <f t="shared" si="163"/>
        <v>30287</v>
      </c>
      <c r="R137" s="78">
        <f t="shared" si="163"/>
        <v>17413</v>
      </c>
      <c r="S137" s="78">
        <f t="shared" si="163"/>
        <v>16875</v>
      </c>
      <c r="T137" s="3"/>
    </row>
    <row r="138" spans="1:20" ht="21.75" customHeight="1">
      <c r="A138" s="26" t="s">
        <v>35</v>
      </c>
      <c r="B138" s="33" t="s">
        <v>810</v>
      </c>
      <c r="C138" s="92"/>
      <c r="D138" s="74">
        <f t="shared" ref="D138:S138" si="182">D139+D143+D150+D157+D160+D155</f>
        <v>-225.1200000000008</v>
      </c>
      <c r="E138" s="74">
        <f t="shared" si="182"/>
        <v>8514</v>
      </c>
      <c r="F138" s="74">
        <f t="shared" si="182"/>
        <v>8941</v>
      </c>
      <c r="G138" s="74">
        <f t="shared" si="182"/>
        <v>-3812.8500000000004</v>
      </c>
      <c r="H138" s="74">
        <f t="shared" si="182"/>
        <v>8941</v>
      </c>
      <c r="I138" s="337">
        <f t="shared" si="182"/>
        <v>14087</v>
      </c>
      <c r="J138" s="74">
        <f t="shared" si="182"/>
        <v>9700</v>
      </c>
      <c r="K138" s="72">
        <f t="shared" si="76"/>
        <v>0</v>
      </c>
      <c r="L138" s="72">
        <f t="shared" si="77"/>
        <v>9700</v>
      </c>
      <c r="M138" s="74">
        <f t="shared" ref="M138" si="183">M139+M143+M150+M157+M160+M155</f>
        <v>1733</v>
      </c>
      <c r="N138" s="74">
        <f t="shared" ref="N138" si="184">N139+N143+N150+N157+N160+N155</f>
        <v>3124</v>
      </c>
      <c r="O138" s="74">
        <f t="shared" ref="O138:P138" si="185">O139+O143+O150+O157+O160+O155</f>
        <v>1719</v>
      </c>
      <c r="P138" s="74">
        <f t="shared" si="185"/>
        <v>3124</v>
      </c>
      <c r="Q138" s="74">
        <f t="shared" si="182"/>
        <v>10053</v>
      </c>
      <c r="R138" s="74">
        <f t="shared" si="182"/>
        <v>10355</v>
      </c>
      <c r="S138" s="74">
        <f t="shared" si="182"/>
        <v>10660</v>
      </c>
      <c r="T138" s="3"/>
    </row>
    <row r="139" spans="1:20" ht="32.25" customHeight="1">
      <c r="A139" s="41">
        <v>1</v>
      </c>
      <c r="B139" s="38" t="s">
        <v>148</v>
      </c>
      <c r="C139" s="19">
        <v>16.02</v>
      </c>
      <c r="D139" s="78">
        <f t="shared" ref="D139:S139" si="186">D140+D142+D141</f>
        <v>4010</v>
      </c>
      <c r="E139" s="78">
        <f t="shared" si="186"/>
        <v>2843</v>
      </c>
      <c r="F139" s="78">
        <f t="shared" si="186"/>
        <v>3498</v>
      </c>
      <c r="G139" s="78">
        <f t="shared" si="186"/>
        <v>4010</v>
      </c>
      <c r="H139" s="78">
        <f t="shared" si="186"/>
        <v>3498</v>
      </c>
      <c r="I139" s="334">
        <f t="shared" si="186"/>
        <v>3400</v>
      </c>
      <c r="J139" s="78">
        <f t="shared" si="186"/>
        <v>3400</v>
      </c>
      <c r="K139" s="72">
        <f t="shared" si="76"/>
        <v>0</v>
      </c>
      <c r="L139" s="72">
        <f t="shared" si="77"/>
        <v>3400</v>
      </c>
      <c r="M139" s="78">
        <f t="shared" ref="M139" si="187">M140+M142+M141</f>
        <v>858</v>
      </c>
      <c r="N139" s="78">
        <f t="shared" ref="N139" si="188">N140+N142+N141</f>
        <v>848</v>
      </c>
      <c r="O139" s="78">
        <f t="shared" ref="O139:P139" si="189">O140+O142+O141</f>
        <v>844</v>
      </c>
      <c r="P139" s="78">
        <f t="shared" si="189"/>
        <v>850</v>
      </c>
      <c r="Q139" s="78">
        <f t="shared" si="186"/>
        <v>3560</v>
      </c>
      <c r="R139" s="78">
        <f t="shared" si="186"/>
        <v>3670</v>
      </c>
      <c r="S139" s="78">
        <f t="shared" si="186"/>
        <v>3780</v>
      </c>
      <c r="T139" s="3"/>
    </row>
    <row r="140" spans="1:20" ht="22.5" customHeight="1">
      <c r="A140" s="41"/>
      <c r="B140" s="40" t="s">
        <v>37</v>
      </c>
      <c r="C140" s="19" t="s">
        <v>38</v>
      </c>
      <c r="D140" s="75">
        <f t="shared" ref="D140:S143" si="190">D39</f>
        <v>200</v>
      </c>
      <c r="E140" s="75">
        <f t="shared" si="190"/>
        <v>159</v>
      </c>
      <c r="F140" s="75">
        <f t="shared" si="190"/>
        <v>173</v>
      </c>
      <c r="G140" s="75">
        <f t="shared" si="190"/>
        <v>200</v>
      </c>
      <c r="H140" s="75">
        <f t="shared" si="190"/>
        <v>173</v>
      </c>
      <c r="I140" s="329">
        <f t="shared" si="190"/>
        <v>200</v>
      </c>
      <c r="J140" s="75">
        <f t="shared" si="190"/>
        <v>200</v>
      </c>
      <c r="K140" s="72">
        <f t="shared" ref="K140:K203" si="191">J140-L140</f>
        <v>0</v>
      </c>
      <c r="L140" s="72">
        <f t="shared" ref="L140:L203" si="192">M140+N140+O140+P140</f>
        <v>200</v>
      </c>
      <c r="M140" s="75">
        <f t="shared" ref="M140" si="193">M39</f>
        <v>50</v>
      </c>
      <c r="N140" s="75">
        <f t="shared" ref="N140" si="194">N39</f>
        <v>50</v>
      </c>
      <c r="O140" s="75">
        <f t="shared" ref="O140:P140" si="195">O39</f>
        <v>50</v>
      </c>
      <c r="P140" s="75">
        <f t="shared" si="195"/>
        <v>50</v>
      </c>
      <c r="Q140" s="75">
        <f t="shared" si="190"/>
        <v>210</v>
      </c>
      <c r="R140" s="75">
        <f t="shared" si="190"/>
        <v>220</v>
      </c>
      <c r="S140" s="75">
        <f t="shared" si="190"/>
        <v>230</v>
      </c>
      <c r="T140" s="3"/>
    </row>
    <row r="141" spans="1:20" ht="30" customHeight="1">
      <c r="A141" s="41"/>
      <c r="B141" s="39" t="s">
        <v>39</v>
      </c>
      <c r="C141" s="19" t="s">
        <v>40</v>
      </c>
      <c r="D141" s="75">
        <f t="shared" si="190"/>
        <v>3000</v>
      </c>
      <c r="E141" s="75">
        <f t="shared" si="190"/>
        <v>2454</v>
      </c>
      <c r="F141" s="75">
        <f t="shared" si="190"/>
        <v>2603</v>
      </c>
      <c r="G141" s="75">
        <f t="shared" si="190"/>
        <v>3000</v>
      </c>
      <c r="H141" s="75">
        <f t="shared" si="190"/>
        <v>2603</v>
      </c>
      <c r="I141" s="329">
        <f t="shared" si="190"/>
        <v>2700</v>
      </c>
      <c r="J141" s="75">
        <f t="shared" si="190"/>
        <v>2700</v>
      </c>
      <c r="K141" s="72">
        <f t="shared" si="191"/>
        <v>0</v>
      </c>
      <c r="L141" s="72">
        <f t="shared" si="192"/>
        <v>2700</v>
      </c>
      <c r="M141" s="75">
        <f t="shared" ref="M141" si="196">M40</f>
        <v>683</v>
      </c>
      <c r="N141" s="75">
        <f t="shared" ref="N141" si="197">N40</f>
        <v>673</v>
      </c>
      <c r="O141" s="75">
        <f t="shared" ref="O141:P141" si="198">O40</f>
        <v>669</v>
      </c>
      <c r="P141" s="75">
        <f t="shared" si="198"/>
        <v>675</v>
      </c>
      <c r="Q141" s="75">
        <f t="shared" si="190"/>
        <v>2800</v>
      </c>
      <c r="R141" s="75">
        <f t="shared" si="190"/>
        <v>2850</v>
      </c>
      <c r="S141" s="75">
        <f t="shared" si="190"/>
        <v>2900</v>
      </c>
      <c r="T141" s="3"/>
    </row>
    <row r="142" spans="1:20" ht="18.75" customHeight="1">
      <c r="A142" s="41"/>
      <c r="B142" s="40" t="s">
        <v>149</v>
      </c>
      <c r="C142" s="19" t="s">
        <v>42</v>
      </c>
      <c r="D142" s="75">
        <f t="shared" si="190"/>
        <v>810</v>
      </c>
      <c r="E142" s="75">
        <f t="shared" si="190"/>
        <v>230</v>
      </c>
      <c r="F142" s="75">
        <f t="shared" si="190"/>
        <v>722</v>
      </c>
      <c r="G142" s="75">
        <f t="shared" si="190"/>
        <v>810</v>
      </c>
      <c r="H142" s="75">
        <f t="shared" si="190"/>
        <v>722</v>
      </c>
      <c r="I142" s="329">
        <f t="shared" si="190"/>
        <v>500</v>
      </c>
      <c r="J142" s="75">
        <f t="shared" si="190"/>
        <v>500</v>
      </c>
      <c r="K142" s="72">
        <f t="shared" si="191"/>
        <v>0</v>
      </c>
      <c r="L142" s="72">
        <f t="shared" si="192"/>
        <v>500</v>
      </c>
      <c r="M142" s="75">
        <f t="shared" ref="M142" si="199">M41</f>
        <v>125</v>
      </c>
      <c r="N142" s="75">
        <f t="shared" ref="N142" si="200">N41</f>
        <v>125</v>
      </c>
      <c r="O142" s="75">
        <f t="shared" ref="O142:P142" si="201">O41</f>
        <v>125</v>
      </c>
      <c r="P142" s="75">
        <f t="shared" si="201"/>
        <v>125</v>
      </c>
      <c r="Q142" s="75">
        <f t="shared" si="190"/>
        <v>550</v>
      </c>
      <c r="R142" s="75">
        <f t="shared" si="190"/>
        <v>600</v>
      </c>
      <c r="S142" s="75">
        <f t="shared" si="190"/>
        <v>650</v>
      </c>
      <c r="T142" s="3"/>
    </row>
    <row r="143" spans="1:20" ht="15" customHeight="1">
      <c r="A143" s="41">
        <v>2</v>
      </c>
      <c r="B143" s="33" t="s">
        <v>43</v>
      </c>
      <c r="C143" s="19" t="s">
        <v>44</v>
      </c>
      <c r="D143" s="72">
        <f t="shared" si="190"/>
        <v>3900</v>
      </c>
      <c r="E143" s="72">
        <f t="shared" si="190"/>
        <v>3902</v>
      </c>
      <c r="F143" s="72">
        <f t="shared" si="190"/>
        <v>4008</v>
      </c>
      <c r="G143" s="72">
        <f t="shared" si="190"/>
        <v>3900</v>
      </c>
      <c r="H143" s="72">
        <f t="shared" si="190"/>
        <v>4008</v>
      </c>
      <c r="I143" s="332">
        <f t="shared" si="190"/>
        <v>0</v>
      </c>
      <c r="J143" s="72">
        <f t="shared" si="190"/>
        <v>4100</v>
      </c>
      <c r="K143" s="72">
        <f t="shared" si="191"/>
        <v>0</v>
      </c>
      <c r="L143" s="72">
        <f t="shared" si="192"/>
        <v>4100</v>
      </c>
      <c r="M143" s="72">
        <f t="shared" ref="M143" si="202">M42</f>
        <v>325</v>
      </c>
      <c r="N143" s="72">
        <f t="shared" ref="N143" si="203">N42</f>
        <v>1725</v>
      </c>
      <c r="O143" s="72">
        <f t="shared" ref="O143:P143" si="204">O42</f>
        <v>325</v>
      </c>
      <c r="P143" s="72">
        <f t="shared" si="204"/>
        <v>1725</v>
      </c>
      <c r="Q143" s="72">
        <f t="shared" si="190"/>
        <v>4160</v>
      </c>
      <c r="R143" s="72">
        <f t="shared" si="190"/>
        <v>4220</v>
      </c>
      <c r="S143" s="72">
        <f t="shared" si="190"/>
        <v>4280</v>
      </c>
      <c r="T143" s="3"/>
    </row>
    <row r="144" spans="1:20" ht="0.75" customHeight="1">
      <c r="A144" s="41"/>
      <c r="B144" s="40" t="s">
        <v>45</v>
      </c>
      <c r="C144" s="19" t="s">
        <v>46</v>
      </c>
      <c r="D144" s="75">
        <v>0</v>
      </c>
      <c r="E144" s="75"/>
      <c r="F144" s="75"/>
      <c r="G144" s="75"/>
      <c r="H144" s="75"/>
      <c r="I144" s="329"/>
      <c r="J144" s="75"/>
      <c r="K144" s="72">
        <f t="shared" si="191"/>
        <v>0</v>
      </c>
      <c r="L144" s="72">
        <f t="shared" si="192"/>
        <v>0</v>
      </c>
      <c r="M144" s="75"/>
      <c r="N144" s="75"/>
      <c r="O144" s="75"/>
      <c r="P144" s="75"/>
      <c r="Q144" s="75">
        <v>0</v>
      </c>
      <c r="R144" s="75">
        <v>0</v>
      </c>
      <c r="S144" s="75">
        <v>0</v>
      </c>
      <c r="T144" s="3"/>
    </row>
    <row r="145" spans="1:20" ht="15" hidden="1" customHeight="1">
      <c r="A145" s="41"/>
      <c r="B145" s="40" t="s">
        <v>47</v>
      </c>
      <c r="C145" s="19" t="s">
        <v>48</v>
      </c>
      <c r="D145" s="75">
        <v>0</v>
      </c>
      <c r="E145" s="75"/>
      <c r="F145" s="75"/>
      <c r="G145" s="75"/>
      <c r="H145" s="75"/>
      <c r="I145" s="329"/>
      <c r="J145" s="75"/>
      <c r="K145" s="72">
        <f t="shared" si="191"/>
        <v>0</v>
      </c>
      <c r="L145" s="72">
        <f t="shared" si="192"/>
        <v>0</v>
      </c>
      <c r="M145" s="75"/>
      <c r="N145" s="75"/>
      <c r="O145" s="75"/>
      <c r="P145" s="75"/>
      <c r="Q145" s="75">
        <v>0</v>
      </c>
      <c r="R145" s="75">
        <v>0</v>
      </c>
      <c r="S145" s="75">
        <v>0</v>
      </c>
      <c r="T145" s="3"/>
    </row>
    <row r="146" spans="1:20" ht="16.5" customHeight="1">
      <c r="A146" s="41"/>
      <c r="B146" s="40" t="s">
        <v>49</v>
      </c>
      <c r="C146" s="19" t="s">
        <v>50</v>
      </c>
      <c r="D146" s="75">
        <f t="shared" ref="D146:S146" si="205">D45</f>
        <v>3800</v>
      </c>
      <c r="E146" s="75">
        <f t="shared" si="205"/>
        <v>3800</v>
      </c>
      <c r="F146" s="75">
        <f t="shared" si="205"/>
        <v>3934</v>
      </c>
      <c r="G146" s="75">
        <f t="shared" si="205"/>
        <v>3800</v>
      </c>
      <c r="H146" s="75">
        <f t="shared" si="205"/>
        <v>3934</v>
      </c>
      <c r="I146" s="329">
        <f t="shared" si="205"/>
        <v>0</v>
      </c>
      <c r="J146" s="75">
        <f t="shared" si="205"/>
        <v>4000</v>
      </c>
      <c r="K146" s="72">
        <f t="shared" si="191"/>
        <v>0</v>
      </c>
      <c r="L146" s="72">
        <f t="shared" si="192"/>
        <v>4000</v>
      </c>
      <c r="M146" s="75">
        <f t="shared" ref="M146" si="206">M45</f>
        <v>300</v>
      </c>
      <c r="N146" s="75">
        <f t="shared" ref="N146" si="207">N45</f>
        <v>1700</v>
      </c>
      <c r="O146" s="75">
        <f t="shared" ref="O146:P146" si="208">O45</f>
        <v>300</v>
      </c>
      <c r="P146" s="75">
        <f t="shared" si="208"/>
        <v>1700</v>
      </c>
      <c r="Q146" s="75">
        <f t="shared" si="205"/>
        <v>4050</v>
      </c>
      <c r="R146" s="75">
        <f t="shared" si="205"/>
        <v>4100</v>
      </c>
      <c r="S146" s="75">
        <f t="shared" si="205"/>
        <v>4150</v>
      </c>
      <c r="T146" s="3"/>
    </row>
    <row r="147" spans="1:20" ht="16.5" hidden="1" customHeight="1">
      <c r="A147" s="41"/>
      <c r="B147" s="40" t="s">
        <v>51</v>
      </c>
      <c r="C147" s="19" t="s">
        <v>52</v>
      </c>
      <c r="D147" s="75">
        <v>0</v>
      </c>
      <c r="E147" s="75"/>
      <c r="F147" s="75"/>
      <c r="G147" s="75"/>
      <c r="H147" s="75"/>
      <c r="I147" s="329"/>
      <c r="J147" s="75"/>
      <c r="K147" s="72">
        <f t="shared" si="191"/>
        <v>0</v>
      </c>
      <c r="L147" s="72">
        <f t="shared" si="192"/>
        <v>0</v>
      </c>
      <c r="M147" s="75"/>
      <c r="N147" s="75"/>
      <c r="O147" s="75"/>
      <c r="P147" s="75"/>
      <c r="Q147" s="75">
        <v>0</v>
      </c>
      <c r="R147" s="75">
        <v>0</v>
      </c>
      <c r="S147" s="75">
        <v>0</v>
      </c>
      <c r="T147" s="3"/>
    </row>
    <row r="148" spans="1:20" ht="15.75" customHeight="1">
      <c r="A148" s="41"/>
      <c r="B148" s="40" t="s">
        <v>53</v>
      </c>
      <c r="C148" s="19" t="s">
        <v>54</v>
      </c>
      <c r="D148" s="75">
        <f t="shared" ref="D148:S148" si="209">D149</f>
        <v>100</v>
      </c>
      <c r="E148" s="75">
        <f t="shared" si="209"/>
        <v>102</v>
      </c>
      <c r="F148" s="75">
        <f t="shared" si="209"/>
        <v>74</v>
      </c>
      <c r="G148" s="75">
        <f t="shared" si="209"/>
        <v>100</v>
      </c>
      <c r="H148" s="75">
        <f t="shared" si="209"/>
        <v>74</v>
      </c>
      <c r="I148" s="329">
        <f t="shared" si="209"/>
        <v>0</v>
      </c>
      <c r="J148" s="75">
        <f t="shared" si="209"/>
        <v>100</v>
      </c>
      <c r="K148" s="72">
        <f t="shared" si="191"/>
        <v>0</v>
      </c>
      <c r="L148" s="72">
        <f t="shared" si="192"/>
        <v>100</v>
      </c>
      <c r="M148" s="75">
        <f t="shared" si="209"/>
        <v>25</v>
      </c>
      <c r="N148" s="75">
        <f t="shared" si="209"/>
        <v>25</v>
      </c>
      <c r="O148" s="75">
        <f t="shared" si="209"/>
        <v>25</v>
      </c>
      <c r="P148" s="75">
        <f t="shared" si="209"/>
        <v>25</v>
      </c>
      <c r="Q148" s="75">
        <f t="shared" si="209"/>
        <v>110</v>
      </c>
      <c r="R148" s="75">
        <f t="shared" si="209"/>
        <v>120</v>
      </c>
      <c r="S148" s="75">
        <f t="shared" si="209"/>
        <v>130</v>
      </c>
      <c r="T148" s="3"/>
    </row>
    <row r="149" spans="1:20" ht="18.75" customHeight="1">
      <c r="A149" s="41"/>
      <c r="B149" s="40" t="s">
        <v>55</v>
      </c>
      <c r="C149" s="19" t="s">
        <v>56</v>
      </c>
      <c r="D149" s="73">
        <f t="shared" ref="D149:S149" si="210">D48</f>
        <v>100</v>
      </c>
      <c r="E149" s="73">
        <f t="shared" si="210"/>
        <v>102</v>
      </c>
      <c r="F149" s="73">
        <f t="shared" si="210"/>
        <v>74</v>
      </c>
      <c r="G149" s="73">
        <f t="shared" si="210"/>
        <v>100</v>
      </c>
      <c r="H149" s="73">
        <f t="shared" si="210"/>
        <v>74</v>
      </c>
      <c r="I149" s="202">
        <f t="shared" si="210"/>
        <v>0</v>
      </c>
      <c r="J149" s="73">
        <f t="shared" si="210"/>
        <v>100</v>
      </c>
      <c r="K149" s="72">
        <f t="shared" si="191"/>
        <v>0</v>
      </c>
      <c r="L149" s="72">
        <f t="shared" si="192"/>
        <v>100</v>
      </c>
      <c r="M149" s="73">
        <f t="shared" ref="M149" si="211">M48</f>
        <v>25</v>
      </c>
      <c r="N149" s="73">
        <f t="shared" ref="N149" si="212">N48</f>
        <v>25</v>
      </c>
      <c r="O149" s="73">
        <f t="shared" ref="O149:P149" si="213">O48</f>
        <v>25</v>
      </c>
      <c r="P149" s="73">
        <f t="shared" si="213"/>
        <v>25</v>
      </c>
      <c r="Q149" s="73">
        <f t="shared" si="210"/>
        <v>110</v>
      </c>
      <c r="R149" s="73">
        <f t="shared" si="210"/>
        <v>120</v>
      </c>
      <c r="S149" s="73">
        <f t="shared" si="210"/>
        <v>130</v>
      </c>
      <c r="T149" s="3"/>
    </row>
    <row r="150" spans="1:20" ht="18.75" customHeight="1">
      <c r="A150" s="41">
        <v>3</v>
      </c>
      <c r="B150" s="33" t="s">
        <v>57</v>
      </c>
      <c r="C150" s="19">
        <v>33.020000000000003</v>
      </c>
      <c r="D150" s="78">
        <f t="shared" ref="D150:S150" si="214">D151+D152+D153+D154</f>
        <v>1728</v>
      </c>
      <c r="E150" s="78">
        <f t="shared" si="214"/>
        <v>1449</v>
      </c>
      <c r="F150" s="78">
        <f t="shared" si="214"/>
        <v>1395</v>
      </c>
      <c r="G150" s="78">
        <f t="shared" si="214"/>
        <v>1728</v>
      </c>
      <c r="H150" s="78">
        <f t="shared" si="214"/>
        <v>1395</v>
      </c>
      <c r="I150" s="334">
        <f t="shared" si="214"/>
        <v>0</v>
      </c>
      <c r="J150" s="78">
        <f t="shared" si="214"/>
        <v>1935</v>
      </c>
      <c r="K150" s="72">
        <f t="shared" si="191"/>
        <v>0</v>
      </c>
      <c r="L150" s="72">
        <f t="shared" si="192"/>
        <v>1935</v>
      </c>
      <c r="M150" s="78">
        <f t="shared" ref="M150" si="215">M151+M152+M153+M154</f>
        <v>484</v>
      </c>
      <c r="N150" s="78">
        <f t="shared" ref="N150" si="216">N151+N152+N153+N154</f>
        <v>484</v>
      </c>
      <c r="O150" s="78">
        <f t="shared" ref="O150:P150" si="217">O151+O152+O153+O154</f>
        <v>484</v>
      </c>
      <c r="P150" s="78">
        <f t="shared" si="217"/>
        <v>483</v>
      </c>
      <c r="Q150" s="78">
        <f t="shared" si="214"/>
        <v>2043</v>
      </c>
      <c r="R150" s="78">
        <f t="shared" si="214"/>
        <v>2150</v>
      </c>
      <c r="S150" s="78">
        <f t="shared" si="214"/>
        <v>2260</v>
      </c>
      <c r="T150" s="3"/>
    </row>
    <row r="151" spans="1:20" ht="18.75" customHeight="1">
      <c r="A151" s="41"/>
      <c r="B151" s="40" t="s">
        <v>433</v>
      </c>
      <c r="C151" s="19" t="s">
        <v>434</v>
      </c>
      <c r="D151" s="78">
        <f t="shared" ref="D151:S152" si="218">D50</f>
        <v>1700</v>
      </c>
      <c r="E151" s="78">
        <f t="shared" si="218"/>
        <v>1428</v>
      </c>
      <c r="F151" s="78">
        <f t="shared" si="218"/>
        <v>1371</v>
      </c>
      <c r="G151" s="78">
        <f t="shared" si="218"/>
        <v>1700</v>
      </c>
      <c r="H151" s="78">
        <f t="shared" si="218"/>
        <v>1371</v>
      </c>
      <c r="I151" s="334">
        <f t="shared" si="218"/>
        <v>0</v>
      </c>
      <c r="J151" s="78">
        <f t="shared" si="218"/>
        <v>1900</v>
      </c>
      <c r="K151" s="72">
        <f t="shared" si="191"/>
        <v>0</v>
      </c>
      <c r="L151" s="72">
        <f t="shared" si="192"/>
        <v>1900</v>
      </c>
      <c r="M151" s="78">
        <f t="shared" ref="M151" si="219">M50</f>
        <v>475</v>
      </c>
      <c r="N151" s="78">
        <f t="shared" ref="N151" si="220">N50</f>
        <v>475</v>
      </c>
      <c r="O151" s="78">
        <f t="shared" ref="O151:P151" si="221">O50</f>
        <v>475</v>
      </c>
      <c r="P151" s="78">
        <f t="shared" si="221"/>
        <v>475</v>
      </c>
      <c r="Q151" s="78">
        <f>Q50</f>
        <v>2000</v>
      </c>
      <c r="R151" s="78">
        <f>R50</f>
        <v>2100</v>
      </c>
      <c r="S151" s="78">
        <f>S50</f>
        <v>2200</v>
      </c>
      <c r="T151" s="3"/>
    </row>
    <row r="152" spans="1:20" ht="15" customHeight="1">
      <c r="A152" s="41"/>
      <c r="B152" s="40" t="s">
        <v>58</v>
      </c>
      <c r="C152" s="19" t="s">
        <v>59</v>
      </c>
      <c r="D152" s="73">
        <f t="shared" si="218"/>
        <v>16</v>
      </c>
      <c r="E152" s="73">
        <v>17</v>
      </c>
      <c r="F152" s="73">
        <f t="shared" si="218"/>
        <v>14</v>
      </c>
      <c r="G152" s="73">
        <f t="shared" si="218"/>
        <v>16</v>
      </c>
      <c r="H152" s="73">
        <f t="shared" si="218"/>
        <v>14</v>
      </c>
      <c r="I152" s="202">
        <f t="shared" si="218"/>
        <v>0</v>
      </c>
      <c r="J152" s="73">
        <f t="shared" si="218"/>
        <v>20</v>
      </c>
      <c r="K152" s="72">
        <f t="shared" si="191"/>
        <v>0</v>
      </c>
      <c r="L152" s="72">
        <f t="shared" si="192"/>
        <v>20</v>
      </c>
      <c r="M152" s="73">
        <f t="shared" ref="M152" si="222">M51</f>
        <v>5</v>
      </c>
      <c r="N152" s="73">
        <f t="shared" ref="N152" si="223">N51</f>
        <v>5</v>
      </c>
      <c r="O152" s="73">
        <f t="shared" ref="O152:P152" si="224">O51</f>
        <v>5</v>
      </c>
      <c r="P152" s="73">
        <f t="shared" si="224"/>
        <v>5</v>
      </c>
      <c r="Q152" s="73">
        <f t="shared" si="218"/>
        <v>25</v>
      </c>
      <c r="R152" s="73">
        <f t="shared" si="218"/>
        <v>30</v>
      </c>
      <c r="S152" s="73">
        <f t="shared" si="218"/>
        <v>35</v>
      </c>
      <c r="T152" s="3"/>
    </row>
    <row r="153" spans="1:20" ht="17.25" hidden="1" customHeight="1">
      <c r="A153" s="41"/>
      <c r="B153" s="40" t="s">
        <v>60</v>
      </c>
      <c r="C153" s="19" t="s">
        <v>61</v>
      </c>
      <c r="D153" s="75">
        <v>0</v>
      </c>
      <c r="E153" s="75"/>
      <c r="F153" s="75"/>
      <c r="G153" s="75"/>
      <c r="H153" s="75"/>
      <c r="I153" s="329"/>
      <c r="J153" s="75"/>
      <c r="K153" s="72">
        <f t="shared" si="191"/>
        <v>0</v>
      </c>
      <c r="L153" s="72">
        <f t="shared" si="192"/>
        <v>0</v>
      </c>
      <c r="M153" s="75"/>
      <c r="N153" s="75"/>
      <c r="O153" s="75"/>
      <c r="P153" s="75"/>
      <c r="Q153" s="73"/>
      <c r="R153" s="73"/>
      <c r="S153" s="73"/>
      <c r="T153" s="3"/>
    </row>
    <row r="154" spans="1:20" ht="19.5" customHeight="1">
      <c r="A154" s="41"/>
      <c r="B154" s="40" t="s">
        <v>57</v>
      </c>
      <c r="C154" s="19" t="s">
        <v>62</v>
      </c>
      <c r="D154" s="73">
        <f t="shared" ref="D154:S154" si="225">D53</f>
        <v>12</v>
      </c>
      <c r="E154" s="73">
        <f t="shared" si="225"/>
        <v>4</v>
      </c>
      <c r="F154" s="73">
        <f t="shared" si="225"/>
        <v>10</v>
      </c>
      <c r="G154" s="73">
        <f t="shared" si="225"/>
        <v>12</v>
      </c>
      <c r="H154" s="73">
        <f t="shared" si="225"/>
        <v>10</v>
      </c>
      <c r="I154" s="202">
        <f t="shared" si="225"/>
        <v>0</v>
      </c>
      <c r="J154" s="73">
        <f t="shared" si="225"/>
        <v>15</v>
      </c>
      <c r="K154" s="72">
        <f t="shared" si="191"/>
        <v>0</v>
      </c>
      <c r="L154" s="72">
        <f t="shared" si="192"/>
        <v>15</v>
      </c>
      <c r="M154" s="73">
        <f t="shared" ref="M154" si="226">M53</f>
        <v>4</v>
      </c>
      <c r="N154" s="73">
        <f t="shared" ref="N154" si="227">N53</f>
        <v>4</v>
      </c>
      <c r="O154" s="73">
        <f t="shared" ref="O154:P154" si="228">O53</f>
        <v>4</v>
      </c>
      <c r="P154" s="73">
        <f t="shared" si="228"/>
        <v>3</v>
      </c>
      <c r="Q154" s="73">
        <f t="shared" si="225"/>
        <v>18</v>
      </c>
      <c r="R154" s="73">
        <f t="shared" si="225"/>
        <v>20</v>
      </c>
      <c r="S154" s="73">
        <f t="shared" si="225"/>
        <v>25</v>
      </c>
      <c r="T154" s="3"/>
    </row>
    <row r="155" spans="1:20" ht="19.5" customHeight="1">
      <c r="A155" s="41">
        <v>4</v>
      </c>
      <c r="B155" s="33" t="s">
        <v>63</v>
      </c>
      <c r="C155" s="19">
        <v>35.020000000000003</v>
      </c>
      <c r="D155" s="78">
        <f t="shared" ref="D155:S155" si="229">D156</f>
        <v>40</v>
      </c>
      <c r="E155" s="78">
        <f t="shared" si="229"/>
        <v>34</v>
      </c>
      <c r="F155" s="78">
        <f t="shared" si="229"/>
        <v>51</v>
      </c>
      <c r="G155" s="78">
        <f t="shared" si="229"/>
        <v>40</v>
      </c>
      <c r="H155" s="78">
        <f t="shared" si="229"/>
        <v>51</v>
      </c>
      <c r="I155" s="334">
        <f t="shared" si="229"/>
        <v>0</v>
      </c>
      <c r="J155" s="78">
        <f t="shared" si="229"/>
        <v>65</v>
      </c>
      <c r="K155" s="72">
        <f t="shared" si="191"/>
        <v>0</v>
      </c>
      <c r="L155" s="72">
        <f t="shared" si="192"/>
        <v>65</v>
      </c>
      <c r="M155" s="78">
        <f t="shared" si="229"/>
        <v>16</v>
      </c>
      <c r="N155" s="78">
        <f t="shared" si="229"/>
        <v>17</v>
      </c>
      <c r="O155" s="78">
        <f t="shared" si="229"/>
        <v>16</v>
      </c>
      <c r="P155" s="78">
        <f t="shared" si="229"/>
        <v>16</v>
      </c>
      <c r="Q155" s="78">
        <f t="shared" si="229"/>
        <v>80</v>
      </c>
      <c r="R155" s="78">
        <f t="shared" si="229"/>
        <v>95</v>
      </c>
      <c r="S155" s="78">
        <f t="shared" si="229"/>
        <v>110</v>
      </c>
      <c r="T155" s="3"/>
    </row>
    <row r="156" spans="1:20" ht="19.5" customHeight="1">
      <c r="A156" s="41"/>
      <c r="B156" s="40" t="s">
        <v>64</v>
      </c>
      <c r="C156" s="19" t="s">
        <v>65</v>
      </c>
      <c r="D156" s="75">
        <f t="shared" ref="D156:S156" si="230">D55</f>
        <v>40</v>
      </c>
      <c r="E156" s="75">
        <f t="shared" si="230"/>
        <v>34</v>
      </c>
      <c r="F156" s="75">
        <f t="shared" si="230"/>
        <v>51</v>
      </c>
      <c r="G156" s="75">
        <f t="shared" si="230"/>
        <v>40</v>
      </c>
      <c r="H156" s="75">
        <f t="shared" si="230"/>
        <v>51</v>
      </c>
      <c r="I156" s="329">
        <f t="shared" si="230"/>
        <v>0</v>
      </c>
      <c r="J156" s="75">
        <f t="shared" si="230"/>
        <v>65</v>
      </c>
      <c r="K156" s="72">
        <f t="shared" si="191"/>
        <v>0</v>
      </c>
      <c r="L156" s="72">
        <f t="shared" si="192"/>
        <v>65</v>
      </c>
      <c r="M156" s="75">
        <f t="shared" ref="M156" si="231">M55</f>
        <v>16</v>
      </c>
      <c r="N156" s="75">
        <f t="shared" ref="N156" si="232">N55</f>
        <v>17</v>
      </c>
      <c r="O156" s="75">
        <f t="shared" ref="O156:P156" si="233">O55</f>
        <v>16</v>
      </c>
      <c r="P156" s="75">
        <f t="shared" si="233"/>
        <v>16</v>
      </c>
      <c r="Q156" s="75">
        <f t="shared" si="230"/>
        <v>80</v>
      </c>
      <c r="R156" s="75">
        <f t="shared" si="230"/>
        <v>95</v>
      </c>
      <c r="S156" s="75">
        <f t="shared" si="230"/>
        <v>110</v>
      </c>
      <c r="T156" s="3"/>
    </row>
    <row r="157" spans="1:20" ht="19.5" customHeight="1">
      <c r="A157" s="41">
        <v>5</v>
      </c>
      <c r="B157" s="33" t="s">
        <v>66</v>
      </c>
      <c r="C157" s="19">
        <v>36.020000000000003</v>
      </c>
      <c r="D157" s="78">
        <f t="shared" ref="D157:S157" si="234">D158+D159</f>
        <v>50</v>
      </c>
      <c r="E157" s="78">
        <f t="shared" si="234"/>
        <v>48</v>
      </c>
      <c r="F157" s="78">
        <f t="shared" si="234"/>
        <v>173</v>
      </c>
      <c r="G157" s="78">
        <f t="shared" si="234"/>
        <v>50</v>
      </c>
      <c r="H157" s="78">
        <f t="shared" si="234"/>
        <v>173</v>
      </c>
      <c r="I157" s="334">
        <f t="shared" si="234"/>
        <v>0</v>
      </c>
      <c r="J157" s="78">
        <f t="shared" si="234"/>
        <v>200</v>
      </c>
      <c r="K157" s="72">
        <f t="shared" si="191"/>
        <v>0</v>
      </c>
      <c r="L157" s="72">
        <f t="shared" si="192"/>
        <v>200</v>
      </c>
      <c r="M157" s="78">
        <f t="shared" ref="M157" si="235">M158+M159</f>
        <v>50</v>
      </c>
      <c r="N157" s="78">
        <f t="shared" ref="N157" si="236">N158+N159</f>
        <v>50</v>
      </c>
      <c r="O157" s="78">
        <f t="shared" ref="O157:P157" si="237">O158+O159</f>
        <v>50</v>
      </c>
      <c r="P157" s="78">
        <f t="shared" si="237"/>
        <v>50</v>
      </c>
      <c r="Q157" s="78">
        <f t="shared" si="234"/>
        <v>210</v>
      </c>
      <c r="R157" s="78">
        <f t="shared" si="234"/>
        <v>220</v>
      </c>
      <c r="S157" s="78">
        <f t="shared" si="234"/>
        <v>230</v>
      </c>
      <c r="T157" s="3"/>
    </row>
    <row r="158" spans="1:20" ht="18" hidden="1" customHeight="1">
      <c r="A158" s="41"/>
      <c r="B158" s="40" t="s">
        <v>150</v>
      </c>
      <c r="C158" s="19" t="s">
        <v>68</v>
      </c>
      <c r="D158" s="75">
        <f t="shared" ref="D158:S159" si="238">D57</f>
        <v>0</v>
      </c>
      <c r="E158" s="75">
        <f t="shared" si="238"/>
        <v>0</v>
      </c>
      <c r="F158" s="75">
        <f t="shared" si="238"/>
        <v>0</v>
      </c>
      <c r="G158" s="75">
        <f t="shared" si="238"/>
        <v>0</v>
      </c>
      <c r="H158" s="75">
        <f t="shared" si="238"/>
        <v>0</v>
      </c>
      <c r="I158" s="329">
        <f t="shared" si="238"/>
        <v>0</v>
      </c>
      <c r="J158" s="75">
        <f t="shared" si="238"/>
        <v>0</v>
      </c>
      <c r="K158" s="72">
        <f t="shared" si="191"/>
        <v>0</v>
      </c>
      <c r="L158" s="72">
        <f t="shared" si="192"/>
        <v>0</v>
      </c>
      <c r="M158" s="75">
        <f t="shared" ref="M158" si="239">M57</f>
        <v>0</v>
      </c>
      <c r="N158" s="75">
        <f t="shared" ref="N158" si="240">N57</f>
        <v>0</v>
      </c>
      <c r="O158" s="75">
        <f t="shared" ref="O158:P158" si="241">O57</f>
        <v>0</v>
      </c>
      <c r="P158" s="75">
        <f t="shared" si="241"/>
        <v>0</v>
      </c>
      <c r="Q158" s="75">
        <f t="shared" si="238"/>
        <v>0</v>
      </c>
      <c r="R158" s="75">
        <f t="shared" si="238"/>
        <v>0</v>
      </c>
      <c r="S158" s="75">
        <f t="shared" si="238"/>
        <v>0</v>
      </c>
      <c r="T158" s="3"/>
    </row>
    <row r="159" spans="1:20" ht="18" customHeight="1">
      <c r="A159" s="41"/>
      <c r="B159" s="40" t="s">
        <v>69</v>
      </c>
      <c r="C159" s="19" t="s">
        <v>70</v>
      </c>
      <c r="D159" s="75">
        <f t="shared" si="238"/>
        <v>50</v>
      </c>
      <c r="E159" s="75">
        <f t="shared" si="238"/>
        <v>48</v>
      </c>
      <c r="F159" s="75">
        <f t="shared" si="238"/>
        <v>173</v>
      </c>
      <c r="G159" s="75">
        <f t="shared" si="238"/>
        <v>50</v>
      </c>
      <c r="H159" s="75">
        <f t="shared" si="238"/>
        <v>173</v>
      </c>
      <c r="I159" s="329">
        <f t="shared" si="238"/>
        <v>0</v>
      </c>
      <c r="J159" s="75">
        <f t="shared" si="238"/>
        <v>200</v>
      </c>
      <c r="K159" s="72">
        <f t="shared" si="191"/>
        <v>0</v>
      </c>
      <c r="L159" s="72">
        <f t="shared" si="192"/>
        <v>200</v>
      </c>
      <c r="M159" s="75">
        <f t="shared" ref="M159" si="242">M58</f>
        <v>50</v>
      </c>
      <c r="N159" s="75">
        <f t="shared" ref="N159" si="243">N58</f>
        <v>50</v>
      </c>
      <c r="O159" s="75">
        <f t="shared" ref="O159:P159" si="244">O58</f>
        <v>50</v>
      </c>
      <c r="P159" s="75">
        <f t="shared" si="244"/>
        <v>50</v>
      </c>
      <c r="Q159" s="75">
        <f t="shared" si="238"/>
        <v>210</v>
      </c>
      <c r="R159" s="75">
        <f t="shared" si="238"/>
        <v>220</v>
      </c>
      <c r="S159" s="75">
        <f t="shared" si="238"/>
        <v>230</v>
      </c>
      <c r="T159" s="3"/>
    </row>
    <row r="160" spans="1:20" ht="15" customHeight="1">
      <c r="A160" s="41">
        <v>4</v>
      </c>
      <c r="B160" s="33" t="s">
        <v>71</v>
      </c>
      <c r="C160" s="19">
        <v>37.020000000000003</v>
      </c>
      <c r="D160" s="78">
        <f t="shared" ref="D160:S160" si="245">D161+D162+D163</f>
        <v>-9953.1200000000008</v>
      </c>
      <c r="E160" s="78">
        <f t="shared" si="245"/>
        <v>238</v>
      </c>
      <c r="F160" s="78">
        <f t="shared" si="245"/>
        <v>-184</v>
      </c>
      <c r="G160" s="78">
        <f t="shared" si="245"/>
        <v>-13540.85</v>
      </c>
      <c r="H160" s="78">
        <f t="shared" si="245"/>
        <v>-184</v>
      </c>
      <c r="I160" s="334">
        <f t="shared" si="245"/>
        <v>10687</v>
      </c>
      <c r="J160" s="78">
        <f t="shared" si="245"/>
        <v>0</v>
      </c>
      <c r="K160" s="72">
        <f t="shared" si="191"/>
        <v>0</v>
      </c>
      <c r="L160" s="72">
        <f t="shared" si="192"/>
        <v>0</v>
      </c>
      <c r="M160" s="78">
        <f t="shared" ref="M160" si="246">M161+M162+M163</f>
        <v>0</v>
      </c>
      <c r="N160" s="78">
        <f t="shared" ref="N160" si="247">N161+N162+N163</f>
        <v>0</v>
      </c>
      <c r="O160" s="78">
        <f t="shared" ref="O160:P160" si="248">O161+O162+O163</f>
        <v>0</v>
      </c>
      <c r="P160" s="78">
        <f t="shared" si="248"/>
        <v>0</v>
      </c>
      <c r="Q160" s="78">
        <f t="shared" si="245"/>
        <v>0</v>
      </c>
      <c r="R160" s="78">
        <f t="shared" si="245"/>
        <v>0</v>
      </c>
      <c r="S160" s="78">
        <f t="shared" si="245"/>
        <v>0</v>
      </c>
      <c r="T160" s="3"/>
    </row>
    <row r="161" spans="1:20" ht="14.25" customHeight="1">
      <c r="A161" s="41"/>
      <c r="B161" s="40" t="s">
        <v>72</v>
      </c>
      <c r="C161" s="19" t="s">
        <v>73</v>
      </c>
      <c r="D161" s="78">
        <f t="shared" ref="D161:S162" si="249">D60</f>
        <v>46.879999999999995</v>
      </c>
      <c r="E161" s="78">
        <f t="shared" si="249"/>
        <v>238</v>
      </c>
      <c r="F161" s="78">
        <f t="shared" si="249"/>
        <v>55</v>
      </c>
      <c r="G161" s="78">
        <f t="shared" si="249"/>
        <v>55.32</v>
      </c>
      <c r="H161" s="78">
        <f t="shared" si="249"/>
        <v>55</v>
      </c>
      <c r="I161" s="334">
        <f t="shared" si="249"/>
        <v>0</v>
      </c>
      <c r="J161" s="78">
        <f t="shared" si="249"/>
        <v>0</v>
      </c>
      <c r="K161" s="72">
        <f t="shared" si="191"/>
        <v>0</v>
      </c>
      <c r="L161" s="72">
        <f t="shared" si="192"/>
        <v>0</v>
      </c>
      <c r="M161" s="78">
        <f t="shared" ref="M161" si="250">M60</f>
        <v>0</v>
      </c>
      <c r="N161" s="78">
        <f t="shared" ref="N161" si="251">N60</f>
        <v>0</v>
      </c>
      <c r="O161" s="78">
        <f t="shared" ref="O161:P161" si="252">O60</f>
        <v>0</v>
      </c>
      <c r="P161" s="78">
        <f t="shared" si="252"/>
        <v>0</v>
      </c>
      <c r="Q161" s="78">
        <f t="shared" si="249"/>
        <v>0</v>
      </c>
      <c r="R161" s="78">
        <f t="shared" si="249"/>
        <v>0</v>
      </c>
      <c r="S161" s="78">
        <f t="shared" si="249"/>
        <v>0</v>
      </c>
      <c r="T161" s="3"/>
    </row>
    <row r="162" spans="1:20" ht="17.25" customHeight="1">
      <c r="A162" s="41"/>
      <c r="B162" s="40" t="s">
        <v>151</v>
      </c>
      <c r="C162" s="19" t="s">
        <v>75</v>
      </c>
      <c r="D162" s="78">
        <f t="shared" si="249"/>
        <v>-10000</v>
      </c>
      <c r="E162" s="78">
        <f t="shared" si="249"/>
        <v>0</v>
      </c>
      <c r="F162" s="78">
        <f t="shared" si="249"/>
        <v>-239</v>
      </c>
      <c r="G162" s="78">
        <f t="shared" si="249"/>
        <v>-13596.17</v>
      </c>
      <c r="H162" s="78">
        <f t="shared" si="249"/>
        <v>-239</v>
      </c>
      <c r="I162" s="334">
        <f t="shared" si="249"/>
        <v>10687</v>
      </c>
      <c r="J162" s="78">
        <f t="shared" si="249"/>
        <v>0</v>
      </c>
      <c r="K162" s="72">
        <f t="shared" si="191"/>
        <v>0</v>
      </c>
      <c r="L162" s="72">
        <f t="shared" si="192"/>
        <v>0</v>
      </c>
      <c r="M162" s="78">
        <f t="shared" ref="M162" si="253">M61</f>
        <v>0</v>
      </c>
      <c r="N162" s="78">
        <f t="shared" ref="N162" si="254">N61</f>
        <v>0</v>
      </c>
      <c r="O162" s="78">
        <f t="shared" ref="O162:P162" si="255">O61</f>
        <v>0</v>
      </c>
      <c r="P162" s="78">
        <f t="shared" si="255"/>
        <v>0</v>
      </c>
      <c r="Q162" s="78">
        <f t="shared" si="249"/>
        <v>0</v>
      </c>
      <c r="R162" s="78">
        <f t="shared" si="249"/>
        <v>0</v>
      </c>
      <c r="S162" s="78">
        <f t="shared" si="249"/>
        <v>0</v>
      </c>
      <c r="T162" s="3"/>
    </row>
    <row r="163" spans="1:20" ht="0.75" customHeight="1">
      <c r="A163" s="41"/>
      <c r="B163" s="40" t="s">
        <v>78</v>
      </c>
      <c r="C163" s="19" t="s">
        <v>79</v>
      </c>
      <c r="D163" s="78">
        <v>0</v>
      </c>
      <c r="E163" s="78"/>
      <c r="F163" s="78"/>
      <c r="G163" s="78"/>
      <c r="H163" s="78"/>
      <c r="I163" s="334"/>
      <c r="J163" s="78"/>
      <c r="K163" s="72">
        <f t="shared" si="191"/>
        <v>0</v>
      </c>
      <c r="L163" s="72">
        <f t="shared" si="192"/>
        <v>0</v>
      </c>
      <c r="M163" s="78"/>
      <c r="N163" s="78"/>
      <c r="O163" s="78"/>
      <c r="P163" s="78"/>
      <c r="Q163" s="78"/>
      <c r="R163" s="78"/>
      <c r="S163" s="78"/>
      <c r="T163" s="3"/>
    </row>
    <row r="164" spans="1:20" ht="15" hidden="1" customHeight="1">
      <c r="A164" s="41">
        <v>7</v>
      </c>
      <c r="B164" s="33" t="s">
        <v>80</v>
      </c>
      <c r="C164" s="19">
        <v>39.020000000000003</v>
      </c>
      <c r="D164" s="78">
        <f>D165</f>
        <v>0</v>
      </c>
      <c r="E164" s="78"/>
      <c r="F164" s="78"/>
      <c r="G164" s="78"/>
      <c r="H164" s="78"/>
      <c r="I164" s="334"/>
      <c r="J164" s="78"/>
      <c r="K164" s="72">
        <f t="shared" si="191"/>
        <v>0</v>
      </c>
      <c r="L164" s="72">
        <f t="shared" si="192"/>
        <v>0</v>
      </c>
      <c r="M164" s="78"/>
      <c r="N164" s="78"/>
      <c r="O164" s="78"/>
      <c r="P164" s="78"/>
      <c r="Q164" s="78"/>
      <c r="R164" s="78"/>
      <c r="S164" s="78"/>
      <c r="T164" s="3"/>
    </row>
    <row r="165" spans="1:20" ht="15.75" hidden="1" customHeight="1">
      <c r="A165" s="41"/>
      <c r="B165" s="40" t="s">
        <v>81</v>
      </c>
      <c r="C165" s="19" t="s">
        <v>82</v>
      </c>
      <c r="D165" s="78"/>
      <c r="E165" s="78"/>
      <c r="F165" s="78"/>
      <c r="G165" s="78"/>
      <c r="H165" s="78"/>
      <c r="I165" s="334"/>
      <c r="J165" s="78"/>
      <c r="K165" s="72">
        <f t="shared" si="191"/>
        <v>0</v>
      </c>
      <c r="L165" s="72">
        <f t="shared" si="192"/>
        <v>0</v>
      </c>
      <c r="M165" s="78"/>
      <c r="N165" s="78"/>
      <c r="O165" s="78"/>
      <c r="P165" s="78"/>
      <c r="Q165" s="78"/>
      <c r="R165" s="78"/>
      <c r="S165" s="78"/>
      <c r="T165" s="3"/>
    </row>
    <row r="166" spans="1:20" ht="15.75" hidden="1" customHeight="1">
      <c r="A166" s="41"/>
      <c r="B166" s="40" t="s">
        <v>152</v>
      </c>
      <c r="C166" s="19">
        <v>40.020000000000003</v>
      </c>
      <c r="D166" s="78">
        <v>0</v>
      </c>
      <c r="E166" s="78"/>
      <c r="F166" s="78"/>
      <c r="G166" s="78"/>
      <c r="H166" s="78"/>
      <c r="I166" s="334"/>
      <c r="J166" s="78"/>
      <c r="K166" s="72">
        <f t="shared" si="191"/>
        <v>0</v>
      </c>
      <c r="L166" s="72">
        <f t="shared" si="192"/>
        <v>0</v>
      </c>
      <c r="M166" s="78"/>
      <c r="N166" s="78"/>
      <c r="O166" s="78"/>
      <c r="P166" s="78"/>
      <c r="Q166" s="78"/>
      <c r="R166" s="78"/>
      <c r="S166" s="78"/>
      <c r="T166" s="3"/>
    </row>
    <row r="167" spans="1:20" ht="17.25" customHeight="1">
      <c r="A167" s="26" t="s">
        <v>87</v>
      </c>
      <c r="B167" s="33" t="s">
        <v>88</v>
      </c>
      <c r="C167" s="19" t="s">
        <v>89</v>
      </c>
      <c r="D167" s="74">
        <f t="shared" ref="D167:S167" si="256">D168</f>
        <v>7291</v>
      </c>
      <c r="E167" s="74">
        <f t="shared" si="256"/>
        <v>140234</v>
      </c>
      <c r="F167" s="74">
        <f t="shared" si="256"/>
        <v>6337</v>
      </c>
      <c r="G167" s="74">
        <f t="shared" si="256"/>
        <v>6821</v>
      </c>
      <c r="H167" s="74">
        <f t="shared" si="256"/>
        <v>6337</v>
      </c>
      <c r="I167" s="337">
        <f t="shared" si="256"/>
        <v>2200</v>
      </c>
      <c r="J167" s="74">
        <f t="shared" si="256"/>
        <v>6491</v>
      </c>
      <c r="K167" s="72">
        <f t="shared" si="191"/>
        <v>0</v>
      </c>
      <c r="L167" s="72">
        <f t="shared" si="192"/>
        <v>6491</v>
      </c>
      <c r="M167" s="74">
        <f t="shared" si="256"/>
        <v>1710</v>
      </c>
      <c r="N167" s="74">
        <f t="shared" si="256"/>
        <v>1710</v>
      </c>
      <c r="O167" s="74">
        <f t="shared" si="256"/>
        <v>1687</v>
      </c>
      <c r="P167" s="74">
        <f t="shared" si="256"/>
        <v>1384</v>
      </c>
      <c r="Q167" s="74">
        <f t="shared" si="256"/>
        <v>9304</v>
      </c>
      <c r="R167" s="74">
        <f t="shared" si="256"/>
        <v>9354</v>
      </c>
      <c r="S167" s="74">
        <f t="shared" si="256"/>
        <v>9354</v>
      </c>
      <c r="T167" s="3"/>
    </row>
    <row r="168" spans="1:20" ht="16.5" customHeight="1">
      <c r="A168" s="41"/>
      <c r="B168" s="40" t="s">
        <v>90</v>
      </c>
      <c r="C168" s="19">
        <v>42.02</v>
      </c>
      <c r="D168" s="72">
        <f t="shared" ref="D168:S168" si="257">D172+D173+D174+D176+D177+D180</f>
        <v>7291</v>
      </c>
      <c r="E168" s="72">
        <f>E172+E173+E174+E176+E177+E180+E179</f>
        <v>140234</v>
      </c>
      <c r="F168" s="72">
        <f t="shared" si="257"/>
        <v>6337</v>
      </c>
      <c r="G168" s="72">
        <f t="shared" si="257"/>
        <v>6821</v>
      </c>
      <c r="H168" s="72">
        <f t="shared" si="257"/>
        <v>6337</v>
      </c>
      <c r="I168" s="332">
        <f t="shared" si="257"/>
        <v>2200</v>
      </c>
      <c r="J168" s="72">
        <f t="shared" si="257"/>
        <v>6491</v>
      </c>
      <c r="K168" s="72">
        <f t="shared" si="191"/>
        <v>0</v>
      </c>
      <c r="L168" s="72">
        <f t="shared" si="192"/>
        <v>6491</v>
      </c>
      <c r="M168" s="72">
        <f t="shared" ref="M168" si="258">M172+M173+M174+M176+M177+M180</f>
        <v>1710</v>
      </c>
      <c r="N168" s="72">
        <f t="shared" ref="N168" si="259">N172+N173+N174+N176+N177+N180</f>
        <v>1710</v>
      </c>
      <c r="O168" s="72">
        <f t="shared" ref="O168:P168" si="260">O172+O173+O174+O176+O177+O180</f>
        <v>1687</v>
      </c>
      <c r="P168" s="72">
        <f t="shared" si="260"/>
        <v>1384</v>
      </c>
      <c r="Q168" s="72">
        <f t="shared" si="257"/>
        <v>9304</v>
      </c>
      <c r="R168" s="72">
        <f t="shared" si="257"/>
        <v>9354</v>
      </c>
      <c r="S168" s="72">
        <f t="shared" si="257"/>
        <v>9354</v>
      </c>
      <c r="T168" s="3"/>
    </row>
    <row r="169" spans="1:20" ht="20.25" hidden="1" customHeight="1">
      <c r="A169" s="41"/>
      <c r="B169" s="28" t="s">
        <v>91</v>
      </c>
      <c r="C169" s="19" t="s">
        <v>92</v>
      </c>
      <c r="D169" s="75">
        <v>0</v>
      </c>
      <c r="E169" s="75"/>
      <c r="F169" s="75"/>
      <c r="G169" s="75"/>
      <c r="H169" s="75"/>
      <c r="I169" s="329"/>
      <c r="J169" s="75"/>
      <c r="K169" s="72">
        <f t="shared" si="191"/>
        <v>0</v>
      </c>
      <c r="L169" s="72">
        <f t="shared" si="192"/>
        <v>0</v>
      </c>
      <c r="M169" s="75"/>
      <c r="N169" s="75"/>
      <c r="O169" s="75"/>
      <c r="P169" s="75"/>
      <c r="Q169" s="73"/>
      <c r="R169" s="73"/>
      <c r="S169" s="73"/>
      <c r="T169" s="3"/>
    </row>
    <row r="170" spans="1:20" ht="19.5" hidden="1" customHeight="1">
      <c r="A170" s="41"/>
      <c r="B170" s="28" t="s">
        <v>103</v>
      </c>
      <c r="C170" s="19" t="s">
        <v>104</v>
      </c>
      <c r="D170" s="75">
        <v>0</v>
      </c>
      <c r="E170" s="75"/>
      <c r="F170" s="75"/>
      <c r="G170" s="75"/>
      <c r="H170" s="75"/>
      <c r="I170" s="329"/>
      <c r="J170" s="75"/>
      <c r="K170" s="72">
        <f t="shared" si="191"/>
        <v>0</v>
      </c>
      <c r="L170" s="72">
        <f t="shared" si="192"/>
        <v>0</v>
      </c>
      <c r="M170" s="75"/>
      <c r="N170" s="75"/>
      <c r="O170" s="75"/>
      <c r="P170" s="75"/>
      <c r="Q170" s="73"/>
      <c r="R170" s="73"/>
      <c r="S170" s="73"/>
      <c r="T170" s="3"/>
    </row>
    <row r="171" spans="1:20" ht="17.25" hidden="1" customHeight="1">
      <c r="A171" s="41"/>
      <c r="B171" s="28" t="s">
        <v>105</v>
      </c>
      <c r="C171" s="19" t="s">
        <v>106</v>
      </c>
      <c r="D171" s="75">
        <v>0</v>
      </c>
      <c r="E171" s="75"/>
      <c r="F171" s="75"/>
      <c r="G171" s="75"/>
      <c r="H171" s="75"/>
      <c r="I171" s="329"/>
      <c r="J171" s="75"/>
      <c r="K171" s="72">
        <f t="shared" si="191"/>
        <v>0</v>
      </c>
      <c r="L171" s="72">
        <f t="shared" si="192"/>
        <v>0</v>
      </c>
      <c r="M171" s="75"/>
      <c r="N171" s="75"/>
      <c r="O171" s="75"/>
      <c r="P171" s="75"/>
      <c r="Q171" s="73"/>
      <c r="R171" s="73"/>
      <c r="S171" s="73"/>
      <c r="T171" s="3"/>
    </row>
    <row r="172" spans="1:20" ht="16.5" customHeight="1">
      <c r="A172" s="41"/>
      <c r="B172" s="28" t="s">
        <v>107</v>
      </c>
      <c r="C172" s="19" t="s">
        <v>108</v>
      </c>
      <c r="D172" s="73">
        <f t="shared" ref="D172:S173" si="261">D80</f>
        <v>1525</v>
      </c>
      <c r="E172" s="73">
        <f t="shared" si="261"/>
        <v>136440</v>
      </c>
      <c r="F172" s="73">
        <f t="shared" si="261"/>
        <v>1059</v>
      </c>
      <c r="G172" s="73">
        <f t="shared" si="261"/>
        <v>1135</v>
      </c>
      <c r="H172" s="73">
        <f t="shared" si="261"/>
        <v>1059</v>
      </c>
      <c r="I172" s="202">
        <f t="shared" si="261"/>
        <v>2200</v>
      </c>
      <c r="J172" s="73">
        <f t="shared" si="261"/>
        <v>967</v>
      </c>
      <c r="K172" s="72">
        <f t="shared" si="191"/>
        <v>0</v>
      </c>
      <c r="L172" s="72">
        <f t="shared" si="192"/>
        <v>967</v>
      </c>
      <c r="M172" s="73">
        <f t="shared" ref="M172" si="262">M80</f>
        <v>330</v>
      </c>
      <c r="N172" s="73">
        <f t="shared" ref="N172" si="263">N80</f>
        <v>330</v>
      </c>
      <c r="O172" s="73">
        <f t="shared" ref="O172:P172" si="264">O80</f>
        <v>307</v>
      </c>
      <c r="P172" s="73">
        <f t="shared" si="264"/>
        <v>0</v>
      </c>
      <c r="Q172" s="73">
        <f t="shared" si="261"/>
        <v>2800</v>
      </c>
      <c r="R172" s="73">
        <f t="shared" si="261"/>
        <v>2850</v>
      </c>
      <c r="S172" s="73">
        <f t="shared" si="261"/>
        <v>2850</v>
      </c>
      <c r="T172" s="3"/>
    </row>
    <row r="173" spans="1:20" ht="15" customHeight="1">
      <c r="A173" s="41"/>
      <c r="B173" s="28" t="s">
        <v>109</v>
      </c>
      <c r="C173" s="19" t="s">
        <v>110</v>
      </c>
      <c r="D173" s="75">
        <f>D81</f>
        <v>0</v>
      </c>
      <c r="E173" s="75">
        <f t="shared" si="261"/>
        <v>0</v>
      </c>
      <c r="F173" s="75">
        <f t="shared" si="261"/>
        <v>0</v>
      </c>
      <c r="G173" s="75">
        <f t="shared" si="261"/>
        <v>0</v>
      </c>
      <c r="H173" s="75">
        <f t="shared" si="261"/>
        <v>0</v>
      </c>
      <c r="I173" s="329">
        <f t="shared" si="261"/>
        <v>0</v>
      </c>
      <c r="J173" s="75">
        <f t="shared" si="261"/>
        <v>0</v>
      </c>
      <c r="K173" s="72">
        <f t="shared" si="191"/>
        <v>0</v>
      </c>
      <c r="L173" s="72">
        <f t="shared" si="192"/>
        <v>0</v>
      </c>
      <c r="M173" s="75">
        <f t="shared" ref="M173" si="265">M81</f>
        <v>0</v>
      </c>
      <c r="N173" s="75">
        <f t="shared" ref="N173" si="266">N81</f>
        <v>0</v>
      </c>
      <c r="O173" s="75">
        <f t="shared" ref="O173:P173" si="267">O81</f>
        <v>0</v>
      </c>
      <c r="P173" s="75">
        <f t="shared" si="267"/>
        <v>0</v>
      </c>
      <c r="Q173" s="75">
        <f t="shared" si="261"/>
        <v>0</v>
      </c>
      <c r="R173" s="75">
        <f t="shared" si="261"/>
        <v>0</v>
      </c>
      <c r="S173" s="75">
        <f t="shared" si="261"/>
        <v>0</v>
      </c>
      <c r="T173" s="3"/>
    </row>
    <row r="174" spans="1:20" ht="18" customHeight="1">
      <c r="A174" s="41"/>
      <c r="B174" s="28" t="s">
        <v>153</v>
      </c>
      <c r="C174" s="19" t="s">
        <v>116</v>
      </c>
      <c r="D174" s="75">
        <f t="shared" ref="D174:S174" si="268">D84</f>
        <v>5446</v>
      </c>
      <c r="E174" s="75">
        <f t="shared" si="268"/>
        <v>3602</v>
      </c>
      <c r="F174" s="75">
        <f t="shared" si="268"/>
        <v>5277</v>
      </c>
      <c r="G174" s="75">
        <f t="shared" si="268"/>
        <v>5366</v>
      </c>
      <c r="H174" s="75">
        <f t="shared" si="268"/>
        <v>5277</v>
      </c>
      <c r="I174" s="329">
        <f t="shared" si="268"/>
        <v>0</v>
      </c>
      <c r="J174" s="75">
        <f t="shared" si="268"/>
        <v>5524</v>
      </c>
      <c r="K174" s="72">
        <f t="shared" si="191"/>
        <v>0</v>
      </c>
      <c r="L174" s="72">
        <f t="shared" si="192"/>
        <v>5524</v>
      </c>
      <c r="M174" s="75">
        <f t="shared" ref="M174" si="269">M84</f>
        <v>1380</v>
      </c>
      <c r="N174" s="75">
        <f t="shared" ref="N174" si="270">N84</f>
        <v>1380</v>
      </c>
      <c r="O174" s="75">
        <f t="shared" ref="O174:P174" si="271">O84</f>
        <v>1380</v>
      </c>
      <c r="P174" s="75">
        <f t="shared" si="271"/>
        <v>1384</v>
      </c>
      <c r="Q174" s="75">
        <f t="shared" si="268"/>
        <v>6504</v>
      </c>
      <c r="R174" s="75">
        <f t="shared" si="268"/>
        <v>6504</v>
      </c>
      <c r="S174" s="75">
        <f t="shared" si="268"/>
        <v>6504</v>
      </c>
      <c r="T174" s="3"/>
    </row>
    <row r="175" spans="1:20" ht="29.25" hidden="1" customHeight="1">
      <c r="A175" s="41"/>
      <c r="B175" s="28" t="s">
        <v>111</v>
      </c>
      <c r="C175" s="19" t="s">
        <v>112</v>
      </c>
      <c r="D175" s="75">
        <v>0</v>
      </c>
      <c r="E175" s="75"/>
      <c r="F175" s="75"/>
      <c r="G175" s="75"/>
      <c r="H175" s="75"/>
      <c r="I175" s="329"/>
      <c r="J175" s="75"/>
      <c r="K175" s="72">
        <f t="shared" si="191"/>
        <v>0</v>
      </c>
      <c r="L175" s="72">
        <f t="shared" si="192"/>
        <v>0</v>
      </c>
      <c r="M175" s="75"/>
      <c r="N175" s="75"/>
      <c r="O175" s="75"/>
      <c r="P175" s="75"/>
      <c r="Q175" s="73"/>
      <c r="R175" s="73"/>
      <c r="S175" s="73"/>
      <c r="T175" s="3"/>
    </row>
    <row r="176" spans="1:20" ht="29.25" hidden="1" customHeight="1">
      <c r="A176" s="41"/>
      <c r="B176" s="28" t="s">
        <v>113</v>
      </c>
      <c r="C176" s="19" t="s">
        <v>114</v>
      </c>
      <c r="D176" s="75">
        <v>0</v>
      </c>
      <c r="E176" s="75"/>
      <c r="F176" s="75"/>
      <c r="G176" s="75"/>
      <c r="H176" s="75"/>
      <c r="I176" s="329"/>
      <c r="J176" s="75"/>
      <c r="K176" s="72">
        <f t="shared" si="191"/>
        <v>0</v>
      </c>
      <c r="L176" s="72">
        <f t="shared" si="192"/>
        <v>0</v>
      </c>
      <c r="M176" s="75"/>
      <c r="N176" s="75"/>
      <c r="O176" s="75"/>
      <c r="P176" s="75"/>
      <c r="Q176" s="73"/>
      <c r="R176" s="73"/>
      <c r="S176" s="73"/>
      <c r="T176" s="3"/>
    </row>
    <row r="177" spans="1:20" ht="29.25" hidden="1" customHeight="1">
      <c r="A177" s="41"/>
      <c r="B177" s="28" t="s">
        <v>117</v>
      </c>
      <c r="C177" s="19" t="s">
        <v>118</v>
      </c>
      <c r="D177" s="75">
        <f t="shared" ref="D177:S177" si="272">D85</f>
        <v>0</v>
      </c>
      <c r="E177" s="75"/>
      <c r="F177" s="75"/>
      <c r="G177" s="75"/>
      <c r="H177" s="75"/>
      <c r="I177" s="329"/>
      <c r="J177" s="75"/>
      <c r="K177" s="72">
        <f t="shared" si="191"/>
        <v>0</v>
      </c>
      <c r="L177" s="72">
        <f t="shared" si="192"/>
        <v>0</v>
      </c>
      <c r="M177" s="75"/>
      <c r="N177" s="75"/>
      <c r="O177" s="75"/>
      <c r="P177" s="75"/>
      <c r="Q177" s="75">
        <f t="shared" si="272"/>
        <v>0</v>
      </c>
      <c r="R177" s="75">
        <f t="shared" si="272"/>
        <v>0</v>
      </c>
      <c r="S177" s="75">
        <f t="shared" si="272"/>
        <v>0</v>
      </c>
      <c r="T177" s="3"/>
    </row>
    <row r="178" spans="1:20" ht="29.25" hidden="1" customHeight="1">
      <c r="A178" s="44"/>
      <c r="B178" s="28" t="s">
        <v>113</v>
      </c>
      <c r="C178" s="19" t="s">
        <v>114</v>
      </c>
      <c r="D178" s="75">
        <v>0</v>
      </c>
      <c r="E178" s="75"/>
      <c r="F178" s="75"/>
      <c r="G178" s="75"/>
      <c r="H178" s="75"/>
      <c r="I178" s="329"/>
      <c r="J178" s="75"/>
      <c r="K178" s="72">
        <f t="shared" si="191"/>
        <v>0</v>
      </c>
      <c r="L178" s="72">
        <f t="shared" si="192"/>
        <v>0</v>
      </c>
      <c r="M178" s="75"/>
      <c r="N178" s="75"/>
      <c r="O178" s="75"/>
      <c r="P178" s="75"/>
      <c r="Q178" s="73"/>
      <c r="R178" s="73"/>
      <c r="S178" s="73"/>
      <c r="T178" s="3"/>
    </row>
    <row r="179" spans="1:20" ht="29.25" hidden="1" customHeight="1">
      <c r="A179" s="44"/>
      <c r="B179" s="45" t="s">
        <v>154</v>
      </c>
      <c r="C179" s="19" t="s">
        <v>122</v>
      </c>
      <c r="D179" s="75">
        <v>0</v>
      </c>
      <c r="E179" s="75">
        <v>192</v>
      </c>
      <c r="F179" s="75"/>
      <c r="G179" s="75"/>
      <c r="H179" s="75"/>
      <c r="I179" s="329"/>
      <c r="J179" s="75"/>
      <c r="K179" s="72">
        <f t="shared" si="191"/>
        <v>0</v>
      </c>
      <c r="L179" s="72">
        <f t="shared" si="192"/>
        <v>0</v>
      </c>
      <c r="M179" s="75"/>
      <c r="N179" s="75"/>
      <c r="O179" s="75"/>
      <c r="P179" s="75"/>
      <c r="Q179" s="73"/>
      <c r="R179" s="73"/>
      <c r="S179" s="73"/>
      <c r="T179" s="3"/>
    </row>
    <row r="180" spans="1:20" ht="29.25" hidden="1" customHeight="1">
      <c r="A180" s="44"/>
      <c r="B180" s="42" t="s">
        <v>515</v>
      </c>
      <c r="C180" s="19" t="s">
        <v>544</v>
      </c>
      <c r="D180" s="73">
        <f t="shared" ref="D180:S180" si="273">D93</f>
        <v>320</v>
      </c>
      <c r="E180" s="73">
        <f t="shared" si="273"/>
        <v>0</v>
      </c>
      <c r="F180" s="73">
        <f t="shared" si="273"/>
        <v>1</v>
      </c>
      <c r="G180" s="73">
        <f t="shared" si="273"/>
        <v>320</v>
      </c>
      <c r="H180" s="73">
        <f t="shared" si="273"/>
        <v>1</v>
      </c>
      <c r="I180" s="202">
        <f t="shared" si="273"/>
        <v>0</v>
      </c>
      <c r="J180" s="73">
        <f t="shared" si="273"/>
        <v>0</v>
      </c>
      <c r="K180" s="72">
        <f t="shared" si="191"/>
        <v>0</v>
      </c>
      <c r="L180" s="72">
        <f t="shared" si="192"/>
        <v>0</v>
      </c>
      <c r="M180" s="73">
        <f t="shared" ref="M180" si="274">M93</f>
        <v>0</v>
      </c>
      <c r="N180" s="73">
        <f t="shared" ref="N180" si="275">N93</f>
        <v>0</v>
      </c>
      <c r="O180" s="73">
        <f t="shared" ref="O180:P180" si="276">O93</f>
        <v>0</v>
      </c>
      <c r="P180" s="73">
        <f t="shared" si="276"/>
        <v>0</v>
      </c>
      <c r="Q180" s="73">
        <f t="shared" si="273"/>
        <v>0</v>
      </c>
      <c r="R180" s="73">
        <f t="shared" si="273"/>
        <v>0</v>
      </c>
      <c r="S180" s="73">
        <f t="shared" si="273"/>
        <v>0</v>
      </c>
      <c r="T180" s="3"/>
    </row>
    <row r="181" spans="1:20" ht="29.25" customHeight="1">
      <c r="A181" s="110"/>
      <c r="B181" s="111" t="s">
        <v>155</v>
      </c>
      <c r="C181" s="112"/>
      <c r="D181" s="113">
        <f t="shared" ref="D181:S181" si="277">D182+D184+D186+D187+D202+D185</f>
        <v>26293</v>
      </c>
      <c r="E181" s="113">
        <f>E182+E184+E186+E187+E202+E185+E200</f>
        <v>26729</v>
      </c>
      <c r="F181" s="113">
        <f t="shared" si="277"/>
        <v>9621</v>
      </c>
      <c r="G181" s="113">
        <f t="shared" si="277"/>
        <v>38049.82</v>
      </c>
      <c r="H181" s="113">
        <f t="shared" si="277"/>
        <v>9610</v>
      </c>
      <c r="I181" s="336">
        <f t="shared" si="277"/>
        <v>114015</v>
      </c>
      <c r="J181" s="113">
        <f t="shared" si="277"/>
        <v>74702</v>
      </c>
      <c r="K181" s="72">
        <f t="shared" si="191"/>
        <v>0</v>
      </c>
      <c r="L181" s="72">
        <f t="shared" si="192"/>
        <v>74702</v>
      </c>
      <c r="M181" s="409">
        <f t="shared" ref="M181" si="278">M182+M184+M186+M187+M202+M185</f>
        <v>17402</v>
      </c>
      <c r="N181" s="409">
        <f t="shared" ref="N181" si="279">N182+N184+N186+N187+N202+N185</f>
        <v>21064</v>
      </c>
      <c r="O181" s="113">
        <f t="shared" ref="O181:P181" si="280">O182+O184+O186+O187+O202+O185</f>
        <v>19357</v>
      </c>
      <c r="P181" s="113">
        <f t="shared" si="280"/>
        <v>16879</v>
      </c>
      <c r="Q181" s="113">
        <f t="shared" si="277"/>
        <v>155701</v>
      </c>
      <c r="R181" s="113">
        <f t="shared" si="277"/>
        <v>133717</v>
      </c>
      <c r="S181" s="113">
        <f t="shared" si="277"/>
        <v>57634</v>
      </c>
      <c r="T181" s="3"/>
    </row>
    <row r="182" spans="1:20" ht="16.5" customHeight="1">
      <c r="A182" s="44"/>
      <c r="B182" s="28" t="s">
        <v>156</v>
      </c>
      <c r="C182" s="19" t="s">
        <v>157</v>
      </c>
      <c r="D182" s="78">
        <f t="shared" ref="D182:S182" si="281">D183</f>
        <v>10000</v>
      </c>
      <c r="E182" s="78">
        <f t="shared" si="281"/>
        <v>0</v>
      </c>
      <c r="F182" s="78">
        <f t="shared" si="281"/>
        <v>239</v>
      </c>
      <c r="G182" s="78">
        <f t="shared" si="281"/>
        <v>13596.17</v>
      </c>
      <c r="H182" s="78">
        <f t="shared" si="281"/>
        <v>239</v>
      </c>
      <c r="I182" s="334">
        <f t="shared" si="281"/>
        <v>-10687</v>
      </c>
      <c r="J182" s="78">
        <f t="shared" si="281"/>
        <v>0</v>
      </c>
      <c r="K182" s="72">
        <f t="shared" si="191"/>
        <v>0</v>
      </c>
      <c r="L182" s="72">
        <f t="shared" si="192"/>
        <v>0</v>
      </c>
      <c r="M182" s="78">
        <f t="shared" si="281"/>
        <v>0</v>
      </c>
      <c r="N182" s="78">
        <f t="shared" si="281"/>
        <v>0</v>
      </c>
      <c r="O182" s="78">
        <f t="shared" si="281"/>
        <v>0</v>
      </c>
      <c r="P182" s="78">
        <f t="shared" si="281"/>
        <v>0</v>
      </c>
      <c r="Q182" s="78">
        <f t="shared" si="281"/>
        <v>0</v>
      </c>
      <c r="R182" s="78">
        <f t="shared" si="281"/>
        <v>0</v>
      </c>
      <c r="S182" s="78">
        <f t="shared" si="281"/>
        <v>0</v>
      </c>
      <c r="T182" s="3"/>
    </row>
    <row r="183" spans="1:20" ht="18.75" customHeight="1">
      <c r="A183" s="44"/>
      <c r="B183" s="28" t="s">
        <v>151</v>
      </c>
      <c r="C183" s="19" t="s">
        <v>77</v>
      </c>
      <c r="D183" s="82">
        <f t="shared" ref="D183:J183" si="282">-D162</f>
        <v>10000</v>
      </c>
      <c r="E183" s="82">
        <f t="shared" si="282"/>
        <v>0</v>
      </c>
      <c r="F183" s="82">
        <f t="shared" si="282"/>
        <v>239</v>
      </c>
      <c r="G183" s="82">
        <f t="shared" si="282"/>
        <v>13596.17</v>
      </c>
      <c r="H183" s="82">
        <f t="shared" si="282"/>
        <v>239</v>
      </c>
      <c r="I183" s="338">
        <f t="shared" si="282"/>
        <v>-10687</v>
      </c>
      <c r="J183" s="82">
        <f t="shared" si="282"/>
        <v>0</v>
      </c>
      <c r="K183" s="72">
        <f t="shared" si="191"/>
        <v>0</v>
      </c>
      <c r="L183" s="72">
        <f t="shared" si="192"/>
        <v>0</v>
      </c>
      <c r="M183" s="82">
        <f t="shared" ref="M183" si="283">-M162</f>
        <v>0</v>
      </c>
      <c r="N183" s="82">
        <f t="shared" ref="N183" si="284">-N162</f>
        <v>0</v>
      </c>
      <c r="O183" s="82">
        <f t="shared" ref="O183:P183" si="285">-O162</f>
        <v>0</v>
      </c>
      <c r="P183" s="82">
        <f t="shared" si="285"/>
        <v>0</v>
      </c>
      <c r="Q183" s="82">
        <f>-Q162</f>
        <v>0</v>
      </c>
      <c r="R183" s="82">
        <f>-R162</f>
        <v>0</v>
      </c>
      <c r="S183" s="82">
        <f>-S162</f>
        <v>0</v>
      </c>
      <c r="T183" s="3"/>
    </row>
    <row r="184" spans="1:20" ht="0.75" hidden="1" customHeight="1">
      <c r="A184" s="44"/>
      <c r="B184" s="40" t="s">
        <v>81</v>
      </c>
      <c r="C184" s="19" t="s">
        <v>82</v>
      </c>
      <c r="D184" s="75">
        <f t="shared" ref="D184:S184" si="286">D65</f>
        <v>0</v>
      </c>
      <c r="E184" s="75">
        <v>6</v>
      </c>
      <c r="F184" s="75"/>
      <c r="G184" s="75"/>
      <c r="H184" s="75"/>
      <c r="I184" s="329"/>
      <c r="J184" s="75"/>
      <c r="K184" s="72">
        <f t="shared" si="191"/>
        <v>0</v>
      </c>
      <c r="L184" s="72">
        <f t="shared" si="192"/>
        <v>0</v>
      </c>
      <c r="M184" s="75"/>
      <c r="N184" s="75"/>
      <c r="O184" s="75"/>
      <c r="P184" s="75"/>
      <c r="Q184" s="75">
        <f t="shared" si="286"/>
        <v>0</v>
      </c>
      <c r="R184" s="75">
        <f t="shared" si="286"/>
        <v>0</v>
      </c>
      <c r="S184" s="75">
        <f t="shared" si="286"/>
        <v>0</v>
      </c>
      <c r="T184" s="3"/>
    </row>
    <row r="185" spans="1:20" ht="28.5" hidden="1" customHeight="1">
      <c r="A185" s="44"/>
      <c r="B185" s="40" t="s">
        <v>83</v>
      </c>
      <c r="C185" s="19" t="s">
        <v>84</v>
      </c>
      <c r="D185" s="75">
        <v>0</v>
      </c>
      <c r="E185" s="75">
        <v>462</v>
      </c>
      <c r="F185" s="75"/>
      <c r="G185" s="75"/>
      <c r="H185" s="75"/>
      <c r="I185" s="329"/>
      <c r="J185" s="75"/>
      <c r="K185" s="72">
        <f t="shared" si="191"/>
        <v>0</v>
      </c>
      <c r="L185" s="72">
        <f t="shared" si="192"/>
        <v>0</v>
      </c>
      <c r="M185" s="75"/>
      <c r="N185" s="75"/>
      <c r="O185" s="75"/>
      <c r="P185" s="75"/>
      <c r="Q185" s="73"/>
      <c r="R185" s="73"/>
      <c r="S185" s="73"/>
      <c r="T185" s="3"/>
    </row>
    <row r="186" spans="1:20" ht="13.5" hidden="1" customHeight="1">
      <c r="A186" s="44"/>
      <c r="B186" s="40" t="s">
        <v>152</v>
      </c>
      <c r="C186" s="19">
        <v>40.020000000000003</v>
      </c>
      <c r="D186" s="75">
        <v>0</v>
      </c>
      <c r="E186" s="75">
        <v>0</v>
      </c>
      <c r="F186" s="75">
        <v>0</v>
      </c>
      <c r="G186" s="75">
        <v>0</v>
      </c>
      <c r="H186" s="75">
        <v>0</v>
      </c>
      <c r="I186" s="329">
        <v>0</v>
      </c>
      <c r="J186" s="75">
        <v>0</v>
      </c>
      <c r="K186" s="72">
        <f t="shared" si="191"/>
        <v>0</v>
      </c>
      <c r="L186" s="72">
        <f t="shared" si="192"/>
        <v>0</v>
      </c>
      <c r="M186" s="75">
        <v>0</v>
      </c>
      <c r="N186" s="75">
        <v>0</v>
      </c>
      <c r="O186" s="75">
        <v>0</v>
      </c>
      <c r="P186" s="75">
        <v>0</v>
      </c>
      <c r="Q186" s="73"/>
      <c r="R186" s="73"/>
      <c r="S186" s="73"/>
      <c r="T186" s="3"/>
    </row>
    <row r="187" spans="1:20" ht="19.5" customHeight="1">
      <c r="A187" s="44"/>
      <c r="B187" s="33" t="s">
        <v>88</v>
      </c>
      <c r="C187" s="19" t="s">
        <v>158</v>
      </c>
      <c r="D187" s="78">
        <f t="shared" ref="D187:S187" si="287">D188+D189+D190+D191+D192+D195+D196+D197+D198</f>
        <v>2185</v>
      </c>
      <c r="E187" s="78">
        <f t="shared" si="287"/>
        <v>10642</v>
      </c>
      <c r="F187" s="78">
        <f t="shared" si="287"/>
        <v>8649</v>
      </c>
      <c r="G187" s="78">
        <f t="shared" si="287"/>
        <v>10190.65</v>
      </c>
      <c r="H187" s="78">
        <f t="shared" si="287"/>
        <v>8649</v>
      </c>
      <c r="I187" s="334">
        <f t="shared" si="287"/>
        <v>74130</v>
      </c>
      <c r="J187" s="78">
        <f t="shared" si="287"/>
        <v>24130</v>
      </c>
      <c r="K187" s="72">
        <f t="shared" si="191"/>
        <v>0</v>
      </c>
      <c r="L187" s="72">
        <f t="shared" si="192"/>
        <v>24130</v>
      </c>
      <c r="M187" s="78">
        <f t="shared" ref="M187" si="288">M188+M189+M190+M191+M192+M195+M196+M197+M198</f>
        <v>5866</v>
      </c>
      <c r="N187" s="78">
        <f t="shared" ref="N187" si="289">N188+N189+N190+N191+N192+N195+N196+N197+N198</f>
        <v>6365</v>
      </c>
      <c r="O187" s="78">
        <f t="shared" ref="O187:P187" si="290">O188+O189+O190+O191+O192+O195+O196+O197+O198</f>
        <v>6102</v>
      </c>
      <c r="P187" s="78">
        <f t="shared" si="290"/>
        <v>5797</v>
      </c>
      <c r="Q187" s="78">
        <f t="shared" si="287"/>
        <v>36821</v>
      </c>
      <c r="R187" s="78">
        <f t="shared" si="287"/>
        <v>26928</v>
      </c>
      <c r="S187" s="78">
        <f t="shared" si="287"/>
        <v>0</v>
      </c>
      <c r="T187" s="3"/>
    </row>
    <row r="188" spans="1:20" ht="0.75" customHeight="1">
      <c r="A188" s="44"/>
      <c r="B188" s="28" t="s">
        <v>91</v>
      </c>
      <c r="C188" s="19" t="s">
        <v>92</v>
      </c>
      <c r="D188" s="75">
        <v>0</v>
      </c>
      <c r="E188" s="75"/>
      <c r="F188" s="75"/>
      <c r="G188" s="75"/>
      <c r="H188" s="75"/>
      <c r="I188" s="329"/>
      <c r="J188" s="75"/>
      <c r="K188" s="72">
        <f t="shared" si="191"/>
        <v>0</v>
      </c>
      <c r="L188" s="72">
        <f t="shared" si="192"/>
        <v>0</v>
      </c>
      <c r="M188" s="75"/>
      <c r="N188" s="75"/>
      <c r="O188" s="75"/>
      <c r="P188" s="75"/>
      <c r="Q188" s="73"/>
      <c r="R188" s="73"/>
      <c r="S188" s="73"/>
      <c r="T188" s="3"/>
    </row>
    <row r="189" spans="1:20" ht="18" hidden="1" customHeight="1">
      <c r="A189" s="44"/>
      <c r="B189" s="28" t="s">
        <v>95</v>
      </c>
      <c r="C189" s="19" t="s">
        <v>96</v>
      </c>
      <c r="D189" s="75">
        <v>0</v>
      </c>
      <c r="E189" s="75">
        <v>476</v>
      </c>
      <c r="F189" s="75">
        <v>5536</v>
      </c>
      <c r="G189" s="75">
        <v>5536</v>
      </c>
      <c r="H189" s="75">
        <v>5536</v>
      </c>
      <c r="I189" s="329"/>
      <c r="J189" s="75"/>
      <c r="K189" s="72">
        <f t="shared" si="191"/>
        <v>0</v>
      </c>
      <c r="L189" s="72">
        <f t="shared" si="192"/>
        <v>0</v>
      </c>
      <c r="M189" s="75"/>
      <c r="N189" s="75"/>
      <c r="O189" s="75"/>
      <c r="P189" s="75"/>
      <c r="Q189" s="73"/>
      <c r="R189" s="73"/>
      <c r="S189" s="73"/>
      <c r="T189" s="3"/>
    </row>
    <row r="190" spans="1:20" ht="21" hidden="1" customHeight="1">
      <c r="A190" s="44"/>
      <c r="B190" s="28" t="s">
        <v>97</v>
      </c>
      <c r="C190" s="19" t="s">
        <v>98</v>
      </c>
      <c r="D190" s="75">
        <v>0</v>
      </c>
      <c r="E190" s="75"/>
      <c r="F190" s="75"/>
      <c r="G190" s="75"/>
      <c r="H190" s="75"/>
      <c r="I190" s="329"/>
      <c r="J190" s="75"/>
      <c r="K190" s="72">
        <f t="shared" si="191"/>
        <v>0</v>
      </c>
      <c r="L190" s="72">
        <f t="shared" si="192"/>
        <v>0</v>
      </c>
      <c r="M190" s="75"/>
      <c r="N190" s="75"/>
      <c r="O190" s="75"/>
      <c r="P190" s="75"/>
      <c r="Q190" s="73"/>
      <c r="R190" s="73"/>
      <c r="S190" s="73"/>
      <c r="T190" s="3"/>
    </row>
    <row r="191" spans="1:20" ht="23.25" hidden="1" customHeight="1">
      <c r="A191" s="44"/>
      <c r="B191" s="42" t="s">
        <v>101</v>
      </c>
      <c r="C191" s="19" t="s">
        <v>102</v>
      </c>
      <c r="D191" s="75">
        <v>0</v>
      </c>
      <c r="E191" s="75">
        <v>1946</v>
      </c>
      <c r="F191" s="75"/>
      <c r="G191" s="75"/>
      <c r="H191" s="75"/>
      <c r="I191" s="329"/>
      <c r="J191" s="75"/>
      <c r="K191" s="72">
        <f t="shared" si="191"/>
        <v>0</v>
      </c>
      <c r="L191" s="72">
        <f t="shared" si="192"/>
        <v>0</v>
      </c>
      <c r="M191" s="75"/>
      <c r="N191" s="75"/>
      <c r="O191" s="75"/>
      <c r="P191" s="75"/>
      <c r="Q191" s="73"/>
      <c r="R191" s="73"/>
      <c r="S191" s="73"/>
      <c r="T191" s="3"/>
    </row>
    <row r="192" spans="1:20" ht="24" hidden="1" customHeight="1">
      <c r="A192" s="44"/>
      <c r="B192" s="28" t="s">
        <v>159</v>
      </c>
      <c r="C192" s="19" t="s">
        <v>106</v>
      </c>
      <c r="D192" s="75">
        <f t="shared" ref="D192:S192" si="291">D79</f>
        <v>0</v>
      </c>
      <c r="E192" s="75">
        <f t="shared" si="291"/>
        <v>0</v>
      </c>
      <c r="F192" s="75">
        <f t="shared" si="291"/>
        <v>0</v>
      </c>
      <c r="G192" s="75">
        <f t="shared" si="291"/>
        <v>0</v>
      </c>
      <c r="H192" s="75">
        <f t="shared" si="291"/>
        <v>0</v>
      </c>
      <c r="I192" s="329">
        <f t="shared" si="291"/>
        <v>0</v>
      </c>
      <c r="J192" s="75">
        <f t="shared" si="291"/>
        <v>0</v>
      </c>
      <c r="K192" s="72">
        <f t="shared" si="191"/>
        <v>0</v>
      </c>
      <c r="L192" s="72">
        <f t="shared" si="192"/>
        <v>0</v>
      </c>
      <c r="M192" s="75">
        <f t="shared" ref="M192" si="292">M79</f>
        <v>0</v>
      </c>
      <c r="N192" s="75">
        <f t="shared" ref="N192" si="293">N79</f>
        <v>0</v>
      </c>
      <c r="O192" s="75">
        <f t="shared" ref="O192:P192" si="294">O79</f>
        <v>0</v>
      </c>
      <c r="P192" s="75">
        <f t="shared" si="294"/>
        <v>0</v>
      </c>
      <c r="Q192" s="75">
        <f t="shared" si="291"/>
        <v>0</v>
      </c>
      <c r="R192" s="75">
        <f t="shared" si="291"/>
        <v>0</v>
      </c>
      <c r="S192" s="75">
        <f t="shared" si="291"/>
        <v>0</v>
      </c>
      <c r="T192" s="3"/>
    </row>
    <row r="193" spans="1:20" ht="1.5" hidden="1" customHeight="1">
      <c r="A193" s="44"/>
      <c r="B193" s="28" t="s">
        <v>113</v>
      </c>
      <c r="C193" s="19" t="s">
        <v>114</v>
      </c>
      <c r="D193" s="75">
        <v>0</v>
      </c>
      <c r="E193" s="75"/>
      <c r="F193" s="75"/>
      <c r="G193" s="75"/>
      <c r="H193" s="75"/>
      <c r="I193" s="329"/>
      <c r="J193" s="75"/>
      <c r="K193" s="72">
        <f t="shared" si="191"/>
        <v>0</v>
      </c>
      <c r="L193" s="72">
        <f t="shared" si="192"/>
        <v>0</v>
      </c>
      <c r="M193" s="75"/>
      <c r="N193" s="75"/>
      <c r="O193" s="75"/>
      <c r="P193" s="75"/>
      <c r="Q193" s="73"/>
      <c r="R193" s="73"/>
      <c r="S193" s="73"/>
      <c r="T193" s="3"/>
    </row>
    <row r="194" spans="1:20" ht="24" hidden="1" customHeight="1">
      <c r="A194" s="44"/>
      <c r="B194" s="28" t="s">
        <v>119</v>
      </c>
      <c r="C194" s="19" t="s">
        <v>120</v>
      </c>
      <c r="D194" s="75">
        <v>0</v>
      </c>
      <c r="E194" s="75"/>
      <c r="F194" s="75"/>
      <c r="G194" s="75"/>
      <c r="H194" s="75"/>
      <c r="I194" s="329"/>
      <c r="J194" s="75"/>
      <c r="K194" s="72">
        <f t="shared" si="191"/>
        <v>0</v>
      </c>
      <c r="L194" s="72">
        <f t="shared" si="192"/>
        <v>0</v>
      </c>
      <c r="M194" s="75"/>
      <c r="N194" s="75"/>
      <c r="O194" s="75"/>
      <c r="P194" s="75"/>
      <c r="Q194" s="73"/>
      <c r="R194" s="73"/>
      <c r="S194" s="73"/>
      <c r="T194" s="3"/>
    </row>
    <row r="195" spans="1:20" ht="27" hidden="1" customHeight="1">
      <c r="A195" s="44"/>
      <c r="B195" s="42" t="s">
        <v>123</v>
      </c>
      <c r="C195" s="19" t="s">
        <v>124</v>
      </c>
      <c r="D195" s="75">
        <f t="shared" ref="D195:S195" si="295">D88</f>
        <v>0</v>
      </c>
      <c r="E195" s="75">
        <f t="shared" si="295"/>
        <v>0</v>
      </c>
      <c r="F195" s="75">
        <f t="shared" si="295"/>
        <v>0</v>
      </c>
      <c r="G195" s="75">
        <f t="shared" si="295"/>
        <v>0</v>
      </c>
      <c r="H195" s="75">
        <f t="shared" si="295"/>
        <v>0</v>
      </c>
      <c r="I195" s="329">
        <f t="shared" si="295"/>
        <v>0</v>
      </c>
      <c r="J195" s="75">
        <f t="shared" si="295"/>
        <v>0</v>
      </c>
      <c r="K195" s="72">
        <f t="shared" si="191"/>
        <v>0</v>
      </c>
      <c r="L195" s="72">
        <f t="shared" si="192"/>
        <v>0</v>
      </c>
      <c r="M195" s="75">
        <f t="shared" ref="M195" si="296">M88</f>
        <v>0</v>
      </c>
      <c r="N195" s="75">
        <f t="shared" ref="N195" si="297">N88</f>
        <v>0</v>
      </c>
      <c r="O195" s="75">
        <f t="shared" ref="O195:P195" si="298">O88</f>
        <v>0</v>
      </c>
      <c r="P195" s="75">
        <f t="shared" si="298"/>
        <v>0</v>
      </c>
      <c r="Q195" s="75">
        <f t="shared" si="295"/>
        <v>0</v>
      </c>
      <c r="R195" s="75">
        <f t="shared" si="295"/>
        <v>0</v>
      </c>
      <c r="S195" s="75">
        <f t="shared" si="295"/>
        <v>0</v>
      </c>
      <c r="T195" s="3"/>
    </row>
    <row r="196" spans="1:20" ht="18.75" hidden="1" customHeight="1">
      <c r="A196" s="44"/>
      <c r="B196" s="42" t="s">
        <v>125</v>
      </c>
      <c r="C196" s="19" t="s">
        <v>126</v>
      </c>
      <c r="D196" s="75">
        <v>0</v>
      </c>
      <c r="E196" s="75"/>
      <c r="F196" s="75"/>
      <c r="G196" s="75"/>
      <c r="H196" s="75"/>
      <c r="I196" s="329"/>
      <c r="J196" s="75"/>
      <c r="K196" s="72">
        <f t="shared" si="191"/>
        <v>0</v>
      </c>
      <c r="L196" s="72">
        <f t="shared" si="192"/>
        <v>0</v>
      </c>
      <c r="M196" s="75"/>
      <c r="N196" s="75"/>
      <c r="O196" s="75"/>
      <c r="P196" s="75"/>
      <c r="Q196" s="73"/>
      <c r="R196" s="73"/>
      <c r="S196" s="73"/>
      <c r="T196" s="3"/>
    </row>
    <row r="197" spans="1:20" ht="29.25" customHeight="1">
      <c r="A197" s="44"/>
      <c r="B197" s="223" t="s">
        <v>129</v>
      </c>
      <c r="C197" s="19" t="s">
        <v>130</v>
      </c>
      <c r="D197" s="75">
        <f t="shared" ref="D197:S199" si="299">D91</f>
        <v>0</v>
      </c>
      <c r="E197" s="75">
        <f t="shared" si="299"/>
        <v>4750</v>
      </c>
      <c r="F197" s="75">
        <f t="shared" si="299"/>
        <v>2145</v>
      </c>
      <c r="G197" s="75">
        <f t="shared" si="299"/>
        <v>2445.65</v>
      </c>
      <c r="H197" s="75">
        <f t="shared" si="299"/>
        <v>2145</v>
      </c>
      <c r="I197" s="329">
        <f t="shared" si="299"/>
        <v>66000</v>
      </c>
      <c r="J197" s="75">
        <f t="shared" si="299"/>
        <v>16000</v>
      </c>
      <c r="K197" s="72">
        <f t="shared" si="191"/>
        <v>0</v>
      </c>
      <c r="L197" s="72">
        <f t="shared" si="192"/>
        <v>16000</v>
      </c>
      <c r="M197" s="75">
        <f t="shared" ref="M197" si="300">M91</f>
        <v>4000</v>
      </c>
      <c r="N197" s="75">
        <f t="shared" ref="N197" si="301">N91</f>
        <v>4000</v>
      </c>
      <c r="O197" s="75">
        <f t="shared" ref="O197:P197" si="302">O91</f>
        <v>4000</v>
      </c>
      <c r="P197" s="75">
        <f t="shared" si="302"/>
        <v>4000</v>
      </c>
      <c r="Q197" s="75">
        <f t="shared" si="299"/>
        <v>36821</v>
      </c>
      <c r="R197" s="75">
        <f t="shared" si="299"/>
        <v>26928</v>
      </c>
      <c r="S197" s="75">
        <f t="shared" si="299"/>
        <v>0</v>
      </c>
      <c r="T197" s="3"/>
    </row>
    <row r="198" spans="1:20" ht="27" customHeight="1">
      <c r="A198" s="44"/>
      <c r="B198" s="42" t="s">
        <v>510</v>
      </c>
      <c r="C198" s="105" t="s">
        <v>511</v>
      </c>
      <c r="D198" s="73">
        <f t="shared" si="299"/>
        <v>2185</v>
      </c>
      <c r="E198" s="73">
        <f t="shared" si="299"/>
        <v>3470</v>
      </c>
      <c r="F198" s="73">
        <f t="shared" si="299"/>
        <v>968</v>
      </c>
      <c r="G198" s="73">
        <f t="shared" si="299"/>
        <v>2209</v>
      </c>
      <c r="H198" s="73">
        <f t="shared" si="299"/>
        <v>968</v>
      </c>
      <c r="I198" s="202">
        <f t="shared" si="299"/>
        <v>8130</v>
      </c>
      <c r="J198" s="73">
        <f t="shared" si="299"/>
        <v>8130</v>
      </c>
      <c r="K198" s="72">
        <f t="shared" si="191"/>
        <v>0</v>
      </c>
      <c r="L198" s="72">
        <f t="shared" si="192"/>
        <v>8130</v>
      </c>
      <c r="M198" s="73">
        <f t="shared" ref="M198" si="303">M92</f>
        <v>1866</v>
      </c>
      <c r="N198" s="73">
        <f t="shared" ref="N198" si="304">N92</f>
        <v>2365</v>
      </c>
      <c r="O198" s="73">
        <f t="shared" ref="O198:P198" si="305">O92</f>
        <v>2102</v>
      </c>
      <c r="P198" s="73">
        <f t="shared" si="305"/>
        <v>1797</v>
      </c>
      <c r="Q198" s="73">
        <f t="shared" si="299"/>
        <v>0</v>
      </c>
      <c r="R198" s="73">
        <f t="shared" si="299"/>
        <v>0</v>
      </c>
      <c r="S198" s="73">
        <f t="shared" si="299"/>
        <v>0</v>
      </c>
      <c r="T198" s="3"/>
    </row>
    <row r="199" spans="1:20" ht="0.75" customHeight="1">
      <c r="A199" s="44"/>
      <c r="B199" s="42" t="s">
        <v>515</v>
      </c>
      <c r="C199" s="105" t="s">
        <v>516</v>
      </c>
      <c r="D199" s="73"/>
      <c r="E199" s="73">
        <f t="shared" si="299"/>
        <v>0</v>
      </c>
      <c r="F199" s="73"/>
      <c r="G199" s="73">
        <f t="shared" si="299"/>
        <v>320</v>
      </c>
      <c r="H199" s="73"/>
      <c r="I199" s="202">
        <f t="shared" si="299"/>
        <v>0</v>
      </c>
      <c r="J199" s="73">
        <f t="shared" si="299"/>
        <v>0</v>
      </c>
      <c r="K199" s="72">
        <f t="shared" si="191"/>
        <v>0</v>
      </c>
      <c r="L199" s="72">
        <f t="shared" si="192"/>
        <v>0</v>
      </c>
      <c r="M199" s="73">
        <f t="shared" ref="M199" si="306">M93</f>
        <v>0</v>
      </c>
      <c r="N199" s="73">
        <f t="shared" ref="N199" si="307">N93</f>
        <v>0</v>
      </c>
      <c r="O199" s="73">
        <f t="shared" ref="O199:P199" si="308">O93</f>
        <v>0</v>
      </c>
      <c r="P199" s="73">
        <f t="shared" si="308"/>
        <v>0</v>
      </c>
      <c r="Q199" s="73">
        <f t="shared" si="299"/>
        <v>0</v>
      </c>
      <c r="R199" s="73">
        <f t="shared" si="299"/>
        <v>0</v>
      </c>
      <c r="S199" s="73">
        <f t="shared" si="299"/>
        <v>0</v>
      </c>
      <c r="T199" s="3"/>
    </row>
    <row r="200" spans="1:20" ht="27" hidden="1" customHeight="1">
      <c r="A200" s="44"/>
      <c r="B200" s="27" t="s">
        <v>649</v>
      </c>
      <c r="C200" s="194">
        <v>46.02</v>
      </c>
      <c r="D200" s="73"/>
      <c r="E200" s="73">
        <f>E201</f>
        <v>14917</v>
      </c>
      <c r="F200" s="73"/>
      <c r="G200" s="73"/>
      <c r="H200" s="73"/>
      <c r="I200" s="202"/>
      <c r="J200" s="73"/>
      <c r="K200" s="72">
        <f t="shared" si="191"/>
        <v>0</v>
      </c>
      <c r="L200" s="72">
        <f t="shared" si="192"/>
        <v>0</v>
      </c>
      <c r="M200" s="73"/>
      <c r="N200" s="73"/>
      <c r="O200" s="73"/>
      <c r="P200" s="73"/>
      <c r="Q200" s="73"/>
      <c r="R200" s="73"/>
      <c r="S200" s="73"/>
      <c r="T200" s="3"/>
    </row>
    <row r="201" spans="1:20" ht="41.25" hidden="1" customHeight="1">
      <c r="A201" s="44"/>
      <c r="B201" s="42" t="s">
        <v>650</v>
      </c>
      <c r="C201" s="105" t="s">
        <v>651</v>
      </c>
      <c r="D201" s="73"/>
      <c r="E201" s="73">
        <v>14917</v>
      </c>
      <c r="F201" s="73"/>
      <c r="G201" s="73"/>
      <c r="H201" s="73"/>
      <c r="I201" s="202"/>
      <c r="J201" s="73"/>
      <c r="K201" s="72">
        <f t="shared" si="191"/>
        <v>0</v>
      </c>
      <c r="L201" s="72">
        <f t="shared" si="192"/>
        <v>0</v>
      </c>
      <c r="M201" s="73"/>
      <c r="N201" s="73"/>
      <c r="O201" s="73"/>
      <c r="P201" s="73"/>
      <c r="Q201" s="73"/>
      <c r="R201" s="73"/>
      <c r="S201" s="73"/>
      <c r="T201" s="3"/>
    </row>
    <row r="202" spans="1:20" ht="57" customHeight="1">
      <c r="A202" s="41"/>
      <c r="B202" s="27" t="s">
        <v>456</v>
      </c>
      <c r="C202" s="22" t="s">
        <v>461</v>
      </c>
      <c r="D202" s="75">
        <f>D96</f>
        <v>14108</v>
      </c>
      <c r="E202" s="75">
        <f t="shared" ref="E202:S203" si="309">E96</f>
        <v>702</v>
      </c>
      <c r="F202" s="75">
        <f t="shared" si="309"/>
        <v>733</v>
      </c>
      <c r="G202" s="75">
        <f t="shared" si="309"/>
        <v>14263</v>
      </c>
      <c r="H202" s="75">
        <f t="shared" si="309"/>
        <v>722</v>
      </c>
      <c r="I202" s="329">
        <f t="shared" si="309"/>
        <v>50572</v>
      </c>
      <c r="J202" s="75">
        <f t="shared" si="309"/>
        <v>50572</v>
      </c>
      <c r="K202" s="72">
        <f t="shared" si="191"/>
        <v>0</v>
      </c>
      <c r="L202" s="72">
        <f t="shared" si="192"/>
        <v>50572</v>
      </c>
      <c r="M202" s="75">
        <f t="shared" ref="M202" si="310">M96</f>
        <v>11536</v>
      </c>
      <c r="N202" s="75">
        <f t="shared" ref="N202" si="311">N96</f>
        <v>14699</v>
      </c>
      <c r="O202" s="75">
        <f t="shared" ref="O202:P202" si="312">O96</f>
        <v>13255</v>
      </c>
      <c r="P202" s="75">
        <f t="shared" si="312"/>
        <v>11082</v>
      </c>
      <c r="Q202" s="73">
        <f t="shared" si="309"/>
        <v>118880</v>
      </c>
      <c r="R202" s="73">
        <f t="shared" si="309"/>
        <v>106789</v>
      </c>
      <c r="S202" s="73">
        <f t="shared" si="309"/>
        <v>57634</v>
      </c>
      <c r="T202" s="3"/>
    </row>
    <row r="203" spans="1:20" ht="16.5" customHeight="1">
      <c r="A203" s="46"/>
      <c r="B203" s="172" t="s">
        <v>599</v>
      </c>
      <c r="C203" s="93" t="s">
        <v>460</v>
      </c>
      <c r="D203" s="73">
        <f t="shared" ref="D203:J203" si="313">D97</f>
        <v>12704</v>
      </c>
      <c r="E203" s="73">
        <f t="shared" si="309"/>
        <v>436</v>
      </c>
      <c r="F203" s="73">
        <f t="shared" si="313"/>
        <v>370</v>
      </c>
      <c r="G203" s="73">
        <f t="shared" si="313"/>
        <v>12581</v>
      </c>
      <c r="H203" s="73">
        <f t="shared" si="309"/>
        <v>370</v>
      </c>
      <c r="I203" s="202">
        <f t="shared" si="309"/>
        <v>48418</v>
      </c>
      <c r="J203" s="73">
        <f t="shared" si="313"/>
        <v>48418</v>
      </c>
      <c r="K203" s="72">
        <f t="shared" si="191"/>
        <v>0</v>
      </c>
      <c r="L203" s="72">
        <f t="shared" si="192"/>
        <v>48418</v>
      </c>
      <c r="M203" s="73">
        <f t="shared" ref="M203" si="314">M97</f>
        <v>10913</v>
      </c>
      <c r="N203" s="73">
        <f t="shared" ref="N203" si="315">N97</f>
        <v>14120</v>
      </c>
      <c r="O203" s="73">
        <f t="shared" ref="O203:P203" si="316">O97</f>
        <v>12676</v>
      </c>
      <c r="P203" s="73">
        <f t="shared" si="316"/>
        <v>10709</v>
      </c>
      <c r="Q203" s="73">
        <f t="shared" si="309"/>
        <v>114739</v>
      </c>
      <c r="R203" s="73">
        <f t="shared" si="309"/>
        <v>103799</v>
      </c>
      <c r="S203" s="73">
        <f t="shared" si="309"/>
        <v>54079</v>
      </c>
      <c r="T203" s="3"/>
    </row>
    <row r="204" spans="1:20" ht="27.75" customHeight="1">
      <c r="A204" s="41"/>
      <c r="B204" s="42" t="s">
        <v>137</v>
      </c>
      <c r="C204" s="19" t="s">
        <v>457</v>
      </c>
      <c r="D204" s="75">
        <f>D97</f>
        <v>12704</v>
      </c>
      <c r="E204" s="75">
        <f t="shared" ref="E204:J204" si="317">E97</f>
        <v>436</v>
      </c>
      <c r="F204" s="75">
        <f t="shared" si="317"/>
        <v>370</v>
      </c>
      <c r="G204" s="75">
        <f t="shared" si="317"/>
        <v>12581</v>
      </c>
      <c r="H204" s="75">
        <f t="shared" si="317"/>
        <v>370</v>
      </c>
      <c r="I204" s="329">
        <f t="shared" si="317"/>
        <v>48418</v>
      </c>
      <c r="J204" s="75">
        <f t="shared" si="317"/>
        <v>48418</v>
      </c>
      <c r="K204" s="72">
        <f t="shared" ref="K204:K267" si="318">J204-L204</f>
        <v>0</v>
      </c>
      <c r="L204" s="72">
        <f t="shared" ref="L204:L267" si="319">M204+N204+O204+P204</f>
        <v>48418</v>
      </c>
      <c r="M204" s="75">
        <f t="shared" ref="M204" si="320">M97</f>
        <v>10913</v>
      </c>
      <c r="N204" s="75">
        <f t="shared" ref="N204" si="321">N97</f>
        <v>14120</v>
      </c>
      <c r="O204" s="75">
        <f t="shared" ref="O204:P204" si="322">O97</f>
        <v>12676</v>
      </c>
      <c r="P204" s="75">
        <f t="shared" si="322"/>
        <v>10709</v>
      </c>
      <c r="Q204" s="73"/>
      <c r="R204" s="73"/>
      <c r="S204" s="73"/>
      <c r="T204" s="3"/>
    </row>
    <row r="205" spans="1:20" ht="8.25" hidden="1" customHeight="1">
      <c r="A205" s="41"/>
      <c r="B205" s="28" t="s">
        <v>133</v>
      </c>
      <c r="C205" s="19" t="s">
        <v>458</v>
      </c>
      <c r="D205" s="75"/>
      <c r="E205" s="75"/>
      <c r="F205" s="75"/>
      <c r="G205" s="75"/>
      <c r="H205" s="75"/>
      <c r="I205" s="329"/>
      <c r="J205" s="75"/>
      <c r="K205" s="72">
        <f t="shared" si="318"/>
        <v>0</v>
      </c>
      <c r="L205" s="72">
        <f t="shared" si="319"/>
        <v>0</v>
      </c>
      <c r="M205" s="75"/>
      <c r="N205" s="75"/>
      <c r="O205" s="75"/>
      <c r="P205" s="75"/>
      <c r="Q205" s="73"/>
      <c r="R205" s="73"/>
      <c r="S205" s="73"/>
      <c r="T205" s="3"/>
    </row>
    <row r="206" spans="1:20" ht="19.5" hidden="1" customHeight="1">
      <c r="A206" s="41"/>
      <c r="B206" s="28" t="s">
        <v>134</v>
      </c>
      <c r="C206" s="99" t="s">
        <v>459</v>
      </c>
      <c r="D206" s="75">
        <v>0</v>
      </c>
      <c r="E206" s="75"/>
      <c r="F206" s="75"/>
      <c r="G206" s="75"/>
      <c r="H206" s="75"/>
      <c r="I206" s="329"/>
      <c r="J206" s="75"/>
      <c r="K206" s="72">
        <f t="shared" si="318"/>
        <v>0</v>
      </c>
      <c r="L206" s="72">
        <f t="shared" si="319"/>
        <v>0</v>
      </c>
      <c r="M206" s="75"/>
      <c r="N206" s="75"/>
      <c r="O206" s="75"/>
      <c r="P206" s="75"/>
      <c r="Q206" s="73"/>
      <c r="R206" s="73"/>
      <c r="S206" s="73"/>
      <c r="T206" s="3"/>
    </row>
    <row r="207" spans="1:20" ht="20.25" customHeight="1">
      <c r="A207" s="41"/>
      <c r="B207" s="173" t="s">
        <v>600</v>
      </c>
      <c r="C207" s="92" t="s">
        <v>519</v>
      </c>
      <c r="D207" s="75">
        <f t="shared" ref="D207:S207" si="323">D208+D209+D210</f>
        <v>1273</v>
      </c>
      <c r="E207" s="75">
        <f t="shared" si="323"/>
        <v>266</v>
      </c>
      <c r="F207" s="75">
        <f t="shared" si="323"/>
        <v>352</v>
      </c>
      <c r="G207" s="75">
        <f t="shared" si="323"/>
        <v>1551</v>
      </c>
      <c r="H207" s="75">
        <f t="shared" si="323"/>
        <v>352</v>
      </c>
      <c r="I207" s="329">
        <f t="shared" si="323"/>
        <v>2110</v>
      </c>
      <c r="J207" s="75">
        <f t="shared" si="323"/>
        <v>2110</v>
      </c>
      <c r="K207" s="72">
        <f t="shared" si="318"/>
        <v>0</v>
      </c>
      <c r="L207" s="72">
        <f t="shared" si="319"/>
        <v>2110</v>
      </c>
      <c r="M207" s="75">
        <f t="shared" ref="M207" si="324">M208+M209+M210</f>
        <v>579</v>
      </c>
      <c r="N207" s="75">
        <f t="shared" ref="N207" si="325">N208+N209+N210</f>
        <v>579</v>
      </c>
      <c r="O207" s="75">
        <f t="shared" ref="O207:P207" si="326">O208+O209+O210</f>
        <v>579</v>
      </c>
      <c r="P207" s="75">
        <f t="shared" si="326"/>
        <v>373</v>
      </c>
      <c r="Q207" s="75">
        <f t="shared" si="323"/>
        <v>4141</v>
      </c>
      <c r="R207" s="75">
        <f t="shared" si="323"/>
        <v>2990</v>
      </c>
      <c r="S207" s="75">
        <f t="shared" si="323"/>
        <v>3555</v>
      </c>
      <c r="T207" s="3"/>
    </row>
    <row r="208" spans="1:20" ht="19.5" customHeight="1">
      <c r="A208" s="41"/>
      <c r="B208" s="28" t="s">
        <v>137</v>
      </c>
      <c r="C208" s="19" t="s">
        <v>520</v>
      </c>
      <c r="D208" s="75">
        <f t="shared" ref="D208:S209" si="327">D102</f>
        <v>1273</v>
      </c>
      <c r="E208" s="75">
        <f t="shared" si="327"/>
        <v>58</v>
      </c>
      <c r="F208" s="75">
        <f t="shared" si="327"/>
        <v>352</v>
      </c>
      <c r="G208" s="75">
        <f t="shared" si="327"/>
        <v>1551</v>
      </c>
      <c r="H208" s="75">
        <f t="shared" si="327"/>
        <v>352</v>
      </c>
      <c r="I208" s="329">
        <f t="shared" si="327"/>
        <v>2110</v>
      </c>
      <c r="J208" s="75">
        <f t="shared" si="327"/>
        <v>2110</v>
      </c>
      <c r="K208" s="72">
        <f t="shared" si="318"/>
        <v>0</v>
      </c>
      <c r="L208" s="72">
        <f t="shared" si="319"/>
        <v>2110</v>
      </c>
      <c r="M208" s="75">
        <f t="shared" ref="M208" si="328">M102</f>
        <v>579</v>
      </c>
      <c r="N208" s="75">
        <f t="shared" ref="N208" si="329">N102</f>
        <v>579</v>
      </c>
      <c r="O208" s="75">
        <f t="shared" ref="O208:P208" si="330">O102</f>
        <v>579</v>
      </c>
      <c r="P208" s="75">
        <f t="shared" si="330"/>
        <v>373</v>
      </c>
      <c r="Q208" s="75">
        <f t="shared" si="327"/>
        <v>4141</v>
      </c>
      <c r="R208" s="75">
        <f t="shared" si="327"/>
        <v>2990</v>
      </c>
      <c r="S208" s="75">
        <f t="shared" si="327"/>
        <v>3555</v>
      </c>
      <c r="T208" s="3"/>
    </row>
    <row r="209" spans="1:24" ht="0.75" customHeight="1">
      <c r="A209" s="41"/>
      <c r="B209" s="28" t="s">
        <v>133</v>
      </c>
      <c r="C209" s="19" t="s">
        <v>135</v>
      </c>
      <c r="D209" s="75">
        <f t="shared" si="327"/>
        <v>0</v>
      </c>
      <c r="E209" s="75"/>
      <c r="F209" s="75"/>
      <c r="G209" s="75"/>
      <c r="H209" s="75"/>
      <c r="I209" s="329"/>
      <c r="J209" s="75"/>
      <c r="K209" s="72">
        <f t="shared" si="318"/>
        <v>0</v>
      </c>
      <c r="L209" s="72">
        <f t="shared" si="319"/>
        <v>0</v>
      </c>
      <c r="M209" s="75"/>
      <c r="N209" s="75"/>
      <c r="O209" s="75"/>
      <c r="P209" s="75"/>
      <c r="Q209" s="75">
        <f t="shared" si="327"/>
        <v>0</v>
      </c>
      <c r="R209" s="75">
        <f t="shared" si="327"/>
        <v>0</v>
      </c>
      <c r="S209" s="75">
        <f t="shared" si="327"/>
        <v>0</v>
      </c>
      <c r="T209" s="3"/>
    </row>
    <row r="210" spans="1:24" ht="17.25" hidden="1" customHeight="1">
      <c r="A210" s="41"/>
      <c r="B210" s="28" t="s">
        <v>134</v>
      </c>
      <c r="C210" s="19" t="s">
        <v>522</v>
      </c>
      <c r="D210" s="75">
        <v>0</v>
      </c>
      <c r="E210" s="75">
        <v>208</v>
      </c>
      <c r="F210" s="75"/>
      <c r="G210" s="75"/>
      <c r="H210" s="75"/>
      <c r="I210" s="329"/>
      <c r="J210" s="75"/>
      <c r="K210" s="72">
        <f t="shared" si="318"/>
        <v>0</v>
      </c>
      <c r="L210" s="72">
        <f t="shared" si="319"/>
        <v>0</v>
      </c>
      <c r="M210" s="75"/>
      <c r="N210" s="75"/>
      <c r="O210" s="75"/>
      <c r="P210" s="75"/>
      <c r="Q210" s="73"/>
      <c r="R210" s="73"/>
      <c r="S210" s="73"/>
      <c r="T210" s="3"/>
    </row>
    <row r="211" spans="1:24" ht="0.75" customHeight="1">
      <c r="A211" s="41"/>
      <c r="B211" s="459" t="s">
        <v>601</v>
      </c>
      <c r="C211" s="92" t="s">
        <v>523</v>
      </c>
      <c r="D211" s="75">
        <f>D105</f>
        <v>131</v>
      </c>
      <c r="E211" s="75">
        <f t="shared" ref="E211:J212" si="331">E105</f>
        <v>0</v>
      </c>
      <c r="F211" s="75">
        <f t="shared" si="331"/>
        <v>0</v>
      </c>
      <c r="G211" s="75">
        <f t="shared" si="331"/>
        <v>131</v>
      </c>
      <c r="H211" s="75">
        <f t="shared" si="331"/>
        <v>0</v>
      </c>
      <c r="I211" s="329">
        <f t="shared" si="331"/>
        <v>44</v>
      </c>
      <c r="J211" s="75">
        <f t="shared" si="331"/>
        <v>44</v>
      </c>
      <c r="K211" s="72">
        <f t="shared" si="318"/>
        <v>0</v>
      </c>
      <c r="L211" s="72">
        <f t="shared" si="319"/>
        <v>44</v>
      </c>
      <c r="M211" s="75">
        <f t="shared" ref="M211" si="332">M105</f>
        <v>44</v>
      </c>
      <c r="N211" s="75">
        <f t="shared" ref="N211" si="333">N105</f>
        <v>0</v>
      </c>
      <c r="O211" s="75">
        <f t="shared" ref="O211:P211" si="334">O105</f>
        <v>0</v>
      </c>
      <c r="P211" s="75">
        <f t="shared" si="334"/>
        <v>0</v>
      </c>
      <c r="Q211" s="73"/>
      <c r="R211" s="73"/>
      <c r="S211" s="73"/>
      <c r="T211" s="3"/>
    </row>
    <row r="212" spans="1:24" ht="18" hidden="1" customHeight="1">
      <c r="A212" s="41"/>
      <c r="B212" s="28" t="s">
        <v>137</v>
      </c>
      <c r="C212" s="19" t="s">
        <v>524</v>
      </c>
      <c r="D212" s="75">
        <f>D106</f>
        <v>131</v>
      </c>
      <c r="E212" s="75">
        <f t="shared" si="331"/>
        <v>0</v>
      </c>
      <c r="F212" s="75">
        <f t="shared" si="331"/>
        <v>0</v>
      </c>
      <c r="G212" s="75">
        <f t="shared" si="331"/>
        <v>131</v>
      </c>
      <c r="H212" s="75">
        <f t="shared" si="331"/>
        <v>0</v>
      </c>
      <c r="I212" s="329">
        <f t="shared" si="331"/>
        <v>44</v>
      </c>
      <c r="J212" s="75">
        <f t="shared" si="331"/>
        <v>44</v>
      </c>
      <c r="K212" s="72">
        <f t="shared" si="318"/>
        <v>0</v>
      </c>
      <c r="L212" s="72">
        <f t="shared" si="319"/>
        <v>44</v>
      </c>
      <c r="M212" s="75">
        <f t="shared" ref="M212" si="335">M106</f>
        <v>44</v>
      </c>
      <c r="N212" s="75">
        <f t="shared" ref="N212" si="336">N106</f>
        <v>0</v>
      </c>
      <c r="O212" s="75">
        <f t="shared" ref="O212:P212" si="337">O106</f>
        <v>0</v>
      </c>
      <c r="P212" s="75">
        <f t="shared" si="337"/>
        <v>0</v>
      </c>
      <c r="Q212" s="73"/>
      <c r="R212" s="73"/>
      <c r="S212" s="73"/>
      <c r="T212" s="3"/>
    </row>
    <row r="213" spans="1:24" ht="0.75" customHeight="1">
      <c r="A213" s="41"/>
      <c r="B213" s="28" t="s">
        <v>133</v>
      </c>
      <c r="C213" s="19" t="s">
        <v>525</v>
      </c>
      <c r="D213" s="75">
        <v>0</v>
      </c>
      <c r="E213" s="75"/>
      <c r="F213" s="75"/>
      <c r="G213" s="75"/>
      <c r="H213" s="75"/>
      <c r="I213" s="329"/>
      <c r="J213" s="75"/>
      <c r="K213" s="72">
        <f t="shared" si="318"/>
        <v>0</v>
      </c>
      <c r="L213" s="72">
        <f t="shared" si="319"/>
        <v>0</v>
      </c>
      <c r="M213" s="75"/>
      <c r="N213" s="75"/>
      <c r="O213" s="75"/>
      <c r="P213" s="75"/>
      <c r="Q213" s="73"/>
      <c r="R213" s="73"/>
      <c r="S213" s="73"/>
      <c r="T213" s="3"/>
    </row>
    <row r="214" spans="1:24" ht="15.75" hidden="1" customHeight="1">
      <c r="A214" s="41"/>
      <c r="B214" s="28" t="s">
        <v>134</v>
      </c>
      <c r="C214" s="99" t="s">
        <v>526</v>
      </c>
      <c r="D214" s="75">
        <v>0</v>
      </c>
      <c r="E214" s="75"/>
      <c r="F214" s="75"/>
      <c r="G214" s="75"/>
      <c r="H214" s="75"/>
      <c r="I214" s="329"/>
      <c r="J214" s="75"/>
      <c r="K214" s="72">
        <f t="shared" si="318"/>
        <v>0</v>
      </c>
      <c r="L214" s="72">
        <f t="shared" si="319"/>
        <v>0</v>
      </c>
      <c r="M214" s="75"/>
      <c r="N214" s="75"/>
      <c r="O214" s="75"/>
      <c r="P214" s="75"/>
      <c r="Q214" s="73"/>
      <c r="R214" s="73"/>
      <c r="S214" s="73"/>
      <c r="T214" s="3"/>
    </row>
    <row r="215" spans="1:24" ht="0.75" hidden="1" customHeight="1">
      <c r="A215" s="24"/>
      <c r="B215" s="25"/>
      <c r="C215" s="94"/>
      <c r="D215" s="131"/>
      <c r="E215" s="131"/>
      <c r="F215" s="131"/>
      <c r="G215" s="131"/>
      <c r="H215" s="131"/>
      <c r="I215" s="131"/>
      <c r="J215" s="75"/>
      <c r="K215" s="72">
        <f t="shared" si="318"/>
        <v>0</v>
      </c>
      <c r="L215" s="72">
        <f t="shared" si="319"/>
        <v>0</v>
      </c>
      <c r="M215" s="75"/>
      <c r="N215" s="75"/>
      <c r="O215" s="75"/>
      <c r="P215" s="75"/>
      <c r="Q215" s="171"/>
      <c r="R215" s="171"/>
      <c r="S215" s="171"/>
      <c r="T215" s="3"/>
    </row>
    <row r="216" spans="1:24" ht="19.5" customHeight="1">
      <c r="A216" s="41"/>
      <c r="B216" s="26" t="s">
        <v>2</v>
      </c>
      <c r="C216" s="22" t="s">
        <v>3</v>
      </c>
      <c r="D216" s="75"/>
      <c r="E216" s="75"/>
      <c r="F216" s="75"/>
      <c r="G216" s="75"/>
      <c r="H216" s="75"/>
      <c r="I216" s="329"/>
      <c r="J216" s="75"/>
      <c r="K216" s="72">
        <f t="shared" si="318"/>
        <v>0</v>
      </c>
      <c r="L216" s="72">
        <f t="shared" si="319"/>
        <v>0</v>
      </c>
      <c r="M216" s="75"/>
      <c r="N216" s="75"/>
      <c r="O216" s="75"/>
      <c r="P216" s="75"/>
      <c r="Q216" s="73"/>
      <c r="R216" s="73"/>
      <c r="S216" s="73"/>
      <c r="T216" s="3"/>
    </row>
    <row r="217" spans="1:24" ht="18" customHeight="1">
      <c r="A217" s="48"/>
      <c r="B217" s="48" t="s">
        <v>885</v>
      </c>
      <c r="C217" s="95"/>
      <c r="D217" s="81">
        <f t="shared" ref="D217:S221" si="338">D241+D414+D449+D923+D990</f>
        <v>413113.88</v>
      </c>
      <c r="E217" s="81">
        <f t="shared" si="338"/>
        <v>399754</v>
      </c>
      <c r="F217" s="81">
        <f t="shared" si="338"/>
        <v>447108</v>
      </c>
      <c r="G217" s="81">
        <f t="shared" si="338"/>
        <v>438070.98</v>
      </c>
      <c r="H217" s="81">
        <f t="shared" si="338"/>
        <v>341797.74</v>
      </c>
      <c r="I217" s="413">
        <f t="shared" si="338"/>
        <v>498506.32</v>
      </c>
      <c r="J217" s="414">
        <f t="shared" si="338"/>
        <v>429409</v>
      </c>
      <c r="K217" s="396">
        <f t="shared" si="318"/>
        <v>0</v>
      </c>
      <c r="L217" s="396">
        <f t="shared" si="319"/>
        <v>429409</v>
      </c>
      <c r="M217" s="414">
        <f t="shared" ref="M217" si="339">M241+M414+M449+M923+M990</f>
        <v>183700</v>
      </c>
      <c r="N217" s="414">
        <f t="shared" ref="N217" si="340">N241+N414+N449+N923+N990</f>
        <v>92800</v>
      </c>
      <c r="O217" s="414">
        <f t="shared" ref="O217:P217" si="341">O241+O414+O449+O923+O990</f>
        <v>85700</v>
      </c>
      <c r="P217" s="414">
        <f t="shared" si="341"/>
        <v>67209</v>
      </c>
      <c r="Q217" s="414">
        <f t="shared" si="338"/>
        <v>416497</v>
      </c>
      <c r="R217" s="414">
        <f t="shared" si="338"/>
        <v>388553</v>
      </c>
      <c r="S217" s="414">
        <f t="shared" si="338"/>
        <v>318796</v>
      </c>
      <c r="T217" s="3"/>
    </row>
    <row r="218" spans="1:24" ht="14.25">
      <c r="A218" s="110"/>
      <c r="B218" s="111" t="s">
        <v>160</v>
      </c>
      <c r="C218" s="114"/>
      <c r="D218" s="132">
        <f t="shared" si="338"/>
        <v>309134.88</v>
      </c>
      <c r="E218" s="132">
        <f t="shared" si="338"/>
        <v>365818</v>
      </c>
      <c r="F218" s="132">
        <f t="shared" si="338"/>
        <v>299902</v>
      </c>
      <c r="G218" s="132">
        <f t="shared" si="338"/>
        <v>312029.66000000003</v>
      </c>
      <c r="H218" s="132">
        <f t="shared" si="338"/>
        <v>275180.58</v>
      </c>
      <c r="I218" s="415">
        <f t="shared" si="338"/>
        <v>317673</v>
      </c>
      <c r="J218" s="409">
        <f t="shared" si="338"/>
        <v>299125</v>
      </c>
      <c r="K218" s="396">
        <f t="shared" si="318"/>
        <v>0</v>
      </c>
      <c r="L218" s="396">
        <f t="shared" si="319"/>
        <v>299125</v>
      </c>
      <c r="M218" s="409">
        <f t="shared" ref="M218" si="342">M242+M415+M450+M924+M991</f>
        <v>110716</v>
      </c>
      <c r="N218" s="409">
        <f t="shared" ref="N218" si="343">N242+N415+N450+N924+N991</f>
        <v>71736</v>
      </c>
      <c r="O218" s="409">
        <f t="shared" ref="O218:P218" si="344">O242+O415+O450+O924+O991</f>
        <v>66343</v>
      </c>
      <c r="P218" s="409">
        <f t="shared" si="344"/>
        <v>50330</v>
      </c>
      <c r="Q218" s="409">
        <f t="shared" si="338"/>
        <v>260796</v>
      </c>
      <c r="R218" s="409">
        <f t="shared" si="338"/>
        <v>254836</v>
      </c>
      <c r="S218" s="409">
        <f t="shared" si="338"/>
        <v>261162</v>
      </c>
      <c r="T218" s="3"/>
    </row>
    <row r="219" spans="1:24" ht="15.75">
      <c r="A219" s="41"/>
      <c r="B219" s="272" t="s">
        <v>161</v>
      </c>
      <c r="C219" s="273">
        <v>0.01</v>
      </c>
      <c r="D219" s="274">
        <f t="shared" si="338"/>
        <v>303334.88</v>
      </c>
      <c r="E219" s="274">
        <f t="shared" si="338"/>
        <v>357060</v>
      </c>
      <c r="F219" s="274">
        <f t="shared" si="338"/>
        <v>293648</v>
      </c>
      <c r="G219" s="274">
        <f t="shared" si="338"/>
        <v>305729.66000000003</v>
      </c>
      <c r="H219" s="274">
        <f t="shared" si="338"/>
        <v>269041.58</v>
      </c>
      <c r="I219" s="416">
        <f t="shared" si="338"/>
        <v>311573</v>
      </c>
      <c r="J219" s="417">
        <f t="shared" si="338"/>
        <v>293025</v>
      </c>
      <c r="K219" s="396">
        <f t="shared" si="318"/>
        <v>0</v>
      </c>
      <c r="L219" s="396">
        <f t="shared" si="319"/>
        <v>293025</v>
      </c>
      <c r="M219" s="417">
        <f t="shared" ref="M219" si="345">M243+M416+M451+M925+M992</f>
        <v>109216</v>
      </c>
      <c r="N219" s="417">
        <f t="shared" ref="N219" si="346">N243+N416+N451+N925+N992</f>
        <v>70086</v>
      </c>
      <c r="O219" s="417">
        <f t="shared" ref="O219:P219" si="347">O243+O416+O451+O925+O992</f>
        <v>64693</v>
      </c>
      <c r="P219" s="417">
        <f t="shared" si="347"/>
        <v>49030</v>
      </c>
      <c r="Q219" s="414">
        <f t="shared" si="338"/>
        <v>254696</v>
      </c>
      <c r="R219" s="414">
        <f t="shared" si="338"/>
        <v>248736</v>
      </c>
      <c r="S219" s="414">
        <f t="shared" si="338"/>
        <v>255062</v>
      </c>
      <c r="T219" s="5"/>
      <c r="U219" s="150">
        <f>D220+D221+D222+D224+D225+D227+D228+D229</f>
        <v>309134.88</v>
      </c>
    </row>
    <row r="220" spans="1:24" ht="15.75">
      <c r="A220" s="41"/>
      <c r="B220" s="272" t="s">
        <v>162</v>
      </c>
      <c r="C220" s="273">
        <v>10</v>
      </c>
      <c r="D220" s="274">
        <f t="shared" si="338"/>
        <v>139901.88</v>
      </c>
      <c r="E220" s="274">
        <f t="shared" si="338"/>
        <v>108312</v>
      </c>
      <c r="F220" s="274">
        <f t="shared" si="338"/>
        <v>134934</v>
      </c>
      <c r="G220" s="274">
        <f t="shared" si="338"/>
        <v>133814.71000000002</v>
      </c>
      <c r="H220" s="274">
        <f t="shared" si="338"/>
        <v>127482.41</v>
      </c>
      <c r="I220" s="416">
        <f t="shared" si="338"/>
        <v>150558</v>
      </c>
      <c r="J220" s="417">
        <f t="shared" si="338"/>
        <v>127386</v>
      </c>
      <c r="K220" s="396">
        <f t="shared" si="318"/>
        <v>0</v>
      </c>
      <c r="L220" s="396">
        <f t="shared" si="319"/>
        <v>127386</v>
      </c>
      <c r="M220" s="417">
        <f t="shared" ref="M220" si="348">M244+M417+M452+M926+M993</f>
        <v>55293</v>
      </c>
      <c r="N220" s="417">
        <f t="shared" ref="N220" si="349">N244+N417+N452+N926+N993</f>
        <v>28795</v>
      </c>
      <c r="O220" s="417">
        <f t="shared" ref="O220:P220" si="350">O244+O417+O452+O926+O993</f>
        <v>28747</v>
      </c>
      <c r="P220" s="417">
        <f t="shared" si="350"/>
        <v>14551</v>
      </c>
      <c r="Q220" s="414">
        <f t="shared" si="338"/>
        <v>103478</v>
      </c>
      <c r="R220" s="414">
        <f t="shared" si="338"/>
        <v>97613</v>
      </c>
      <c r="S220" s="414">
        <f t="shared" si="338"/>
        <v>104116</v>
      </c>
      <c r="T220" s="5"/>
      <c r="U220" s="5"/>
      <c r="V220" s="5"/>
      <c r="W220" s="5"/>
      <c r="X220" s="5"/>
    </row>
    <row r="221" spans="1:24" ht="15.75">
      <c r="A221" s="41"/>
      <c r="B221" s="272" t="s">
        <v>886</v>
      </c>
      <c r="C221" s="273">
        <v>20</v>
      </c>
      <c r="D221" s="274">
        <f t="shared" si="338"/>
        <v>57879</v>
      </c>
      <c r="E221" s="274">
        <f t="shared" si="338"/>
        <v>36040</v>
      </c>
      <c r="F221" s="274">
        <f t="shared" si="338"/>
        <v>53662</v>
      </c>
      <c r="G221" s="274">
        <f t="shared" si="338"/>
        <v>57552.26</v>
      </c>
      <c r="H221" s="274">
        <f t="shared" si="338"/>
        <v>41098.53</v>
      </c>
      <c r="I221" s="416">
        <f t="shared" si="338"/>
        <v>53689</v>
      </c>
      <c r="J221" s="417">
        <f t="shared" si="338"/>
        <v>51738</v>
      </c>
      <c r="K221" s="396">
        <f t="shared" si="318"/>
        <v>0</v>
      </c>
      <c r="L221" s="396">
        <f t="shared" si="319"/>
        <v>51738</v>
      </c>
      <c r="M221" s="417">
        <f t="shared" ref="M221" si="351">M245+M418+M453+M927+M994</f>
        <v>18089</v>
      </c>
      <c r="N221" s="417">
        <f t="shared" ref="N221" si="352">N245+N418+N453+N927+N994</f>
        <v>13203</v>
      </c>
      <c r="O221" s="417">
        <f t="shared" ref="O221:P221" si="353">O245+O418+O453+O927+O994</f>
        <v>10693</v>
      </c>
      <c r="P221" s="417">
        <f t="shared" si="353"/>
        <v>9753</v>
      </c>
      <c r="Q221" s="414">
        <f t="shared" si="338"/>
        <v>43516</v>
      </c>
      <c r="R221" s="414">
        <f t="shared" si="338"/>
        <v>43564</v>
      </c>
      <c r="S221" s="414">
        <f t="shared" si="338"/>
        <v>43662</v>
      </c>
      <c r="T221" s="3"/>
    </row>
    <row r="222" spans="1:24" ht="15.75">
      <c r="A222" s="41"/>
      <c r="B222" s="272" t="s">
        <v>164</v>
      </c>
      <c r="C222" s="273">
        <v>30</v>
      </c>
      <c r="D222" s="274">
        <f>D246</f>
        <v>1500</v>
      </c>
      <c r="E222" s="274">
        <f>E246</f>
        <v>1220</v>
      </c>
      <c r="F222" s="274">
        <f>F246</f>
        <v>1500</v>
      </c>
      <c r="G222" s="274">
        <f>G246</f>
        <v>1500</v>
      </c>
      <c r="H222" s="274">
        <f t="shared" ref="H222" si="354">H246</f>
        <v>1129</v>
      </c>
      <c r="I222" s="416">
        <f>I246</f>
        <v>1300</v>
      </c>
      <c r="J222" s="417">
        <f>J246</f>
        <v>1300</v>
      </c>
      <c r="K222" s="396">
        <f t="shared" si="318"/>
        <v>0</v>
      </c>
      <c r="L222" s="396">
        <f t="shared" si="319"/>
        <v>1300</v>
      </c>
      <c r="M222" s="417">
        <f t="shared" ref="M222:S222" si="355">M246</f>
        <v>350</v>
      </c>
      <c r="N222" s="417">
        <f t="shared" si="355"/>
        <v>350</v>
      </c>
      <c r="O222" s="417">
        <f t="shared" si="355"/>
        <v>350</v>
      </c>
      <c r="P222" s="417">
        <f t="shared" si="355"/>
        <v>250</v>
      </c>
      <c r="Q222" s="414">
        <f t="shared" si="355"/>
        <v>1100</v>
      </c>
      <c r="R222" s="414">
        <f t="shared" si="355"/>
        <v>900</v>
      </c>
      <c r="S222" s="414">
        <f t="shared" si="355"/>
        <v>625</v>
      </c>
      <c r="T222" s="3"/>
    </row>
    <row r="223" spans="1:24" ht="15.75">
      <c r="A223" s="41"/>
      <c r="B223" s="272" t="s">
        <v>887</v>
      </c>
      <c r="C223" s="273">
        <v>40</v>
      </c>
      <c r="D223" s="274"/>
      <c r="E223" s="274"/>
      <c r="F223" s="274"/>
      <c r="G223" s="274">
        <f>G997</f>
        <v>0</v>
      </c>
      <c r="H223" s="274">
        <f t="shared" ref="H223:S223" si="356">H997</f>
        <v>0</v>
      </c>
      <c r="I223" s="416">
        <f t="shared" si="356"/>
        <v>0</v>
      </c>
      <c r="J223" s="417">
        <f t="shared" si="356"/>
        <v>950</v>
      </c>
      <c r="K223" s="396">
        <f t="shared" si="318"/>
        <v>0</v>
      </c>
      <c r="L223" s="396">
        <f t="shared" si="319"/>
        <v>950</v>
      </c>
      <c r="M223" s="417">
        <f t="shared" ref="M223" si="357">M997</f>
        <v>950</v>
      </c>
      <c r="N223" s="417">
        <f t="shared" ref="N223" si="358">N997</f>
        <v>0</v>
      </c>
      <c r="O223" s="417">
        <f t="shared" ref="O223:P223" si="359">O997</f>
        <v>0</v>
      </c>
      <c r="P223" s="417">
        <f t="shared" si="359"/>
        <v>0</v>
      </c>
      <c r="Q223" s="417">
        <f t="shared" si="356"/>
        <v>0</v>
      </c>
      <c r="R223" s="417">
        <f t="shared" si="356"/>
        <v>0</v>
      </c>
      <c r="S223" s="417">
        <f t="shared" si="356"/>
        <v>0</v>
      </c>
      <c r="T223" s="3"/>
    </row>
    <row r="224" spans="1:24" ht="15.75">
      <c r="A224" s="41"/>
      <c r="B224" s="272" t="s">
        <v>165</v>
      </c>
      <c r="C224" s="273">
        <v>50</v>
      </c>
      <c r="D224" s="274">
        <f t="shared" ref="D224:S224" si="360">D247</f>
        <v>1045</v>
      </c>
      <c r="E224" s="274">
        <f t="shared" si="360"/>
        <v>0</v>
      </c>
      <c r="F224" s="274">
        <f t="shared" si="360"/>
        <v>1045</v>
      </c>
      <c r="G224" s="274">
        <f t="shared" si="360"/>
        <v>586</v>
      </c>
      <c r="H224" s="274">
        <f t="shared" si="360"/>
        <v>1045</v>
      </c>
      <c r="I224" s="416">
        <f t="shared" si="360"/>
        <v>0</v>
      </c>
      <c r="J224" s="417">
        <f t="shared" si="360"/>
        <v>500</v>
      </c>
      <c r="K224" s="396">
        <f t="shared" si="318"/>
        <v>0</v>
      </c>
      <c r="L224" s="396">
        <f t="shared" si="319"/>
        <v>500</v>
      </c>
      <c r="M224" s="417">
        <f t="shared" ref="M224" si="361">M247</f>
        <v>500</v>
      </c>
      <c r="N224" s="417">
        <f t="shared" ref="N224" si="362">N247</f>
        <v>0</v>
      </c>
      <c r="O224" s="417">
        <f t="shared" ref="O224:P224" si="363">O247</f>
        <v>0</v>
      </c>
      <c r="P224" s="417">
        <f t="shared" si="363"/>
        <v>0</v>
      </c>
      <c r="Q224" s="414">
        <f t="shared" si="360"/>
        <v>500</v>
      </c>
      <c r="R224" s="414">
        <f t="shared" si="360"/>
        <v>500</v>
      </c>
      <c r="S224" s="414">
        <f t="shared" si="360"/>
        <v>500</v>
      </c>
      <c r="T224" s="3"/>
    </row>
    <row r="225" spans="1:21" ht="15" customHeight="1">
      <c r="A225" s="41"/>
      <c r="B225" s="272" t="s">
        <v>166</v>
      </c>
      <c r="C225" s="273">
        <v>51</v>
      </c>
      <c r="D225" s="274">
        <f t="shared" ref="D225:S225" si="364">D248+D454+D995</f>
        <v>73876</v>
      </c>
      <c r="E225" s="274">
        <f t="shared" si="364"/>
        <v>51857</v>
      </c>
      <c r="F225" s="274">
        <f t="shared" si="364"/>
        <v>74634</v>
      </c>
      <c r="G225" s="274">
        <f t="shared" si="364"/>
        <v>76665</v>
      </c>
      <c r="H225" s="274">
        <f t="shared" si="364"/>
        <v>71843</v>
      </c>
      <c r="I225" s="416">
        <f t="shared" si="364"/>
        <v>75156</v>
      </c>
      <c r="J225" s="417">
        <f t="shared" si="364"/>
        <v>80059</v>
      </c>
      <c r="K225" s="396">
        <f t="shared" si="318"/>
        <v>0</v>
      </c>
      <c r="L225" s="396">
        <f t="shared" si="319"/>
        <v>80059</v>
      </c>
      <c r="M225" s="417">
        <f t="shared" ref="M225" si="365">M248+M454+M995</f>
        <v>21974</v>
      </c>
      <c r="N225" s="417">
        <f t="shared" ref="N225" si="366">N248+N454+N995</f>
        <v>19598</v>
      </c>
      <c r="O225" s="417">
        <f t="shared" ref="O225:P225" si="367">O248+O454+O995</f>
        <v>19333</v>
      </c>
      <c r="P225" s="417">
        <f t="shared" si="367"/>
        <v>19154</v>
      </c>
      <c r="Q225" s="414">
        <f t="shared" si="364"/>
        <v>74459</v>
      </c>
      <c r="R225" s="414">
        <f t="shared" si="364"/>
        <v>74461</v>
      </c>
      <c r="S225" s="414">
        <f t="shared" si="364"/>
        <v>74461</v>
      </c>
      <c r="T225" s="3"/>
    </row>
    <row r="226" spans="1:21" ht="13.5" customHeight="1">
      <c r="A226" s="41"/>
      <c r="B226" s="272" t="s">
        <v>167</v>
      </c>
      <c r="C226" s="273">
        <v>55</v>
      </c>
      <c r="D226" s="274">
        <f t="shared" ref="D226:S226" si="368">D249</f>
        <v>0</v>
      </c>
      <c r="E226" s="274">
        <f t="shared" si="368"/>
        <v>0</v>
      </c>
      <c r="F226" s="274">
        <f t="shared" si="368"/>
        <v>0</v>
      </c>
      <c r="G226" s="274">
        <f t="shared" si="368"/>
        <v>0</v>
      </c>
      <c r="H226" s="274">
        <f t="shared" si="368"/>
        <v>0</v>
      </c>
      <c r="I226" s="416">
        <f t="shared" si="368"/>
        <v>0</v>
      </c>
      <c r="J226" s="417">
        <f t="shared" si="368"/>
        <v>0</v>
      </c>
      <c r="K226" s="396">
        <f t="shared" si="318"/>
        <v>0</v>
      </c>
      <c r="L226" s="396">
        <f t="shared" si="319"/>
        <v>0</v>
      </c>
      <c r="M226" s="417">
        <f t="shared" ref="M226" si="369">M249</f>
        <v>0</v>
      </c>
      <c r="N226" s="417">
        <f t="shared" ref="N226" si="370">N249</f>
        <v>0</v>
      </c>
      <c r="O226" s="417">
        <f t="shared" ref="O226:P226" si="371">O249</f>
        <v>0</v>
      </c>
      <c r="P226" s="417">
        <f t="shared" si="371"/>
        <v>0</v>
      </c>
      <c r="Q226" s="414">
        <f t="shared" si="368"/>
        <v>0</v>
      </c>
      <c r="R226" s="414">
        <f t="shared" si="368"/>
        <v>0</v>
      </c>
      <c r="S226" s="414">
        <f t="shared" si="368"/>
        <v>0</v>
      </c>
      <c r="T226" s="3"/>
    </row>
    <row r="227" spans="1:21" ht="15.75">
      <c r="A227" s="41"/>
      <c r="B227" s="272" t="s">
        <v>168</v>
      </c>
      <c r="C227" s="273">
        <v>57</v>
      </c>
      <c r="D227" s="274">
        <f t="shared" ref="D227:S227" si="372">D250+D455</f>
        <v>14843</v>
      </c>
      <c r="E227" s="274">
        <f t="shared" si="372"/>
        <v>145983</v>
      </c>
      <c r="F227" s="274">
        <f t="shared" si="372"/>
        <v>13586</v>
      </c>
      <c r="G227" s="274">
        <f t="shared" si="372"/>
        <v>21321.69</v>
      </c>
      <c r="H227" s="274">
        <f t="shared" si="372"/>
        <v>12997</v>
      </c>
      <c r="I227" s="416">
        <f t="shared" si="372"/>
        <v>16620</v>
      </c>
      <c r="J227" s="417">
        <f t="shared" si="372"/>
        <v>15840</v>
      </c>
      <c r="K227" s="396">
        <f t="shared" si="318"/>
        <v>0</v>
      </c>
      <c r="L227" s="396">
        <f t="shared" si="319"/>
        <v>15840</v>
      </c>
      <c r="M227" s="417">
        <f t="shared" ref="M227" si="373">M250+M455</f>
        <v>6590</v>
      </c>
      <c r="N227" s="417">
        <f t="shared" ref="N227" si="374">N250+N455</f>
        <v>3170</v>
      </c>
      <c r="O227" s="417">
        <f t="shared" ref="O227:P227" si="375">O250+O455</f>
        <v>3357</v>
      </c>
      <c r="P227" s="417">
        <f t="shared" si="375"/>
        <v>2723</v>
      </c>
      <c r="Q227" s="414">
        <f t="shared" si="372"/>
        <v>17238</v>
      </c>
      <c r="R227" s="414">
        <f t="shared" si="372"/>
        <v>17288</v>
      </c>
      <c r="S227" s="414">
        <f t="shared" si="372"/>
        <v>17288</v>
      </c>
      <c r="T227" s="3"/>
    </row>
    <row r="228" spans="1:21" ht="15.75">
      <c r="A228" s="41"/>
      <c r="B228" s="272" t="s">
        <v>169</v>
      </c>
      <c r="C228" s="273">
        <v>59</v>
      </c>
      <c r="D228" s="274">
        <f t="shared" ref="D228:S228" si="376">D251+D419+D456+D996</f>
        <v>14290</v>
      </c>
      <c r="E228" s="274">
        <f t="shared" si="376"/>
        <v>13836</v>
      </c>
      <c r="F228" s="274">
        <f t="shared" si="376"/>
        <v>14741</v>
      </c>
      <c r="G228" s="274">
        <f t="shared" si="376"/>
        <v>14790</v>
      </c>
      <c r="H228" s="274">
        <f t="shared" si="376"/>
        <v>14575.64</v>
      </c>
      <c r="I228" s="416">
        <f t="shared" si="376"/>
        <v>14550</v>
      </c>
      <c r="J228" s="417">
        <f t="shared" si="376"/>
        <v>15552</v>
      </c>
      <c r="K228" s="396">
        <f t="shared" si="318"/>
        <v>0</v>
      </c>
      <c r="L228" s="396">
        <f t="shared" si="319"/>
        <v>15552</v>
      </c>
      <c r="M228" s="417">
        <f t="shared" ref="M228" si="377">M251+M419+M456+M996</f>
        <v>5470</v>
      </c>
      <c r="N228" s="417">
        <f t="shared" ref="N228" si="378">N251+N419+N456+N996</f>
        <v>5120</v>
      </c>
      <c r="O228" s="417">
        <f t="shared" ref="O228:P228" si="379">O251+O419+O456+O996</f>
        <v>2363</v>
      </c>
      <c r="P228" s="417">
        <f t="shared" si="379"/>
        <v>2599</v>
      </c>
      <c r="Q228" s="414">
        <f t="shared" si="376"/>
        <v>14705</v>
      </c>
      <c r="R228" s="414">
        <f t="shared" si="376"/>
        <v>14710</v>
      </c>
      <c r="S228" s="414">
        <f t="shared" si="376"/>
        <v>14710</v>
      </c>
      <c r="T228" s="3"/>
    </row>
    <row r="229" spans="1:21" ht="13.5" customHeight="1">
      <c r="A229" s="41"/>
      <c r="B229" s="272" t="s">
        <v>170</v>
      </c>
      <c r="C229" s="273">
        <v>79</v>
      </c>
      <c r="D229" s="274">
        <f t="shared" ref="D229:S229" si="380">D252</f>
        <v>5800</v>
      </c>
      <c r="E229" s="274">
        <f t="shared" si="380"/>
        <v>8913</v>
      </c>
      <c r="F229" s="274">
        <f t="shared" si="380"/>
        <v>5800</v>
      </c>
      <c r="G229" s="274">
        <f t="shared" si="380"/>
        <v>5800</v>
      </c>
      <c r="H229" s="274">
        <f t="shared" si="380"/>
        <v>5685</v>
      </c>
      <c r="I229" s="416">
        <f t="shared" si="380"/>
        <v>5800</v>
      </c>
      <c r="J229" s="417">
        <f t="shared" si="380"/>
        <v>5800</v>
      </c>
      <c r="K229" s="396">
        <f t="shared" si="318"/>
        <v>0</v>
      </c>
      <c r="L229" s="396">
        <f t="shared" si="319"/>
        <v>5800</v>
      </c>
      <c r="M229" s="417">
        <f t="shared" ref="M229" si="381">M252</f>
        <v>1500</v>
      </c>
      <c r="N229" s="417">
        <f t="shared" ref="N229" si="382">N252</f>
        <v>1500</v>
      </c>
      <c r="O229" s="417">
        <f t="shared" ref="O229:P229" si="383">O252</f>
        <v>1500</v>
      </c>
      <c r="P229" s="417">
        <f t="shared" si="383"/>
        <v>1300</v>
      </c>
      <c r="Q229" s="414">
        <f t="shared" si="380"/>
        <v>5800</v>
      </c>
      <c r="R229" s="414">
        <f t="shared" si="380"/>
        <v>5800</v>
      </c>
      <c r="S229" s="414">
        <f t="shared" si="380"/>
        <v>5800</v>
      </c>
      <c r="T229" s="3"/>
    </row>
    <row r="230" spans="1:21" ht="13.5" hidden="1" customHeight="1">
      <c r="A230" s="41"/>
      <c r="B230" s="40" t="s">
        <v>171</v>
      </c>
      <c r="C230" s="19">
        <v>85.01</v>
      </c>
      <c r="D230" s="83">
        <f t="shared" ref="D230:S230" si="384">D253+D457</f>
        <v>0</v>
      </c>
      <c r="E230" s="83">
        <f t="shared" si="384"/>
        <v>-151</v>
      </c>
      <c r="F230" s="83">
        <f t="shared" si="384"/>
        <v>0</v>
      </c>
      <c r="G230" s="83">
        <f t="shared" si="384"/>
        <v>0</v>
      </c>
      <c r="H230" s="83">
        <f t="shared" si="384"/>
        <v>0</v>
      </c>
      <c r="I230" s="416">
        <f t="shared" si="384"/>
        <v>0</v>
      </c>
      <c r="J230" s="417">
        <f t="shared" si="384"/>
        <v>0</v>
      </c>
      <c r="K230" s="396">
        <f t="shared" si="318"/>
        <v>0</v>
      </c>
      <c r="L230" s="396">
        <f t="shared" si="319"/>
        <v>0</v>
      </c>
      <c r="M230" s="417">
        <f t="shared" ref="M230" si="385">M253+M457</f>
        <v>0</v>
      </c>
      <c r="N230" s="417">
        <f t="shared" ref="N230" si="386">N253+N457</f>
        <v>0</v>
      </c>
      <c r="O230" s="417">
        <f t="shared" ref="O230:P230" si="387">O253+O457</f>
        <v>0</v>
      </c>
      <c r="P230" s="417">
        <f t="shared" si="387"/>
        <v>0</v>
      </c>
      <c r="Q230" s="414">
        <f t="shared" si="384"/>
        <v>0</v>
      </c>
      <c r="R230" s="414">
        <f t="shared" si="384"/>
        <v>0</v>
      </c>
      <c r="S230" s="414">
        <f t="shared" si="384"/>
        <v>0</v>
      </c>
      <c r="T230" s="3"/>
    </row>
    <row r="231" spans="1:21" ht="14.25">
      <c r="A231" s="71"/>
      <c r="B231" s="115" t="s">
        <v>172</v>
      </c>
      <c r="C231" s="112"/>
      <c r="D231" s="113">
        <f t="shared" ref="D231:S231" si="388">D254+D420+D458+D928+D998</f>
        <v>103979</v>
      </c>
      <c r="E231" s="113">
        <f t="shared" si="388"/>
        <v>33936</v>
      </c>
      <c r="F231" s="113">
        <f t="shared" si="388"/>
        <v>147206</v>
      </c>
      <c r="G231" s="113">
        <f t="shared" si="388"/>
        <v>126041.32</v>
      </c>
      <c r="H231" s="113">
        <f t="shared" si="388"/>
        <v>66617.16</v>
      </c>
      <c r="I231" s="408">
        <f t="shared" si="388"/>
        <v>180767.32</v>
      </c>
      <c r="J231" s="409">
        <f t="shared" si="388"/>
        <v>130284</v>
      </c>
      <c r="K231" s="396">
        <f t="shared" si="318"/>
        <v>0</v>
      </c>
      <c r="L231" s="396">
        <f t="shared" si="319"/>
        <v>130284</v>
      </c>
      <c r="M231" s="409">
        <f t="shared" ref="M231" si="389">M254+M420+M458+M928+M998</f>
        <v>72984</v>
      </c>
      <c r="N231" s="409">
        <f t="shared" ref="N231" si="390">N254+N420+N458+N928+N998</f>
        <v>21064</v>
      </c>
      <c r="O231" s="409">
        <f t="shared" ref="O231:P231" si="391">O254+O420+O458+O928+O998</f>
        <v>19357</v>
      </c>
      <c r="P231" s="409">
        <f t="shared" si="391"/>
        <v>16879</v>
      </c>
      <c r="Q231" s="409">
        <f t="shared" si="388"/>
        <v>155701</v>
      </c>
      <c r="R231" s="409">
        <f t="shared" si="388"/>
        <v>133717</v>
      </c>
      <c r="S231" s="409">
        <f t="shared" si="388"/>
        <v>57634</v>
      </c>
      <c r="T231" s="5"/>
    </row>
    <row r="232" spans="1:21" ht="20.25" customHeight="1">
      <c r="A232" s="41"/>
      <c r="B232" s="38" t="s">
        <v>173</v>
      </c>
      <c r="C232" s="92">
        <v>51</v>
      </c>
      <c r="D232" s="83">
        <f t="shared" ref="D232:S232" si="392">D459+D460+D461+D255</f>
        <v>43701</v>
      </c>
      <c r="E232" s="83">
        <f t="shared" si="392"/>
        <v>15973</v>
      </c>
      <c r="F232" s="83">
        <f t="shared" si="392"/>
        <v>51041</v>
      </c>
      <c r="G232" s="83">
        <f t="shared" si="392"/>
        <v>52589</v>
      </c>
      <c r="H232" s="83">
        <f t="shared" si="392"/>
        <v>51782</v>
      </c>
      <c r="I232" s="416">
        <f t="shared" si="392"/>
        <v>5410</v>
      </c>
      <c r="J232" s="417">
        <f t="shared" si="392"/>
        <v>29705</v>
      </c>
      <c r="K232" s="396">
        <f t="shared" si="318"/>
        <v>0</v>
      </c>
      <c r="L232" s="396">
        <f t="shared" si="319"/>
        <v>29705</v>
      </c>
      <c r="M232" s="417">
        <f t="shared" ref="M232" si="393">M459+M460+M461+M255</f>
        <v>29705</v>
      </c>
      <c r="N232" s="417">
        <f t="shared" ref="N232" si="394">N459+N460+N461+N255</f>
        <v>0</v>
      </c>
      <c r="O232" s="417">
        <f t="shared" ref="O232:P232" si="395">O459+O460+O461+O255</f>
        <v>0</v>
      </c>
      <c r="P232" s="417">
        <f t="shared" si="395"/>
        <v>0</v>
      </c>
      <c r="Q232" s="414">
        <f t="shared" si="392"/>
        <v>0</v>
      </c>
      <c r="R232" s="414">
        <f t="shared" si="392"/>
        <v>0</v>
      </c>
      <c r="S232" s="414">
        <f t="shared" si="392"/>
        <v>0</v>
      </c>
      <c r="T232" s="3"/>
      <c r="U232" s="150">
        <f>D232+D237+D238+D236</f>
        <v>77921</v>
      </c>
    </row>
    <row r="233" spans="1:21" ht="14.25" customHeight="1">
      <c r="A233" s="41"/>
      <c r="B233" s="38" t="s">
        <v>174</v>
      </c>
      <c r="C233" s="92" t="s">
        <v>175</v>
      </c>
      <c r="D233" s="83">
        <f t="shared" ref="D233:S234" si="396">D459</f>
        <v>41439</v>
      </c>
      <c r="E233" s="83">
        <f t="shared" si="396"/>
        <v>10614</v>
      </c>
      <c r="F233" s="83">
        <f t="shared" si="396"/>
        <v>42199</v>
      </c>
      <c r="G233" s="83">
        <f t="shared" si="396"/>
        <v>42615</v>
      </c>
      <c r="H233" s="83">
        <f t="shared" si="396"/>
        <v>42199</v>
      </c>
      <c r="I233" s="340">
        <f t="shared" si="396"/>
        <v>0</v>
      </c>
      <c r="J233" s="83">
        <f t="shared" si="396"/>
        <v>29209</v>
      </c>
      <c r="K233" s="72">
        <f t="shared" si="318"/>
        <v>0</v>
      </c>
      <c r="L233" s="72">
        <f t="shared" si="319"/>
        <v>29209</v>
      </c>
      <c r="M233" s="83">
        <f t="shared" ref="M233" si="397">M459</f>
        <v>29209</v>
      </c>
      <c r="N233" s="83">
        <f t="shared" ref="N233" si="398">N459</f>
        <v>0</v>
      </c>
      <c r="O233" s="83">
        <f t="shared" ref="O233:P233" si="399">O459</f>
        <v>0</v>
      </c>
      <c r="P233" s="83">
        <f t="shared" si="399"/>
        <v>0</v>
      </c>
      <c r="Q233" s="81">
        <f t="shared" si="396"/>
        <v>0</v>
      </c>
      <c r="R233" s="81">
        <f t="shared" si="396"/>
        <v>0</v>
      </c>
      <c r="S233" s="81">
        <f t="shared" si="396"/>
        <v>0</v>
      </c>
      <c r="T233" s="3"/>
      <c r="U233" s="150">
        <f>J232+J235+J236+J237+J238+J239</f>
        <v>130780</v>
      </c>
    </row>
    <row r="234" spans="1:21" ht="28.5" hidden="1">
      <c r="A234" s="41"/>
      <c r="B234" s="38" t="s">
        <v>176</v>
      </c>
      <c r="C234" s="92" t="s">
        <v>177</v>
      </c>
      <c r="D234" s="83">
        <f t="shared" si="396"/>
        <v>0</v>
      </c>
      <c r="E234" s="83">
        <f t="shared" si="396"/>
        <v>0</v>
      </c>
      <c r="F234" s="83">
        <f t="shared" si="396"/>
        <v>5536</v>
      </c>
      <c r="G234" s="83">
        <f t="shared" si="396"/>
        <v>5536</v>
      </c>
      <c r="H234" s="83">
        <f t="shared" si="396"/>
        <v>5536</v>
      </c>
      <c r="I234" s="340">
        <f t="shared" si="396"/>
        <v>0</v>
      </c>
      <c r="J234" s="83">
        <f t="shared" si="396"/>
        <v>0</v>
      </c>
      <c r="K234" s="72">
        <f t="shared" si="318"/>
        <v>0</v>
      </c>
      <c r="L234" s="72">
        <f t="shared" si="319"/>
        <v>0</v>
      </c>
      <c r="M234" s="83">
        <f t="shared" ref="M234" si="400">M460</f>
        <v>0</v>
      </c>
      <c r="N234" s="83">
        <f t="shared" ref="N234" si="401">N460</f>
        <v>0</v>
      </c>
      <c r="O234" s="83">
        <f t="shared" ref="O234:P234" si="402">O460</f>
        <v>0</v>
      </c>
      <c r="P234" s="83">
        <f t="shared" si="402"/>
        <v>0</v>
      </c>
      <c r="Q234" s="81">
        <f t="shared" si="396"/>
        <v>0</v>
      </c>
      <c r="R234" s="81">
        <f t="shared" si="396"/>
        <v>0</v>
      </c>
      <c r="S234" s="81">
        <f t="shared" si="396"/>
        <v>0</v>
      </c>
      <c r="T234" s="3"/>
    </row>
    <row r="235" spans="1:21" ht="19.5" customHeight="1">
      <c r="A235" s="41"/>
      <c r="B235" s="38" t="s">
        <v>178</v>
      </c>
      <c r="C235" s="92" t="s">
        <v>179</v>
      </c>
      <c r="D235" s="83">
        <f t="shared" ref="D235:S235" si="403">D461+D256</f>
        <v>2262</v>
      </c>
      <c r="E235" s="83">
        <f t="shared" si="403"/>
        <v>5359</v>
      </c>
      <c r="F235" s="83">
        <f t="shared" si="403"/>
        <v>3306</v>
      </c>
      <c r="G235" s="83">
        <f t="shared" si="403"/>
        <v>4438</v>
      </c>
      <c r="H235" s="83">
        <f t="shared" si="403"/>
        <v>4047</v>
      </c>
      <c r="I235" s="340">
        <f t="shared" si="403"/>
        <v>5410</v>
      </c>
      <c r="J235" s="83">
        <f t="shared" si="403"/>
        <v>496</v>
      </c>
      <c r="K235" s="72">
        <f t="shared" si="318"/>
        <v>0</v>
      </c>
      <c r="L235" s="72">
        <f t="shared" si="319"/>
        <v>496</v>
      </c>
      <c r="M235" s="83">
        <f t="shared" ref="M235" si="404">M461+M256</f>
        <v>496</v>
      </c>
      <c r="N235" s="83">
        <f t="shared" ref="N235" si="405">N461+N256</f>
        <v>0</v>
      </c>
      <c r="O235" s="83">
        <f t="shared" ref="O235:P235" si="406">O461+O256</f>
        <v>0</v>
      </c>
      <c r="P235" s="83">
        <f t="shared" si="406"/>
        <v>0</v>
      </c>
      <c r="Q235" s="81">
        <f t="shared" si="403"/>
        <v>0</v>
      </c>
      <c r="R235" s="81">
        <f t="shared" si="403"/>
        <v>0</v>
      </c>
      <c r="S235" s="81">
        <f t="shared" si="403"/>
        <v>0</v>
      </c>
      <c r="T235" s="3"/>
    </row>
    <row r="236" spans="1:21" ht="14.25">
      <c r="A236" s="41"/>
      <c r="B236" s="33" t="s">
        <v>180</v>
      </c>
      <c r="C236" s="19">
        <v>55</v>
      </c>
      <c r="D236" s="81">
        <f t="shared" ref="D236:S236" si="407">D257+D999+D462</f>
        <v>16864</v>
      </c>
      <c r="E236" s="81">
        <f t="shared" si="407"/>
        <v>580</v>
      </c>
      <c r="F236" s="81">
        <f t="shared" si="407"/>
        <v>16864</v>
      </c>
      <c r="G236" s="81">
        <f t="shared" si="407"/>
        <v>16864</v>
      </c>
      <c r="H236" s="81">
        <f t="shared" si="407"/>
        <v>957</v>
      </c>
      <c r="I236" s="339">
        <f t="shared" si="407"/>
        <v>16864</v>
      </c>
      <c r="J236" s="81">
        <f t="shared" si="407"/>
        <v>1957</v>
      </c>
      <c r="K236" s="72">
        <f t="shared" si="318"/>
        <v>0</v>
      </c>
      <c r="L236" s="72">
        <f t="shared" si="319"/>
        <v>1957</v>
      </c>
      <c r="M236" s="81">
        <f t="shared" ref="M236" si="408">M257+M999+M462</f>
        <v>1957</v>
      </c>
      <c r="N236" s="81">
        <f t="shared" ref="N236" si="409">N257+N999+N462</f>
        <v>0</v>
      </c>
      <c r="O236" s="81">
        <f t="shared" ref="O236:P236" si="410">O257+O999+O462</f>
        <v>0</v>
      </c>
      <c r="P236" s="81">
        <f t="shared" si="410"/>
        <v>0</v>
      </c>
      <c r="Q236" s="81">
        <f t="shared" si="407"/>
        <v>0</v>
      </c>
      <c r="R236" s="81">
        <f t="shared" si="407"/>
        <v>0</v>
      </c>
      <c r="S236" s="81">
        <f t="shared" si="407"/>
        <v>0</v>
      </c>
      <c r="T236" s="3"/>
    </row>
    <row r="237" spans="1:21" ht="14.25">
      <c r="A237" s="41"/>
      <c r="B237" s="33" t="s">
        <v>181</v>
      </c>
      <c r="C237" s="19">
        <v>56</v>
      </c>
      <c r="D237" s="81">
        <f t="shared" ref="D237:S237" si="411">D258+D463+D930+D1001</f>
        <v>160</v>
      </c>
      <c r="E237" s="81">
        <f t="shared" si="411"/>
        <v>995</v>
      </c>
      <c r="F237" s="81">
        <f t="shared" si="411"/>
        <v>160</v>
      </c>
      <c r="G237" s="81">
        <f t="shared" si="411"/>
        <v>160</v>
      </c>
      <c r="H237" s="81">
        <f t="shared" si="411"/>
        <v>160</v>
      </c>
      <c r="I237" s="339">
        <f t="shared" si="411"/>
        <v>160</v>
      </c>
      <c r="J237" s="81">
        <f t="shared" si="411"/>
        <v>160</v>
      </c>
      <c r="K237" s="72">
        <f t="shared" si="318"/>
        <v>0</v>
      </c>
      <c r="L237" s="72">
        <f t="shared" si="319"/>
        <v>160</v>
      </c>
      <c r="M237" s="81">
        <f t="shared" ref="M237" si="412">M258+M463+M930+M1001</f>
        <v>160</v>
      </c>
      <c r="N237" s="81">
        <f t="shared" ref="N237" si="413">N258+N463+N930+N1001</f>
        <v>0</v>
      </c>
      <c r="O237" s="81">
        <f t="shared" ref="O237:P237" si="414">O258+O463+O930+O1001</f>
        <v>0</v>
      </c>
      <c r="P237" s="81">
        <f t="shared" si="414"/>
        <v>0</v>
      </c>
      <c r="Q237" s="81">
        <f t="shared" si="411"/>
        <v>0</v>
      </c>
      <c r="R237" s="81">
        <f t="shared" si="411"/>
        <v>0</v>
      </c>
      <c r="S237" s="81">
        <f t="shared" si="411"/>
        <v>0</v>
      </c>
      <c r="T237" s="3"/>
    </row>
    <row r="238" spans="1:21" ht="14.25">
      <c r="A238" s="41"/>
      <c r="B238" s="33" t="s">
        <v>181</v>
      </c>
      <c r="C238" s="19">
        <v>58</v>
      </c>
      <c r="D238" s="83">
        <f t="shared" ref="D238:S238" si="415">D931+D259+D1002+D464</f>
        <v>17196</v>
      </c>
      <c r="E238" s="81">
        <f t="shared" si="415"/>
        <v>182</v>
      </c>
      <c r="F238" s="83">
        <f t="shared" si="415"/>
        <v>17379</v>
      </c>
      <c r="G238" s="83">
        <f t="shared" si="415"/>
        <v>17379</v>
      </c>
      <c r="H238" s="83">
        <f t="shared" si="415"/>
        <v>1864</v>
      </c>
      <c r="I238" s="340">
        <f t="shared" si="415"/>
        <v>66697</v>
      </c>
      <c r="J238" s="83">
        <f t="shared" si="415"/>
        <v>64088</v>
      </c>
      <c r="K238" s="72">
        <f t="shared" si="318"/>
        <v>0</v>
      </c>
      <c r="L238" s="72">
        <f t="shared" si="319"/>
        <v>64088</v>
      </c>
      <c r="M238" s="83">
        <f t="shared" ref="M238" si="416">M931+M259+M1002+M464</f>
        <v>18788</v>
      </c>
      <c r="N238" s="83">
        <f t="shared" ref="N238" si="417">N931+N259+N1002+N464</f>
        <v>17064</v>
      </c>
      <c r="O238" s="83">
        <f t="shared" ref="O238:P238" si="418">O931+O259+O1002+O464</f>
        <v>15357</v>
      </c>
      <c r="P238" s="83">
        <f t="shared" si="418"/>
        <v>12879</v>
      </c>
      <c r="Q238" s="83">
        <f t="shared" si="415"/>
        <v>118880</v>
      </c>
      <c r="R238" s="83">
        <f t="shared" si="415"/>
        <v>106789</v>
      </c>
      <c r="S238" s="83">
        <f t="shared" si="415"/>
        <v>57634</v>
      </c>
      <c r="T238" s="3"/>
    </row>
    <row r="239" spans="1:21" ht="14.25">
      <c r="A239" s="41"/>
      <c r="B239" s="33" t="s">
        <v>182</v>
      </c>
      <c r="C239" s="19">
        <v>70</v>
      </c>
      <c r="D239" s="81">
        <f t="shared" ref="D239:S239" si="419">D260+D421+D465+D932+D1003</f>
        <v>26058</v>
      </c>
      <c r="E239" s="81">
        <f t="shared" si="419"/>
        <v>16206</v>
      </c>
      <c r="F239" s="81">
        <f t="shared" si="419"/>
        <v>61762</v>
      </c>
      <c r="G239" s="81">
        <f t="shared" si="419"/>
        <v>39049.32</v>
      </c>
      <c r="H239" s="81">
        <f t="shared" si="419"/>
        <v>11854.16</v>
      </c>
      <c r="I239" s="339">
        <f t="shared" si="419"/>
        <v>91636.32</v>
      </c>
      <c r="J239" s="81">
        <f t="shared" si="419"/>
        <v>34374</v>
      </c>
      <c r="K239" s="72">
        <f t="shared" si="318"/>
        <v>0</v>
      </c>
      <c r="L239" s="72">
        <f t="shared" si="319"/>
        <v>34374</v>
      </c>
      <c r="M239" s="81">
        <f t="shared" ref="M239" si="420">M260+M421+M465+M932+M1003</f>
        <v>22374</v>
      </c>
      <c r="N239" s="81">
        <f t="shared" ref="N239" si="421">N260+N421+N465+N932+N1003</f>
        <v>4000</v>
      </c>
      <c r="O239" s="81">
        <f t="shared" ref="O239:P239" si="422">O260+O421+O465+O932+O1003</f>
        <v>4000</v>
      </c>
      <c r="P239" s="81">
        <f t="shared" si="422"/>
        <v>4000</v>
      </c>
      <c r="Q239" s="81">
        <f t="shared" si="419"/>
        <v>36821</v>
      </c>
      <c r="R239" s="81">
        <f t="shared" si="419"/>
        <v>26928</v>
      </c>
      <c r="S239" s="81">
        <f t="shared" si="419"/>
        <v>0</v>
      </c>
      <c r="T239" s="3"/>
    </row>
    <row r="240" spans="1:21" ht="20.25" hidden="1" customHeight="1">
      <c r="A240" s="41"/>
      <c r="B240" s="40" t="s">
        <v>171</v>
      </c>
      <c r="C240" s="19">
        <v>85.01</v>
      </c>
      <c r="D240" s="83">
        <f>D1004</f>
        <v>0</v>
      </c>
      <c r="E240" s="83"/>
      <c r="F240" s="83"/>
      <c r="G240" s="83"/>
      <c r="H240" s="83"/>
      <c r="I240" s="340"/>
      <c r="J240" s="83"/>
      <c r="K240" s="72">
        <f t="shared" si="318"/>
        <v>0</v>
      </c>
      <c r="L240" s="72">
        <f t="shared" si="319"/>
        <v>0</v>
      </c>
      <c r="M240" s="83"/>
      <c r="N240" s="83"/>
      <c r="O240" s="83"/>
      <c r="P240" s="83"/>
      <c r="Q240" s="81">
        <f>Q1004</f>
        <v>0</v>
      </c>
      <c r="R240" s="81">
        <f>R1004</f>
        <v>0</v>
      </c>
      <c r="S240" s="81">
        <f>S1004</f>
        <v>0</v>
      </c>
      <c r="T240" s="3"/>
    </row>
    <row r="241" spans="1:21" ht="17.25" customHeight="1">
      <c r="A241" s="49" t="s">
        <v>4</v>
      </c>
      <c r="B241" s="50" t="s">
        <v>488</v>
      </c>
      <c r="C241" s="96">
        <v>50.02</v>
      </c>
      <c r="D241" s="133">
        <f t="shared" ref="D241:S241" si="423">D261+D379+D407</f>
        <v>65019</v>
      </c>
      <c r="E241" s="133">
        <f t="shared" si="423"/>
        <v>40059</v>
      </c>
      <c r="F241" s="133">
        <f t="shared" si="423"/>
        <v>55011</v>
      </c>
      <c r="G241" s="133">
        <f t="shared" si="423"/>
        <v>62831.51</v>
      </c>
      <c r="H241" s="133">
        <f t="shared" si="423"/>
        <v>44158</v>
      </c>
      <c r="I241" s="341">
        <f t="shared" si="423"/>
        <v>54845</v>
      </c>
      <c r="J241" s="133">
        <f t="shared" si="423"/>
        <v>62717</v>
      </c>
      <c r="K241" s="72">
        <f t="shared" si="318"/>
        <v>0</v>
      </c>
      <c r="L241" s="72">
        <f t="shared" si="319"/>
        <v>62717</v>
      </c>
      <c r="M241" s="133">
        <f t="shared" ref="M241" si="424">M261+M379+M407</f>
        <v>20025</v>
      </c>
      <c r="N241" s="133">
        <f t="shared" ref="N241" si="425">N261+N379+N407</f>
        <v>14957</v>
      </c>
      <c r="O241" s="133">
        <f t="shared" ref="O241:P241" si="426">O261+O379+O407</f>
        <v>14351</v>
      </c>
      <c r="P241" s="133">
        <f t="shared" si="426"/>
        <v>13384</v>
      </c>
      <c r="Q241" s="84">
        <f t="shared" si="423"/>
        <v>119030</v>
      </c>
      <c r="R241" s="84">
        <f t="shared" si="423"/>
        <v>114220</v>
      </c>
      <c r="S241" s="84">
        <f t="shared" si="423"/>
        <v>80398</v>
      </c>
      <c r="T241" s="3"/>
    </row>
    <row r="242" spans="1:21" ht="18.75" customHeight="1">
      <c r="A242" s="51"/>
      <c r="B242" s="31" t="s">
        <v>160</v>
      </c>
      <c r="C242" s="97"/>
      <c r="D242" s="133">
        <f t="shared" ref="D242:S242" si="427">D262+D381+D385+D394+D404+D408</f>
        <v>51247</v>
      </c>
      <c r="E242" s="133">
        <f t="shared" si="427"/>
        <v>37982</v>
      </c>
      <c r="F242" s="133">
        <f t="shared" si="427"/>
        <v>43774</v>
      </c>
      <c r="G242" s="133">
        <f t="shared" si="427"/>
        <v>48698.840000000004</v>
      </c>
      <c r="H242" s="133">
        <f t="shared" si="427"/>
        <v>42853</v>
      </c>
      <c r="I242" s="341">
        <f t="shared" si="427"/>
        <v>41442</v>
      </c>
      <c r="J242" s="133">
        <f t="shared" si="427"/>
        <v>46693</v>
      </c>
      <c r="K242" s="72">
        <f t="shared" si="318"/>
        <v>0</v>
      </c>
      <c r="L242" s="72">
        <f t="shared" si="319"/>
        <v>46693</v>
      </c>
      <c r="M242" s="133">
        <f t="shared" ref="M242" si="428">M262+M381+M385+M394+M404+M408</f>
        <v>12943</v>
      </c>
      <c r="N242" s="133">
        <f t="shared" ref="N242" si="429">N262+N381+N385+N394+N404+N408</f>
        <v>11930</v>
      </c>
      <c r="O242" s="133">
        <f t="shared" ref="O242:P242" si="430">O262+O381+O385+O394+O404+O408</f>
        <v>11330</v>
      </c>
      <c r="P242" s="133">
        <f t="shared" si="430"/>
        <v>10490</v>
      </c>
      <c r="Q242" s="84">
        <f t="shared" si="427"/>
        <v>48283</v>
      </c>
      <c r="R242" s="84">
        <f t="shared" si="427"/>
        <v>48081</v>
      </c>
      <c r="S242" s="84">
        <f t="shared" si="427"/>
        <v>47804</v>
      </c>
      <c r="T242" s="3"/>
    </row>
    <row r="243" spans="1:21" ht="15">
      <c r="A243" s="41"/>
      <c r="B243" s="40" t="s">
        <v>161</v>
      </c>
      <c r="C243" s="19"/>
      <c r="D243" s="75">
        <f t="shared" ref="D243:S243" si="431">D263+D382+D386+D405+D409</f>
        <v>45447</v>
      </c>
      <c r="E243" s="75">
        <f t="shared" si="431"/>
        <v>29148</v>
      </c>
      <c r="F243" s="75">
        <f t="shared" si="431"/>
        <v>37974</v>
      </c>
      <c r="G243" s="75">
        <f t="shared" si="431"/>
        <v>42898.840000000004</v>
      </c>
      <c r="H243" s="75">
        <f t="shared" si="431"/>
        <v>37168</v>
      </c>
      <c r="I243" s="329">
        <f t="shared" si="431"/>
        <v>35642</v>
      </c>
      <c r="J243" s="75">
        <f t="shared" si="431"/>
        <v>40893</v>
      </c>
      <c r="K243" s="72">
        <f t="shared" si="318"/>
        <v>0</v>
      </c>
      <c r="L243" s="72">
        <f t="shared" si="319"/>
        <v>40893</v>
      </c>
      <c r="M243" s="75">
        <f t="shared" ref="M243" si="432">M263+M382+M386+M405+M409</f>
        <v>11443</v>
      </c>
      <c r="N243" s="75">
        <f t="shared" ref="N243" si="433">N263+N382+N386+N405+N409</f>
        <v>10430</v>
      </c>
      <c r="O243" s="75">
        <f t="shared" ref="O243:P243" si="434">O263+O382+O386+O405+O409</f>
        <v>9830</v>
      </c>
      <c r="P243" s="75">
        <f t="shared" si="434"/>
        <v>9190</v>
      </c>
      <c r="Q243" s="76">
        <f t="shared" si="431"/>
        <v>42483</v>
      </c>
      <c r="R243" s="76">
        <f t="shared" si="431"/>
        <v>42281</v>
      </c>
      <c r="S243" s="76">
        <f t="shared" si="431"/>
        <v>42004</v>
      </c>
      <c r="T243" s="3"/>
    </row>
    <row r="244" spans="1:21" ht="15">
      <c r="A244" s="41"/>
      <c r="B244" s="40" t="s">
        <v>162</v>
      </c>
      <c r="C244" s="19">
        <v>10</v>
      </c>
      <c r="D244" s="76">
        <f t="shared" ref="D244:S244" si="435">D264+D400</f>
        <v>30155</v>
      </c>
      <c r="E244" s="76">
        <f t="shared" si="435"/>
        <v>19921</v>
      </c>
      <c r="F244" s="76">
        <f t="shared" si="435"/>
        <v>25179</v>
      </c>
      <c r="G244" s="76">
        <f t="shared" si="435"/>
        <v>27375.83</v>
      </c>
      <c r="H244" s="76">
        <f t="shared" si="435"/>
        <v>25179</v>
      </c>
      <c r="I244" s="330">
        <f t="shared" si="435"/>
        <v>30053</v>
      </c>
      <c r="J244" s="76">
        <f t="shared" si="435"/>
        <v>28000</v>
      </c>
      <c r="K244" s="72">
        <f t="shared" si="318"/>
        <v>0</v>
      </c>
      <c r="L244" s="72">
        <f t="shared" si="319"/>
        <v>28000</v>
      </c>
      <c r="M244" s="76">
        <f t="shared" ref="M244" si="436">M264+M400</f>
        <v>7500</v>
      </c>
      <c r="N244" s="76">
        <f t="shared" ref="N244" si="437">N264+N400</f>
        <v>7000</v>
      </c>
      <c r="O244" s="76">
        <f t="shared" ref="O244:P244" si="438">O264+O400</f>
        <v>7000</v>
      </c>
      <c r="P244" s="76">
        <f t="shared" si="438"/>
        <v>6500</v>
      </c>
      <c r="Q244" s="76">
        <f t="shared" si="435"/>
        <v>29000</v>
      </c>
      <c r="R244" s="76">
        <f t="shared" si="435"/>
        <v>29000</v>
      </c>
      <c r="S244" s="76">
        <f t="shared" si="435"/>
        <v>29000</v>
      </c>
      <c r="T244" s="3"/>
      <c r="U244" s="150">
        <f>D244+D245+D246+D247+D248+D249+D250+D251+D252</f>
        <v>51247</v>
      </c>
    </row>
    <row r="245" spans="1:21" ht="15">
      <c r="A245" s="41"/>
      <c r="B245" s="40" t="s">
        <v>886</v>
      </c>
      <c r="C245" s="19">
        <v>20</v>
      </c>
      <c r="D245" s="76">
        <f t="shared" ref="D245:S245" si="439">D265+D410+D401</f>
        <v>9367</v>
      </c>
      <c r="E245" s="76">
        <f t="shared" si="439"/>
        <v>5164</v>
      </c>
      <c r="F245" s="76">
        <f t="shared" si="439"/>
        <v>6886</v>
      </c>
      <c r="G245" s="76">
        <f t="shared" si="439"/>
        <v>10067.01</v>
      </c>
      <c r="H245" s="76">
        <f t="shared" si="439"/>
        <v>6886</v>
      </c>
      <c r="I245" s="330">
        <f t="shared" si="439"/>
        <v>13</v>
      </c>
      <c r="J245" s="76">
        <f t="shared" si="439"/>
        <v>7073</v>
      </c>
      <c r="K245" s="72">
        <f t="shared" si="318"/>
        <v>0</v>
      </c>
      <c r="L245" s="72">
        <f t="shared" si="319"/>
        <v>7073</v>
      </c>
      <c r="M245" s="76">
        <f t="shared" ref="M245" si="440">M265+M410+M401</f>
        <v>2013</v>
      </c>
      <c r="N245" s="76">
        <f t="shared" ref="N245" si="441">N265+N410+N401</f>
        <v>2000</v>
      </c>
      <c r="O245" s="76">
        <f t="shared" ref="O245:P245" si="442">O265+O410+O401</f>
        <v>1500</v>
      </c>
      <c r="P245" s="76">
        <f t="shared" si="442"/>
        <v>1560</v>
      </c>
      <c r="Q245" s="76">
        <f t="shared" si="439"/>
        <v>7011</v>
      </c>
      <c r="R245" s="76">
        <f t="shared" si="439"/>
        <v>7009</v>
      </c>
      <c r="S245" s="76">
        <f t="shared" si="439"/>
        <v>7007</v>
      </c>
      <c r="T245" s="3"/>
    </row>
    <row r="246" spans="1:21" ht="15">
      <c r="A246" s="41"/>
      <c r="B246" s="40" t="s">
        <v>164</v>
      </c>
      <c r="C246" s="19">
        <v>30</v>
      </c>
      <c r="D246" s="76">
        <f>D411</f>
        <v>1500</v>
      </c>
      <c r="E246" s="76">
        <f t="shared" ref="E246:J246" si="443">E411</f>
        <v>1220</v>
      </c>
      <c r="F246" s="76">
        <f t="shared" si="443"/>
        <v>1500</v>
      </c>
      <c r="G246" s="76">
        <f t="shared" si="443"/>
        <v>1500</v>
      </c>
      <c r="H246" s="76">
        <f t="shared" si="443"/>
        <v>1129</v>
      </c>
      <c r="I246" s="330">
        <f t="shared" si="443"/>
        <v>1300</v>
      </c>
      <c r="J246" s="76">
        <f t="shared" si="443"/>
        <v>1300</v>
      </c>
      <c r="K246" s="72">
        <f t="shared" si="318"/>
        <v>0</v>
      </c>
      <c r="L246" s="72">
        <f t="shared" si="319"/>
        <v>1300</v>
      </c>
      <c r="M246" s="76">
        <f t="shared" ref="M246" si="444">M411</f>
        <v>350</v>
      </c>
      <c r="N246" s="76">
        <f t="shared" ref="N246" si="445">N411</f>
        <v>350</v>
      </c>
      <c r="O246" s="76">
        <f t="shared" ref="O246:P246" si="446">O411</f>
        <v>350</v>
      </c>
      <c r="P246" s="76">
        <f t="shared" si="446"/>
        <v>250</v>
      </c>
      <c r="Q246" s="76">
        <f>Q411</f>
        <v>1100</v>
      </c>
      <c r="R246" s="76">
        <f>R411</f>
        <v>900</v>
      </c>
      <c r="S246" s="76">
        <f>S411</f>
        <v>625</v>
      </c>
      <c r="T246" s="3"/>
    </row>
    <row r="247" spans="1:21" ht="15">
      <c r="A247" s="41"/>
      <c r="B247" s="40" t="s">
        <v>183</v>
      </c>
      <c r="C247" s="19">
        <v>50</v>
      </c>
      <c r="D247" s="76">
        <f>D383</f>
        <v>1045</v>
      </c>
      <c r="E247" s="76">
        <f t="shared" ref="E247:J247" si="447">E383</f>
        <v>0</v>
      </c>
      <c r="F247" s="76">
        <f t="shared" si="447"/>
        <v>1045</v>
      </c>
      <c r="G247" s="76">
        <f t="shared" si="447"/>
        <v>586</v>
      </c>
      <c r="H247" s="76">
        <f t="shared" si="447"/>
        <v>1045</v>
      </c>
      <c r="I247" s="330">
        <f t="shared" si="447"/>
        <v>0</v>
      </c>
      <c r="J247" s="76">
        <f t="shared" si="447"/>
        <v>500</v>
      </c>
      <c r="K247" s="72">
        <f t="shared" si="318"/>
        <v>0</v>
      </c>
      <c r="L247" s="72">
        <f t="shared" si="319"/>
        <v>500</v>
      </c>
      <c r="M247" s="76">
        <f t="shared" ref="M247" si="448">M383</f>
        <v>500</v>
      </c>
      <c r="N247" s="76">
        <f t="shared" ref="N247" si="449">N383</f>
        <v>0</v>
      </c>
      <c r="O247" s="76">
        <f t="shared" ref="O247:P247" si="450">O383</f>
        <v>0</v>
      </c>
      <c r="P247" s="76">
        <f t="shared" si="450"/>
        <v>0</v>
      </c>
      <c r="Q247" s="76">
        <f>Q383</f>
        <v>500</v>
      </c>
      <c r="R247" s="76">
        <f>R383</f>
        <v>500</v>
      </c>
      <c r="S247" s="76">
        <f>S383</f>
        <v>500</v>
      </c>
      <c r="T247" s="3"/>
    </row>
    <row r="248" spans="1:21" ht="15">
      <c r="A248" s="41"/>
      <c r="B248" s="40" t="s">
        <v>166</v>
      </c>
      <c r="C248" s="19">
        <v>51</v>
      </c>
      <c r="D248" s="76">
        <f>D387+D406</f>
        <v>3150</v>
      </c>
      <c r="E248" s="76">
        <f t="shared" ref="E248:J248" si="451">E387+E406</f>
        <v>1949</v>
      </c>
      <c r="F248" s="76">
        <f t="shared" si="451"/>
        <v>3150</v>
      </c>
      <c r="G248" s="76">
        <f t="shared" si="451"/>
        <v>3140</v>
      </c>
      <c r="H248" s="76">
        <f t="shared" si="451"/>
        <v>2715</v>
      </c>
      <c r="I248" s="330">
        <f t="shared" si="451"/>
        <v>4276</v>
      </c>
      <c r="J248" s="76">
        <f t="shared" si="451"/>
        <v>3820</v>
      </c>
      <c r="K248" s="72">
        <f t="shared" si="318"/>
        <v>0</v>
      </c>
      <c r="L248" s="72">
        <f t="shared" si="319"/>
        <v>3820</v>
      </c>
      <c r="M248" s="76">
        <f t="shared" ref="M248" si="452">M387+M406</f>
        <v>980</v>
      </c>
      <c r="N248" s="76">
        <f t="shared" ref="N248" si="453">N387+N406</f>
        <v>980</v>
      </c>
      <c r="O248" s="76">
        <f t="shared" ref="O248:P248" si="454">O387+O406</f>
        <v>980</v>
      </c>
      <c r="P248" s="76">
        <f t="shared" si="454"/>
        <v>880</v>
      </c>
      <c r="Q248" s="76">
        <f>Q387+Q406</f>
        <v>4722</v>
      </c>
      <c r="R248" s="76">
        <f>R387+R406</f>
        <v>4722</v>
      </c>
      <c r="S248" s="76">
        <f>S387+S406</f>
        <v>4722</v>
      </c>
      <c r="T248" s="3"/>
    </row>
    <row r="249" spans="1:21" ht="15" hidden="1">
      <c r="A249" s="41"/>
      <c r="B249" s="40" t="s">
        <v>167</v>
      </c>
      <c r="C249" s="19">
        <v>55</v>
      </c>
      <c r="D249" s="76">
        <f t="shared" ref="D249:S250" si="455">D266</f>
        <v>0</v>
      </c>
      <c r="E249" s="76">
        <f t="shared" si="455"/>
        <v>0</v>
      </c>
      <c r="F249" s="76">
        <f t="shared" si="455"/>
        <v>0</v>
      </c>
      <c r="G249" s="76">
        <f t="shared" si="455"/>
        <v>0</v>
      </c>
      <c r="H249" s="76">
        <f t="shared" si="455"/>
        <v>0</v>
      </c>
      <c r="I249" s="330">
        <f t="shared" si="455"/>
        <v>0</v>
      </c>
      <c r="J249" s="76">
        <f t="shared" si="455"/>
        <v>0</v>
      </c>
      <c r="K249" s="72">
        <f t="shared" si="318"/>
        <v>0</v>
      </c>
      <c r="L249" s="72">
        <f t="shared" si="319"/>
        <v>0</v>
      </c>
      <c r="M249" s="76">
        <f t="shared" ref="M249" si="456">M266</f>
        <v>0</v>
      </c>
      <c r="N249" s="76">
        <f t="shared" ref="N249" si="457">N266</f>
        <v>0</v>
      </c>
      <c r="O249" s="76">
        <f t="shared" ref="O249:P249" si="458">O266</f>
        <v>0</v>
      </c>
      <c r="P249" s="76">
        <f t="shared" si="458"/>
        <v>0</v>
      </c>
      <c r="Q249" s="76">
        <f t="shared" si="455"/>
        <v>0</v>
      </c>
      <c r="R249" s="76">
        <f t="shared" si="455"/>
        <v>0</v>
      </c>
      <c r="S249" s="76">
        <f t="shared" si="455"/>
        <v>0</v>
      </c>
      <c r="T249" s="3"/>
    </row>
    <row r="250" spans="1:21" ht="15">
      <c r="A250" s="41"/>
      <c r="B250" s="28" t="s">
        <v>184</v>
      </c>
      <c r="C250" s="19">
        <v>57</v>
      </c>
      <c r="D250" s="76">
        <f t="shared" si="455"/>
        <v>80</v>
      </c>
      <c r="E250" s="76">
        <f t="shared" si="455"/>
        <v>789</v>
      </c>
      <c r="F250" s="76">
        <f t="shared" si="455"/>
        <v>67</v>
      </c>
      <c r="G250" s="76">
        <f t="shared" si="455"/>
        <v>80</v>
      </c>
      <c r="H250" s="76">
        <f t="shared" si="455"/>
        <v>67</v>
      </c>
      <c r="I250" s="330">
        <f t="shared" si="455"/>
        <v>0</v>
      </c>
      <c r="J250" s="76">
        <f t="shared" si="455"/>
        <v>0</v>
      </c>
      <c r="K250" s="72">
        <f t="shared" si="318"/>
        <v>0</v>
      </c>
      <c r="L250" s="72">
        <f t="shared" si="319"/>
        <v>0</v>
      </c>
      <c r="M250" s="76">
        <f t="shared" ref="M250" si="459">M267</f>
        <v>0</v>
      </c>
      <c r="N250" s="76">
        <f t="shared" ref="N250" si="460">N267</f>
        <v>0</v>
      </c>
      <c r="O250" s="76">
        <f t="shared" ref="O250:P250" si="461">O267</f>
        <v>0</v>
      </c>
      <c r="P250" s="76">
        <f t="shared" si="461"/>
        <v>0</v>
      </c>
      <c r="Q250" s="76">
        <f t="shared" si="455"/>
        <v>0</v>
      </c>
      <c r="R250" s="76">
        <f t="shared" si="455"/>
        <v>0</v>
      </c>
      <c r="S250" s="76">
        <f t="shared" si="455"/>
        <v>0</v>
      </c>
      <c r="T250" s="3"/>
    </row>
    <row r="251" spans="1:21" ht="15">
      <c r="A251" s="41"/>
      <c r="B251" s="40" t="s">
        <v>185</v>
      </c>
      <c r="C251" s="19">
        <v>59</v>
      </c>
      <c r="D251" s="76">
        <f t="shared" ref="D251:S251" si="462">D269</f>
        <v>150</v>
      </c>
      <c r="E251" s="76">
        <f t="shared" si="462"/>
        <v>105</v>
      </c>
      <c r="F251" s="76">
        <f t="shared" si="462"/>
        <v>147</v>
      </c>
      <c r="G251" s="76">
        <f t="shared" si="462"/>
        <v>150</v>
      </c>
      <c r="H251" s="76">
        <f t="shared" si="462"/>
        <v>147</v>
      </c>
      <c r="I251" s="330">
        <f t="shared" si="462"/>
        <v>0</v>
      </c>
      <c r="J251" s="76">
        <f t="shared" si="462"/>
        <v>200</v>
      </c>
      <c r="K251" s="72">
        <f t="shared" si="318"/>
        <v>0</v>
      </c>
      <c r="L251" s="72">
        <f t="shared" si="319"/>
        <v>200</v>
      </c>
      <c r="M251" s="76">
        <f t="shared" ref="M251" si="463">M269</f>
        <v>100</v>
      </c>
      <c r="N251" s="76">
        <f t="shared" ref="N251" si="464">N269</f>
        <v>100</v>
      </c>
      <c r="O251" s="76">
        <f t="shared" ref="O251:P251" si="465">O269</f>
        <v>0</v>
      </c>
      <c r="P251" s="76">
        <f t="shared" si="465"/>
        <v>0</v>
      </c>
      <c r="Q251" s="76">
        <f t="shared" si="462"/>
        <v>150</v>
      </c>
      <c r="R251" s="76">
        <f t="shared" si="462"/>
        <v>150</v>
      </c>
      <c r="S251" s="76">
        <f t="shared" si="462"/>
        <v>150</v>
      </c>
      <c r="T251" s="3"/>
    </row>
    <row r="252" spans="1:21" ht="15">
      <c r="A252" s="41"/>
      <c r="B252" s="40" t="s">
        <v>170</v>
      </c>
      <c r="C252" s="19">
        <v>79</v>
      </c>
      <c r="D252" s="76">
        <f>D395</f>
        <v>5800</v>
      </c>
      <c r="E252" s="76">
        <f t="shared" ref="E252:J252" si="466">E395</f>
        <v>8913</v>
      </c>
      <c r="F252" s="76">
        <f t="shared" si="466"/>
        <v>5800</v>
      </c>
      <c r="G252" s="76">
        <f t="shared" si="466"/>
        <v>5800</v>
      </c>
      <c r="H252" s="76">
        <f t="shared" si="466"/>
        <v>5685</v>
      </c>
      <c r="I252" s="330">
        <f t="shared" si="466"/>
        <v>5800</v>
      </c>
      <c r="J252" s="76">
        <f t="shared" si="466"/>
        <v>5800</v>
      </c>
      <c r="K252" s="72">
        <f t="shared" si="318"/>
        <v>0</v>
      </c>
      <c r="L252" s="72">
        <f t="shared" si="319"/>
        <v>5800</v>
      </c>
      <c r="M252" s="76">
        <f t="shared" ref="M252" si="467">M395</f>
        <v>1500</v>
      </c>
      <c r="N252" s="76">
        <f t="shared" ref="N252" si="468">N395</f>
        <v>1500</v>
      </c>
      <c r="O252" s="76">
        <f t="shared" ref="O252:P252" si="469">O395</f>
        <v>1500</v>
      </c>
      <c r="P252" s="76">
        <f t="shared" si="469"/>
        <v>1300</v>
      </c>
      <c r="Q252" s="76">
        <f>Q395</f>
        <v>5800</v>
      </c>
      <c r="R252" s="76">
        <f>R395</f>
        <v>5800</v>
      </c>
      <c r="S252" s="76">
        <f>S395</f>
        <v>5800</v>
      </c>
      <c r="T252" s="3"/>
    </row>
    <row r="253" spans="1:21" ht="15.75" hidden="1" customHeight="1">
      <c r="A253" s="41"/>
      <c r="B253" s="40" t="s">
        <v>171</v>
      </c>
      <c r="C253" s="19">
        <v>85.01</v>
      </c>
      <c r="D253" s="76">
        <f t="shared" ref="D253:S253" si="470">D268</f>
        <v>0</v>
      </c>
      <c r="E253" s="76">
        <f t="shared" si="470"/>
        <v>-79</v>
      </c>
      <c r="F253" s="76">
        <f t="shared" si="470"/>
        <v>0</v>
      </c>
      <c r="G253" s="76">
        <f t="shared" si="470"/>
        <v>0</v>
      </c>
      <c r="H253" s="76">
        <f t="shared" si="470"/>
        <v>0</v>
      </c>
      <c r="I253" s="330">
        <f t="shared" si="470"/>
        <v>0</v>
      </c>
      <c r="J253" s="76">
        <f t="shared" si="470"/>
        <v>0</v>
      </c>
      <c r="K253" s="72">
        <f t="shared" si="318"/>
        <v>0</v>
      </c>
      <c r="L253" s="72">
        <f t="shared" si="319"/>
        <v>0</v>
      </c>
      <c r="M253" s="76">
        <f t="shared" ref="M253" si="471">M268</f>
        <v>0</v>
      </c>
      <c r="N253" s="76">
        <f t="shared" ref="N253" si="472">N268</f>
        <v>0</v>
      </c>
      <c r="O253" s="76">
        <f t="shared" ref="O253:P253" si="473">O268</f>
        <v>0</v>
      </c>
      <c r="P253" s="76">
        <f t="shared" si="473"/>
        <v>0</v>
      </c>
      <c r="Q253" s="76">
        <f t="shared" si="470"/>
        <v>0</v>
      </c>
      <c r="R253" s="76">
        <f t="shared" si="470"/>
        <v>0</v>
      </c>
      <c r="S253" s="76">
        <f t="shared" si="470"/>
        <v>0</v>
      </c>
      <c r="T253" s="3"/>
    </row>
    <row r="254" spans="1:21" ht="12.75" customHeight="1">
      <c r="A254" s="41"/>
      <c r="B254" s="33" t="s">
        <v>172</v>
      </c>
      <c r="C254" s="19"/>
      <c r="D254" s="76">
        <f t="shared" ref="D254:S254" si="474">D257+D258+D260+D255+D259</f>
        <v>13772</v>
      </c>
      <c r="E254" s="76">
        <f t="shared" si="474"/>
        <v>2077</v>
      </c>
      <c r="F254" s="76">
        <f t="shared" si="474"/>
        <v>11237</v>
      </c>
      <c r="G254" s="76">
        <f t="shared" si="474"/>
        <v>14132.67</v>
      </c>
      <c r="H254" s="76">
        <f t="shared" si="474"/>
        <v>1305</v>
      </c>
      <c r="I254" s="330">
        <f t="shared" si="474"/>
        <v>13403</v>
      </c>
      <c r="J254" s="76">
        <f t="shared" si="474"/>
        <v>16024</v>
      </c>
      <c r="K254" s="72">
        <f t="shared" si="318"/>
        <v>0</v>
      </c>
      <c r="L254" s="72">
        <f t="shared" si="319"/>
        <v>16024</v>
      </c>
      <c r="M254" s="76">
        <f t="shared" ref="M254" si="475">M257+M258+M260+M255+M259</f>
        <v>7082</v>
      </c>
      <c r="N254" s="76">
        <f t="shared" ref="N254" si="476">N257+N258+N260+N255+N259</f>
        <v>3027</v>
      </c>
      <c r="O254" s="76">
        <f t="shared" ref="O254:P254" si="477">O257+O258+O260+O255+O259</f>
        <v>3021</v>
      </c>
      <c r="P254" s="76">
        <f t="shared" si="477"/>
        <v>2894</v>
      </c>
      <c r="Q254" s="76">
        <f t="shared" si="474"/>
        <v>70747</v>
      </c>
      <c r="R254" s="76">
        <f t="shared" si="474"/>
        <v>66139</v>
      </c>
      <c r="S254" s="76">
        <f t="shared" si="474"/>
        <v>32594</v>
      </c>
      <c r="T254" s="3"/>
    </row>
    <row r="255" spans="1:21" ht="17.25" hidden="1" customHeight="1">
      <c r="A255" s="41"/>
      <c r="B255" s="40" t="s">
        <v>186</v>
      </c>
      <c r="C255" s="19">
        <v>51</v>
      </c>
      <c r="D255" s="76">
        <f>D392</f>
        <v>0</v>
      </c>
      <c r="E255" s="76">
        <f t="shared" ref="E255:J255" si="478">E392</f>
        <v>0</v>
      </c>
      <c r="F255" s="76">
        <f t="shared" si="478"/>
        <v>0</v>
      </c>
      <c r="G255" s="76">
        <f t="shared" si="478"/>
        <v>10</v>
      </c>
      <c r="H255" s="76">
        <f t="shared" si="478"/>
        <v>9</v>
      </c>
      <c r="I255" s="330">
        <f t="shared" si="478"/>
        <v>28</v>
      </c>
      <c r="J255" s="76">
        <f t="shared" si="478"/>
        <v>28</v>
      </c>
      <c r="K255" s="72">
        <f t="shared" si="318"/>
        <v>0</v>
      </c>
      <c r="L255" s="72">
        <f t="shared" si="319"/>
        <v>28</v>
      </c>
      <c r="M255" s="76">
        <f t="shared" ref="M255" si="479">M392</f>
        <v>28</v>
      </c>
      <c r="N255" s="76">
        <f t="shared" ref="N255" si="480">N392</f>
        <v>0</v>
      </c>
      <c r="O255" s="76">
        <f t="shared" ref="O255:P255" si="481">O392</f>
        <v>0</v>
      </c>
      <c r="P255" s="76">
        <f t="shared" si="481"/>
        <v>0</v>
      </c>
      <c r="Q255" s="76">
        <f>Q392</f>
        <v>0</v>
      </c>
      <c r="R255" s="76">
        <f>R392</f>
        <v>0</v>
      </c>
      <c r="S255" s="76">
        <f>S392</f>
        <v>0</v>
      </c>
      <c r="T255" s="3"/>
    </row>
    <row r="256" spans="1:21" ht="15" hidden="1" customHeight="1">
      <c r="A256" s="41"/>
      <c r="B256" s="40" t="s">
        <v>187</v>
      </c>
      <c r="C256" s="19" t="s">
        <v>179</v>
      </c>
      <c r="D256" s="76">
        <f>D392</f>
        <v>0</v>
      </c>
      <c r="E256" s="76">
        <f t="shared" ref="E256:J256" si="482">E392</f>
        <v>0</v>
      </c>
      <c r="F256" s="76">
        <f t="shared" si="482"/>
        <v>0</v>
      </c>
      <c r="G256" s="76">
        <f t="shared" si="482"/>
        <v>10</v>
      </c>
      <c r="H256" s="76">
        <f t="shared" si="482"/>
        <v>9</v>
      </c>
      <c r="I256" s="330">
        <f t="shared" si="482"/>
        <v>28</v>
      </c>
      <c r="J256" s="76">
        <f t="shared" si="482"/>
        <v>28</v>
      </c>
      <c r="K256" s="72">
        <f t="shared" si="318"/>
        <v>0</v>
      </c>
      <c r="L256" s="72">
        <f t="shared" si="319"/>
        <v>28</v>
      </c>
      <c r="M256" s="76">
        <f t="shared" ref="M256" si="483">M392</f>
        <v>28</v>
      </c>
      <c r="N256" s="76">
        <f t="shared" ref="N256" si="484">N392</f>
        <v>0</v>
      </c>
      <c r="O256" s="76">
        <f t="shared" ref="O256:P256" si="485">O392</f>
        <v>0</v>
      </c>
      <c r="P256" s="76">
        <f t="shared" si="485"/>
        <v>0</v>
      </c>
      <c r="Q256" s="76">
        <f>Q392</f>
        <v>0</v>
      </c>
      <c r="R256" s="76">
        <f>R392</f>
        <v>0</v>
      </c>
      <c r="S256" s="76">
        <f>S392</f>
        <v>0</v>
      </c>
      <c r="T256" s="3"/>
    </row>
    <row r="257" spans="1:20" ht="15" hidden="1">
      <c r="A257" s="41"/>
      <c r="B257" s="28" t="s">
        <v>188</v>
      </c>
      <c r="C257" s="19">
        <v>55</v>
      </c>
      <c r="D257" s="76">
        <f t="shared" ref="D257:S257" si="486">D273</f>
        <v>0</v>
      </c>
      <c r="E257" s="76">
        <f t="shared" si="486"/>
        <v>0</v>
      </c>
      <c r="F257" s="76">
        <f t="shared" si="486"/>
        <v>0</v>
      </c>
      <c r="G257" s="76">
        <f t="shared" si="486"/>
        <v>0</v>
      </c>
      <c r="H257" s="76">
        <f t="shared" si="486"/>
        <v>0</v>
      </c>
      <c r="I257" s="330">
        <f t="shared" si="486"/>
        <v>0</v>
      </c>
      <c r="J257" s="76">
        <f t="shared" si="486"/>
        <v>0</v>
      </c>
      <c r="K257" s="72">
        <f t="shared" si="318"/>
        <v>0</v>
      </c>
      <c r="L257" s="72">
        <f t="shared" si="319"/>
        <v>0</v>
      </c>
      <c r="M257" s="76">
        <f t="shared" ref="M257" si="487">M273</f>
        <v>0</v>
      </c>
      <c r="N257" s="76">
        <f t="shared" ref="N257" si="488">N273</f>
        <v>0</v>
      </c>
      <c r="O257" s="76">
        <f t="shared" ref="O257:P257" si="489">O273</f>
        <v>0</v>
      </c>
      <c r="P257" s="76">
        <f t="shared" si="489"/>
        <v>0</v>
      </c>
      <c r="Q257" s="76">
        <f t="shared" si="486"/>
        <v>0</v>
      </c>
      <c r="R257" s="76">
        <f t="shared" si="486"/>
        <v>0</v>
      </c>
      <c r="S257" s="76">
        <f t="shared" si="486"/>
        <v>0</v>
      </c>
      <c r="T257" s="3"/>
    </row>
    <row r="258" spans="1:20" ht="15" hidden="1">
      <c r="A258" s="41"/>
      <c r="B258" s="40" t="s">
        <v>181</v>
      </c>
      <c r="C258" s="19">
        <v>56</v>
      </c>
      <c r="D258" s="76">
        <f t="shared" ref="D258:S259" si="490">D275</f>
        <v>0</v>
      </c>
      <c r="E258" s="76">
        <f t="shared" si="490"/>
        <v>0</v>
      </c>
      <c r="F258" s="76">
        <f t="shared" si="490"/>
        <v>0</v>
      </c>
      <c r="G258" s="76">
        <f t="shared" si="490"/>
        <v>0</v>
      </c>
      <c r="H258" s="76">
        <f t="shared" si="490"/>
        <v>0</v>
      </c>
      <c r="I258" s="330">
        <f t="shared" si="490"/>
        <v>0</v>
      </c>
      <c r="J258" s="76">
        <f t="shared" si="490"/>
        <v>0</v>
      </c>
      <c r="K258" s="72">
        <f t="shared" si="318"/>
        <v>0</v>
      </c>
      <c r="L258" s="72">
        <f t="shared" si="319"/>
        <v>0</v>
      </c>
      <c r="M258" s="76">
        <f t="shared" ref="M258" si="491">M275</f>
        <v>0</v>
      </c>
      <c r="N258" s="76">
        <f t="shared" ref="N258" si="492">N275</f>
        <v>0</v>
      </c>
      <c r="O258" s="76">
        <f t="shared" ref="O258:P258" si="493">O275</f>
        <v>0</v>
      </c>
      <c r="P258" s="76">
        <f t="shared" si="493"/>
        <v>0</v>
      </c>
      <c r="Q258" s="76">
        <f t="shared" si="490"/>
        <v>0</v>
      </c>
      <c r="R258" s="76">
        <f t="shared" si="490"/>
        <v>0</v>
      </c>
      <c r="S258" s="76">
        <f t="shared" si="490"/>
        <v>0</v>
      </c>
      <c r="T258" s="3"/>
    </row>
    <row r="259" spans="1:20" ht="15">
      <c r="A259" s="41"/>
      <c r="B259" s="40" t="s">
        <v>181</v>
      </c>
      <c r="C259" s="19">
        <v>58</v>
      </c>
      <c r="D259" s="76">
        <f t="shared" si="490"/>
        <v>10715</v>
      </c>
      <c r="E259" s="76">
        <f t="shared" si="490"/>
        <v>74</v>
      </c>
      <c r="F259" s="76">
        <f t="shared" si="490"/>
        <v>10859</v>
      </c>
      <c r="G259" s="76">
        <f t="shared" si="490"/>
        <v>10859</v>
      </c>
      <c r="H259" s="76">
        <f t="shared" si="490"/>
        <v>918</v>
      </c>
      <c r="I259" s="330">
        <f t="shared" si="490"/>
        <v>13375</v>
      </c>
      <c r="J259" s="76">
        <f t="shared" si="490"/>
        <v>13375</v>
      </c>
      <c r="K259" s="72">
        <f t="shared" si="318"/>
        <v>0</v>
      </c>
      <c r="L259" s="72">
        <f t="shared" si="319"/>
        <v>13375</v>
      </c>
      <c r="M259" s="76">
        <f t="shared" ref="M259" si="494">M276</f>
        <v>4433</v>
      </c>
      <c r="N259" s="76">
        <f t="shared" ref="N259" si="495">N276</f>
        <v>3027</v>
      </c>
      <c r="O259" s="76">
        <f t="shared" ref="O259:P259" si="496">O276</f>
        <v>3021</v>
      </c>
      <c r="P259" s="76">
        <f t="shared" si="496"/>
        <v>2894</v>
      </c>
      <c r="Q259" s="76">
        <f t="shared" si="490"/>
        <v>45426</v>
      </c>
      <c r="R259" s="76">
        <f t="shared" si="490"/>
        <v>40818</v>
      </c>
      <c r="S259" s="76">
        <f t="shared" si="490"/>
        <v>32594</v>
      </c>
      <c r="T259" s="3"/>
    </row>
    <row r="260" spans="1:20" ht="15">
      <c r="A260" s="41"/>
      <c r="B260" s="40" t="s">
        <v>182</v>
      </c>
      <c r="C260" s="19">
        <v>70</v>
      </c>
      <c r="D260" s="76">
        <f t="shared" ref="D260:S260" si="497">D285+D402</f>
        <v>3057</v>
      </c>
      <c r="E260" s="76">
        <f t="shared" si="497"/>
        <v>2003</v>
      </c>
      <c r="F260" s="76">
        <f t="shared" si="497"/>
        <v>378</v>
      </c>
      <c r="G260" s="76">
        <f t="shared" si="497"/>
        <v>3263.67</v>
      </c>
      <c r="H260" s="76">
        <f t="shared" si="497"/>
        <v>378</v>
      </c>
      <c r="I260" s="330">
        <f t="shared" si="497"/>
        <v>0</v>
      </c>
      <c r="J260" s="76">
        <f t="shared" si="497"/>
        <v>2621</v>
      </c>
      <c r="K260" s="72">
        <f t="shared" si="318"/>
        <v>0</v>
      </c>
      <c r="L260" s="72">
        <f t="shared" si="319"/>
        <v>2621</v>
      </c>
      <c r="M260" s="76">
        <f t="shared" ref="M260" si="498">M285+M402</f>
        <v>2621</v>
      </c>
      <c r="N260" s="76">
        <f t="shared" ref="N260" si="499">N285+N402</f>
        <v>0</v>
      </c>
      <c r="O260" s="76">
        <f t="shared" ref="O260:P260" si="500">O285+O402</f>
        <v>0</v>
      </c>
      <c r="P260" s="76">
        <f t="shared" si="500"/>
        <v>0</v>
      </c>
      <c r="Q260" s="76">
        <f t="shared" si="497"/>
        <v>25321</v>
      </c>
      <c r="R260" s="76">
        <f t="shared" si="497"/>
        <v>25321</v>
      </c>
      <c r="S260" s="76">
        <f t="shared" si="497"/>
        <v>0</v>
      </c>
      <c r="T260" s="3"/>
    </row>
    <row r="261" spans="1:20" ht="14.25">
      <c r="A261" s="145">
        <v>1</v>
      </c>
      <c r="B261" s="146" t="s">
        <v>189</v>
      </c>
      <c r="C261" s="147" t="s">
        <v>190</v>
      </c>
      <c r="D261" s="77">
        <f t="shared" ref="D261:S261" si="501">D262+D270</f>
        <v>53507</v>
      </c>
      <c r="E261" s="77">
        <f t="shared" si="501"/>
        <v>27960</v>
      </c>
      <c r="F261" s="77">
        <f t="shared" si="501"/>
        <v>43499</v>
      </c>
      <c r="G261" s="77">
        <f t="shared" si="501"/>
        <v>51778.51</v>
      </c>
      <c r="H261" s="77">
        <f t="shared" si="501"/>
        <v>33558</v>
      </c>
      <c r="I261" s="342">
        <f t="shared" si="501"/>
        <v>43428</v>
      </c>
      <c r="J261" s="77">
        <f t="shared" si="501"/>
        <v>51256</v>
      </c>
      <c r="K261" s="72">
        <f t="shared" si="318"/>
        <v>0</v>
      </c>
      <c r="L261" s="72">
        <f t="shared" si="319"/>
        <v>51256</v>
      </c>
      <c r="M261" s="77">
        <f t="shared" ref="M261" si="502">M262+M270</f>
        <v>16654</v>
      </c>
      <c r="N261" s="77">
        <f t="shared" ref="N261" si="503">N262+N270</f>
        <v>12127</v>
      </c>
      <c r="O261" s="77">
        <f t="shared" ref="O261:P261" si="504">O262+O270</f>
        <v>11521</v>
      </c>
      <c r="P261" s="77">
        <f t="shared" si="504"/>
        <v>10954</v>
      </c>
      <c r="Q261" s="77">
        <f t="shared" si="501"/>
        <v>106897</v>
      </c>
      <c r="R261" s="77">
        <f t="shared" si="501"/>
        <v>102289</v>
      </c>
      <c r="S261" s="77">
        <f t="shared" si="501"/>
        <v>68744</v>
      </c>
      <c r="T261" s="3"/>
    </row>
    <row r="262" spans="1:20" ht="14.25">
      <c r="A262" s="41"/>
      <c r="B262" s="31" t="s">
        <v>160</v>
      </c>
      <c r="C262" s="92"/>
      <c r="D262" s="81">
        <f t="shared" ref="D262:S262" si="505">D263+D268</f>
        <v>39735</v>
      </c>
      <c r="E262" s="81">
        <f t="shared" si="505"/>
        <v>25883</v>
      </c>
      <c r="F262" s="81">
        <f t="shared" si="505"/>
        <v>32262</v>
      </c>
      <c r="G262" s="81">
        <f t="shared" si="505"/>
        <v>37655.840000000004</v>
      </c>
      <c r="H262" s="81">
        <f t="shared" si="505"/>
        <v>32262</v>
      </c>
      <c r="I262" s="339">
        <f t="shared" si="505"/>
        <v>30053</v>
      </c>
      <c r="J262" s="81">
        <f t="shared" si="505"/>
        <v>35260</v>
      </c>
      <c r="K262" s="72">
        <f t="shared" si="318"/>
        <v>0</v>
      </c>
      <c r="L262" s="72">
        <f t="shared" si="319"/>
        <v>35260</v>
      </c>
      <c r="M262" s="81">
        <f t="shared" ref="M262" si="506">M263+M268</f>
        <v>9600</v>
      </c>
      <c r="N262" s="81">
        <f t="shared" ref="N262" si="507">N263+N268</f>
        <v>9100</v>
      </c>
      <c r="O262" s="81">
        <f t="shared" ref="O262:P262" si="508">O263+O268</f>
        <v>8500</v>
      </c>
      <c r="P262" s="81">
        <f t="shared" si="508"/>
        <v>8060</v>
      </c>
      <c r="Q262" s="81">
        <f t="shared" si="505"/>
        <v>36150</v>
      </c>
      <c r="R262" s="81">
        <f t="shared" si="505"/>
        <v>36150</v>
      </c>
      <c r="S262" s="81">
        <f t="shared" si="505"/>
        <v>36150</v>
      </c>
      <c r="T262" s="3"/>
    </row>
    <row r="263" spans="1:20" ht="15">
      <c r="A263" s="41"/>
      <c r="B263" s="40" t="s">
        <v>161</v>
      </c>
      <c r="C263" s="19">
        <v>1</v>
      </c>
      <c r="D263" s="76">
        <f t="shared" ref="D263:S263" si="509">D264+D265+D266+D267+D269</f>
        <v>39735</v>
      </c>
      <c r="E263" s="76">
        <f t="shared" si="509"/>
        <v>25962</v>
      </c>
      <c r="F263" s="76">
        <f t="shared" si="509"/>
        <v>32262</v>
      </c>
      <c r="G263" s="76">
        <f t="shared" si="509"/>
        <v>37655.840000000004</v>
      </c>
      <c r="H263" s="76">
        <f t="shared" si="509"/>
        <v>32262</v>
      </c>
      <c r="I263" s="330">
        <f t="shared" si="509"/>
        <v>30053</v>
      </c>
      <c r="J263" s="76">
        <f t="shared" si="509"/>
        <v>35260</v>
      </c>
      <c r="K263" s="72">
        <f t="shared" si="318"/>
        <v>0</v>
      </c>
      <c r="L263" s="72">
        <f t="shared" si="319"/>
        <v>35260</v>
      </c>
      <c r="M263" s="76">
        <f t="shared" ref="M263" si="510">M264+M265+M266+M267+M269</f>
        <v>9600</v>
      </c>
      <c r="N263" s="76">
        <f t="shared" ref="N263" si="511">N264+N265+N266+N267+N269</f>
        <v>9100</v>
      </c>
      <c r="O263" s="76">
        <f t="shared" ref="O263:P263" si="512">O264+O265+O266+O267+O269</f>
        <v>8500</v>
      </c>
      <c r="P263" s="76">
        <f t="shared" si="512"/>
        <v>8060</v>
      </c>
      <c r="Q263" s="76">
        <f t="shared" si="509"/>
        <v>36150</v>
      </c>
      <c r="R263" s="76">
        <f t="shared" si="509"/>
        <v>36150</v>
      </c>
      <c r="S263" s="76">
        <f t="shared" si="509"/>
        <v>36150</v>
      </c>
      <c r="T263" s="3"/>
    </row>
    <row r="264" spans="1:20" ht="15">
      <c r="A264" s="41"/>
      <c r="B264" s="40" t="s">
        <v>162</v>
      </c>
      <c r="C264" s="19">
        <v>10</v>
      </c>
      <c r="D264" s="75">
        <f>27900+600+1655</f>
        <v>30155</v>
      </c>
      <c r="E264" s="75">
        <v>19921</v>
      </c>
      <c r="F264" s="75">
        <v>25179</v>
      </c>
      <c r="G264" s="75">
        <v>27375.83</v>
      </c>
      <c r="H264" s="75">
        <v>25179</v>
      </c>
      <c r="I264" s="329">
        <v>30053</v>
      </c>
      <c r="J264" s="75">
        <v>28000</v>
      </c>
      <c r="K264" s="72">
        <f t="shared" si="318"/>
        <v>0</v>
      </c>
      <c r="L264" s="72">
        <f t="shared" si="319"/>
        <v>28000</v>
      </c>
      <c r="M264" s="75">
        <f>9000-1000-500+500-500-500+500+500-1000+500</f>
        <v>7500</v>
      </c>
      <c r="N264" s="75">
        <f>7000+500-500</f>
        <v>7000</v>
      </c>
      <c r="O264" s="75">
        <f>6000+1000+500-500-500-500+1000</f>
        <v>7000</v>
      </c>
      <c r="P264" s="75">
        <f>6000+500-1500+1500+500-500</f>
        <v>6500</v>
      </c>
      <c r="Q264" s="73">
        <f>29000</f>
        <v>29000</v>
      </c>
      <c r="R264" s="73">
        <f>29000</f>
        <v>29000</v>
      </c>
      <c r="S264" s="73">
        <f>29000</f>
        <v>29000</v>
      </c>
      <c r="T264" s="3">
        <v>19920</v>
      </c>
    </row>
    <row r="265" spans="1:20" ht="16.5" customHeight="1">
      <c r="A265" s="41"/>
      <c r="B265" s="40" t="s">
        <v>886</v>
      </c>
      <c r="C265" s="19">
        <v>20</v>
      </c>
      <c r="D265" s="75">
        <f>7980+1000+158+300+215-260-30-13</f>
        <v>9350</v>
      </c>
      <c r="E265" s="75">
        <v>5147</v>
      </c>
      <c r="F265" s="75">
        <v>6869</v>
      </c>
      <c r="G265" s="75">
        <v>10050.01</v>
      </c>
      <c r="H265" s="75">
        <v>6869</v>
      </c>
      <c r="I265" s="329"/>
      <c r="J265" s="75">
        <f>7114+46-100</f>
        <v>7060</v>
      </c>
      <c r="K265" s="72">
        <f t="shared" si="318"/>
        <v>0</v>
      </c>
      <c r="L265" s="72">
        <f t="shared" si="319"/>
        <v>7060</v>
      </c>
      <c r="M265" s="75">
        <f>2000</f>
        <v>2000</v>
      </c>
      <c r="N265" s="75">
        <v>2000</v>
      </c>
      <c r="O265" s="75">
        <f>2000-500</f>
        <v>1500</v>
      </c>
      <c r="P265" s="75">
        <f>1060+500</f>
        <v>1560</v>
      </c>
      <c r="Q265" s="73">
        <v>7000</v>
      </c>
      <c r="R265" s="73">
        <v>7000</v>
      </c>
      <c r="S265" s="73">
        <v>7000</v>
      </c>
      <c r="T265" s="3"/>
    </row>
    <row r="266" spans="1:20" ht="16.5" hidden="1" customHeight="1">
      <c r="A266" s="41"/>
      <c r="B266" s="28" t="s">
        <v>191</v>
      </c>
      <c r="C266" s="99" t="s">
        <v>192</v>
      </c>
      <c r="D266" s="75"/>
      <c r="E266" s="75"/>
      <c r="F266" s="75"/>
      <c r="G266" s="75"/>
      <c r="H266" s="75"/>
      <c r="I266" s="329"/>
      <c r="J266" s="75"/>
      <c r="K266" s="72">
        <f t="shared" si="318"/>
        <v>0</v>
      </c>
      <c r="L266" s="72">
        <f t="shared" si="319"/>
        <v>0</v>
      </c>
      <c r="M266" s="75"/>
      <c r="N266" s="75"/>
      <c r="O266" s="75"/>
      <c r="P266" s="75"/>
      <c r="Q266" s="73"/>
      <c r="R266" s="73"/>
      <c r="S266" s="73"/>
      <c r="T266" s="3"/>
    </row>
    <row r="267" spans="1:20" ht="16.5" hidden="1" customHeight="1">
      <c r="A267" s="41"/>
      <c r="B267" s="28" t="s">
        <v>184</v>
      </c>
      <c r="C267" s="99" t="s">
        <v>193</v>
      </c>
      <c r="D267" s="75">
        <v>80</v>
      </c>
      <c r="E267" s="75">
        <v>789</v>
      </c>
      <c r="F267" s="75">
        <v>67</v>
      </c>
      <c r="G267" s="75">
        <v>80</v>
      </c>
      <c r="H267" s="75">
        <v>67</v>
      </c>
      <c r="I267" s="329"/>
      <c r="J267" s="75"/>
      <c r="K267" s="72">
        <f t="shared" si="318"/>
        <v>0</v>
      </c>
      <c r="L267" s="72">
        <f t="shared" si="319"/>
        <v>0</v>
      </c>
      <c r="M267" s="75"/>
      <c r="N267" s="75"/>
      <c r="O267" s="75"/>
      <c r="P267" s="75"/>
      <c r="Q267" s="73"/>
      <c r="R267" s="73"/>
      <c r="S267" s="73"/>
      <c r="T267" s="3"/>
    </row>
    <row r="268" spans="1:20" ht="15.75" hidden="1" customHeight="1">
      <c r="A268" s="28"/>
      <c r="B268" s="40" t="s">
        <v>171</v>
      </c>
      <c r="C268" s="19">
        <v>85.01</v>
      </c>
      <c r="D268" s="75"/>
      <c r="E268" s="75">
        <v>-79</v>
      </c>
      <c r="F268" s="75"/>
      <c r="G268" s="75"/>
      <c r="H268" s="75"/>
      <c r="I268" s="329"/>
      <c r="J268" s="75"/>
      <c r="K268" s="72">
        <f t="shared" ref="K268:K331" si="513">J268-L268</f>
        <v>0</v>
      </c>
      <c r="L268" s="72">
        <f t="shared" ref="L268:L331" si="514">M268+N268+O268+P268</f>
        <v>0</v>
      </c>
      <c r="M268" s="75"/>
      <c r="N268" s="75"/>
      <c r="O268" s="75"/>
      <c r="P268" s="75"/>
      <c r="Q268" s="73"/>
      <c r="R268" s="73"/>
      <c r="S268" s="73"/>
      <c r="T268" s="3"/>
    </row>
    <row r="269" spans="1:20" ht="18.75" customHeight="1">
      <c r="A269" s="28"/>
      <c r="B269" s="40" t="s">
        <v>185</v>
      </c>
      <c r="C269" s="19">
        <v>59</v>
      </c>
      <c r="D269" s="75">
        <v>150</v>
      </c>
      <c r="E269" s="75">
        <v>105</v>
      </c>
      <c r="F269" s="75">
        <v>147</v>
      </c>
      <c r="G269" s="75">
        <v>150</v>
      </c>
      <c r="H269" s="75">
        <v>147</v>
      </c>
      <c r="I269" s="329"/>
      <c r="J269" s="75">
        <v>200</v>
      </c>
      <c r="K269" s="72">
        <f t="shared" si="513"/>
        <v>0</v>
      </c>
      <c r="L269" s="72">
        <f t="shared" si="514"/>
        <v>200</v>
      </c>
      <c r="M269" s="75">
        <v>100</v>
      </c>
      <c r="N269" s="75">
        <v>100</v>
      </c>
      <c r="O269" s="75"/>
      <c r="P269" s="75"/>
      <c r="Q269" s="73">
        <v>150</v>
      </c>
      <c r="R269" s="73">
        <v>150</v>
      </c>
      <c r="S269" s="73">
        <v>150</v>
      </c>
      <c r="T269" s="3"/>
    </row>
    <row r="270" spans="1:20" ht="20.25" customHeight="1">
      <c r="A270" s="41"/>
      <c r="B270" s="126" t="s">
        <v>172</v>
      </c>
      <c r="C270" s="127"/>
      <c r="D270" s="128">
        <f t="shared" ref="D270:J270" si="515">D273+D275+D285+D300+D271+D276</f>
        <v>13772</v>
      </c>
      <c r="E270" s="128">
        <f t="shared" si="515"/>
        <v>2077</v>
      </c>
      <c r="F270" s="128">
        <f t="shared" si="515"/>
        <v>11237</v>
      </c>
      <c r="G270" s="128">
        <f t="shared" si="515"/>
        <v>14122.67</v>
      </c>
      <c r="H270" s="128">
        <f t="shared" si="515"/>
        <v>1296</v>
      </c>
      <c r="I270" s="343">
        <f t="shared" si="515"/>
        <v>13375</v>
      </c>
      <c r="J270" s="128">
        <f t="shared" si="515"/>
        <v>15996</v>
      </c>
      <c r="K270" s="72">
        <f t="shared" si="513"/>
        <v>0</v>
      </c>
      <c r="L270" s="72">
        <f t="shared" si="514"/>
        <v>15996</v>
      </c>
      <c r="M270" s="128">
        <f t="shared" ref="M270" si="516">M273+M275+M285+M300+M271+M276</f>
        <v>7054</v>
      </c>
      <c r="N270" s="128">
        <f t="shared" ref="N270" si="517">N273+N275+N285+N300+N271+N276</f>
        <v>3027</v>
      </c>
      <c r="O270" s="128">
        <f t="shared" ref="O270:P270" si="518">O273+O275+O285+O300+O271+O276</f>
        <v>3021</v>
      </c>
      <c r="P270" s="128">
        <f t="shared" si="518"/>
        <v>2894</v>
      </c>
      <c r="Q270" s="128">
        <f>Q273+Q275+Q285+Q300+Q271+Q276</f>
        <v>70747</v>
      </c>
      <c r="R270" s="128">
        <f>R273+R275+R285+R300+R271+R276</f>
        <v>66139</v>
      </c>
      <c r="S270" s="128">
        <f>S273+S275+S285+S300+S271+S276</f>
        <v>32594</v>
      </c>
      <c r="T270" s="3"/>
    </row>
    <row r="271" spans="1:20" ht="15" hidden="1">
      <c r="A271" s="41"/>
      <c r="B271" s="122" t="s">
        <v>194</v>
      </c>
      <c r="C271" s="124" t="s">
        <v>195</v>
      </c>
      <c r="D271" s="125">
        <f t="shared" ref="D271:S271" si="519">D272</f>
        <v>0</v>
      </c>
      <c r="E271" s="125"/>
      <c r="F271" s="125"/>
      <c r="G271" s="125"/>
      <c r="H271" s="125"/>
      <c r="I271" s="344"/>
      <c r="J271" s="125"/>
      <c r="K271" s="72">
        <f t="shared" si="513"/>
        <v>0</v>
      </c>
      <c r="L271" s="72">
        <f t="shared" si="514"/>
        <v>0</v>
      </c>
      <c r="M271" s="125"/>
      <c r="N271" s="125"/>
      <c r="O271" s="125"/>
      <c r="P271" s="125"/>
      <c r="Q271" s="125">
        <f t="shared" si="519"/>
        <v>0</v>
      </c>
      <c r="R271" s="125">
        <f t="shared" si="519"/>
        <v>0</v>
      </c>
      <c r="S271" s="125">
        <f t="shared" si="519"/>
        <v>0</v>
      </c>
      <c r="T271" s="3"/>
    </row>
    <row r="272" spans="1:20" ht="45" hidden="1">
      <c r="A272" s="41"/>
      <c r="B272" s="42" t="s">
        <v>196</v>
      </c>
      <c r="C272" s="19" t="s">
        <v>197</v>
      </c>
      <c r="D272" s="76">
        <v>0</v>
      </c>
      <c r="E272" s="76"/>
      <c r="F272" s="76"/>
      <c r="G272" s="76"/>
      <c r="H272" s="76"/>
      <c r="I272" s="330"/>
      <c r="J272" s="76"/>
      <c r="K272" s="72">
        <f t="shared" si="513"/>
        <v>0</v>
      </c>
      <c r="L272" s="72">
        <f t="shared" si="514"/>
        <v>0</v>
      </c>
      <c r="M272" s="76"/>
      <c r="N272" s="76"/>
      <c r="O272" s="76"/>
      <c r="P272" s="76"/>
      <c r="Q272" s="76">
        <v>0</v>
      </c>
      <c r="R272" s="76">
        <v>0</v>
      </c>
      <c r="S272" s="76">
        <v>0</v>
      </c>
      <c r="T272" s="3"/>
    </row>
    <row r="273" spans="1:20" ht="16.5" hidden="1" customHeight="1">
      <c r="A273" s="41"/>
      <c r="B273" s="122" t="s">
        <v>188</v>
      </c>
      <c r="C273" s="124" t="s">
        <v>198</v>
      </c>
      <c r="D273" s="125"/>
      <c r="E273" s="125"/>
      <c r="F273" s="125"/>
      <c r="G273" s="125"/>
      <c r="H273" s="125"/>
      <c r="I273" s="344"/>
      <c r="J273" s="125"/>
      <c r="K273" s="72">
        <f t="shared" si="513"/>
        <v>0</v>
      </c>
      <c r="L273" s="72">
        <f t="shared" si="514"/>
        <v>0</v>
      </c>
      <c r="M273" s="125"/>
      <c r="N273" s="125"/>
      <c r="O273" s="125"/>
      <c r="P273" s="125"/>
      <c r="Q273" s="125"/>
      <c r="R273" s="125"/>
      <c r="S273" s="125"/>
      <c r="T273" s="3"/>
    </row>
    <row r="274" spans="1:20" ht="16.5" hidden="1" customHeight="1">
      <c r="A274" s="41"/>
      <c r="B274" s="28" t="s">
        <v>199</v>
      </c>
      <c r="C274" s="19" t="s">
        <v>200</v>
      </c>
      <c r="D274" s="76"/>
      <c r="E274" s="76"/>
      <c r="F274" s="76"/>
      <c r="G274" s="76"/>
      <c r="H274" s="76"/>
      <c r="I274" s="330"/>
      <c r="J274" s="76"/>
      <c r="K274" s="72">
        <f t="shared" si="513"/>
        <v>0</v>
      </c>
      <c r="L274" s="72">
        <f t="shared" si="514"/>
        <v>0</v>
      </c>
      <c r="M274" s="76"/>
      <c r="N274" s="76"/>
      <c r="O274" s="76"/>
      <c r="P274" s="76"/>
      <c r="Q274" s="76"/>
      <c r="R274" s="76"/>
      <c r="S274" s="76"/>
      <c r="T274" s="3"/>
    </row>
    <row r="275" spans="1:20" ht="18.75" hidden="1" customHeight="1">
      <c r="A275" s="41"/>
      <c r="B275" s="122" t="s">
        <v>181</v>
      </c>
      <c r="C275" s="124">
        <v>56</v>
      </c>
      <c r="D275" s="125"/>
      <c r="E275" s="125"/>
      <c r="F275" s="125"/>
      <c r="G275" s="125"/>
      <c r="H275" s="125"/>
      <c r="I275" s="344"/>
      <c r="J275" s="125"/>
      <c r="K275" s="72">
        <f t="shared" si="513"/>
        <v>0</v>
      </c>
      <c r="L275" s="72">
        <f t="shared" si="514"/>
        <v>0</v>
      </c>
      <c r="M275" s="125"/>
      <c r="N275" s="125"/>
      <c r="O275" s="125"/>
      <c r="P275" s="125"/>
      <c r="Q275" s="125"/>
      <c r="R275" s="125"/>
      <c r="S275" s="125"/>
      <c r="T275" s="3"/>
    </row>
    <row r="276" spans="1:20" ht="30" customHeight="1">
      <c r="A276" s="41"/>
      <c r="B276" s="123" t="s">
        <v>462</v>
      </c>
      <c r="C276" s="124">
        <v>58</v>
      </c>
      <c r="D276" s="125">
        <f>D277+D281</f>
        <v>10715</v>
      </c>
      <c r="E276" s="125">
        <f t="shared" ref="E276:Q276" si="520">E277+E281</f>
        <v>74</v>
      </c>
      <c r="F276" s="125">
        <f t="shared" si="520"/>
        <v>10859</v>
      </c>
      <c r="G276" s="125">
        <f t="shared" si="520"/>
        <v>10859</v>
      </c>
      <c r="H276" s="125">
        <f t="shared" si="520"/>
        <v>918</v>
      </c>
      <c r="I276" s="344">
        <f t="shared" si="520"/>
        <v>13375</v>
      </c>
      <c r="J276" s="125">
        <f t="shared" si="520"/>
        <v>13375</v>
      </c>
      <c r="K276" s="72">
        <f t="shared" si="513"/>
        <v>0</v>
      </c>
      <c r="L276" s="72">
        <f t="shared" si="514"/>
        <v>13375</v>
      </c>
      <c r="M276" s="125">
        <f t="shared" ref="M276" si="521">M277+M281</f>
        <v>4433</v>
      </c>
      <c r="N276" s="125">
        <f t="shared" ref="N276" si="522">N277+N281</f>
        <v>3027</v>
      </c>
      <c r="O276" s="125">
        <f t="shared" ref="O276:P276" si="523">O277+O281</f>
        <v>3021</v>
      </c>
      <c r="P276" s="125">
        <f t="shared" si="523"/>
        <v>2894</v>
      </c>
      <c r="Q276" s="125">
        <f t="shared" si="520"/>
        <v>45426</v>
      </c>
      <c r="R276" s="125">
        <f>R277+R281</f>
        <v>40818</v>
      </c>
      <c r="S276" s="125">
        <f>S277+S281</f>
        <v>32594</v>
      </c>
      <c r="T276" s="3"/>
    </row>
    <row r="277" spans="1:20" ht="30" customHeight="1">
      <c r="A277" s="41"/>
      <c r="B277" s="55" t="s">
        <v>541</v>
      </c>
      <c r="C277" s="141">
        <v>58.01</v>
      </c>
      <c r="D277" s="75">
        <f>D303+D309+D315+D321+D327+D339+D345+D351+D357</f>
        <v>10181</v>
      </c>
      <c r="E277" s="75">
        <f>E303+E309+E315+E321+E327+E339+E345+E351+E357+E369+E375</f>
        <v>3</v>
      </c>
      <c r="F277" s="75">
        <f t="shared" ref="F277:S280" si="524">F303+F309+F315+F321+F327+F339+F345+F351+F357+F369+F375</f>
        <v>10181</v>
      </c>
      <c r="G277" s="75">
        <f t="shared" si="524"/>
        <v>10181</v>
      </c>
      <c r="H277" s="75">
        <f t="shared" si="524"/>
        <v>274</v>
      </c>
      <c r="I277" s="329">
        <f t="shared" si="524"/>
        <v>12489</v>
      </c>
      <c r="J277" s="75">
        <f t="shared" si="524"/>
        <v>12489</v>
      </c>
      <c r="K277" s="72">
        <f t="shared" si="513"/>
        <v>0</v>
      </c>
      <c r="L277" s="72">
        <f t="shared" si="514"/>
        <v>12489</v>
      </c>
      <c r="M277" s="75">
        <f t="shared" ref="M277" si="525">M303+M309+M315+M321+M327+M339+M345+M351+M357+M369+M375</f>
        <v>4195</v>
      </c>
      <c r="N277" s="75">
        <f t="shared" ref="N277" si="526">N303+N309+N315+N321+N327+N339+N345+N351+N357+N369+N375</f>
        <v>2807</v>
      </c>
      <c r="O277" s="75">
        <f t="shared" ref="O277:P277" si="527">O303+O309+O315+O321+O327+O339+O345+O351+O357+O369+O375</f>
        <v>2801</v>
      </c>
      <c r="P277" s="75">
        <f t="shared" si="527"/>
        <v>2686</v>
      </c>
      <c r="Q277" s="75">
        <f t="shared" si="524"/>
        <v>43478</v>
      </c>
      <c r="R277" s="75">
        <f t="shared" si="524"/>
        <v>40818</v>
      </c>
      <c r="S277" s="75">
        <f t="shared" si="524"/>
        <v>32594</v>
      </c>
      <c r="T277" s="3"/>
    </row>
    <row r="278" spans="1:20" ht="14.25" customHeight="1">
      <c r="A278" s="41"/>
      <c r="B278" s="28" t="s">
        <v>500</v>
      </c>
      <c r="C278" s="19" t="s">
        <v>501</v>
      </c>
      <c r="D278" s="76">
        <f>D304+D310+D316+D322+D328+D340+D346+D352+D358</f>
        <v>1355</v>
      </c>
      <c r="E278" s="76">
        <f>E304+E310+E316+E322+E328+E340+E346+E352+E358+E370+E376</f>
        <v>0</v>
      </c>
      <c r="F278" s="76">
        <f t="shared" si="524"/>
        <v>1355</v>
      </c>
      <c r="G278" s="76">
        <f t="shared" si="524"/>
        <v>1355</v>
      </c>
      <c r="H278" s="76">
        <f t="shared" si="524"/>
        <v>64</v>
      </c>
      <c r="I278" s="330">
        <f t="shared" si="524"/>
        <v>1817</v>
      </c>
      <c r="J278" s="76">
        <f t="shared" si="524"/>
        <v>1817</v>
      </c>
      <c r="K278" s="72">
        <f t="shared" si="513"/>
        <v>0</v>
      </c>
      <c r="L278" s="72">
        <f t="shared" si="514"/>
        <v>1817</v>
      </c>
      <c r="M278" s="76">
        <f t="shared" ref="M278" si="528">M304+M310+M316+M322+M328+M340+M346+M352+M358+M370+M376</f>
        <v>464</v>
      </c>
      <c r="N278" s="76">
        <f t="shared" ref="N278" si="529">N304+N310+N316+N322+N328+N340+N346+N352+N358+N370+N376</f>
        <v>462</v>
      </c>
      <c r="O278" s="76">
        <f t="shared" ref="O278:P278" si="530">O304+O310+O316+O322+O328+O340+O346+O352+O358+O370+O376</f>
        <v>456</v>
      </c>
      <c r="P278" s="76">
        <f t="shared" si="530"/>
        <v>435</v>
      </c>
      <c r="Q278" s="76">
        <f t="shared" si="524"/>
        <v>0</v>
      </c>
      <c r="R278" s="76">
        <f t="shared" si="524"/>
        <v>0</v>
      </c>
      <c r="S278" s="76">
        <f t="shared" si="524"/>
        <v>0</v>
      </c>
      <c r="T278" s="3"/>
    </row>
    <row r="279" spans="1:20" ht="18.75" customHeight="1">
      <c r="A279" s="41"/>
      <c r="B279" s="28" t="s">
        <v>502</v>
      </c>
      <c r="C279" s="19" t="s">
        <v>464</v>
      </c>
      <c r="D279" s="76">
        <f>D305+D311+D317+D323+D329+D341+D347+D353+D359</f>
        <v>8604</v>
      </c>
      <c r="E279" s="76">
        <f>E305+E311+E317+E323+E329+E341+E347+E353+E359+E371+E377</f>
        <v>3</v>
      </c>
      <c r="F279" s="76">
        <f t="shared" si="524"/>
        <v>8604</v>
      </c>
      <c r="G279" s="76">
        <f t="shared" si="524"/>
        <v>8604</v>
      </c>
      <c r="H279" s="76">
        <f t="shared" si="524"/>
        <v>205</v>
      </c>
      <c r="I279" s="330">
        <f t="shared" si="524"/>
        <v>9359</v>
      </c>
      <c r="J279" s="76">
        <f t="shared" si="524"/>
        <v>9359</v>
      </c>
      <c r="K279" s="72">
        <f t="shared" si="513"/>
        <v>0</v>
      </c>
      <c r="L279" s="72">
        <f t="shared" si="514"/>
        <v>9359</v>
      </c>
      <c r="M279" s="76">
        <f t="shared" ref="M279" si="531">M305+M311+M317+M323+M329+M341+M347+M353+M359+M371+M377</f>
        <v>2418</v>
      </c>
      <c r="N279" s="76">
        <f t="shared" ref="N279" si="532">N305+N311+N317+N323+N329+N341+N347+N353+N359+N371+N377</f>
        <v>2345</v>
      </c>
      <c r="O279" s="76">
        <f t="shared" ref="O279:P279" si="533">O305+O311+O317+O323+O329+O341+O347+O353+O359+O371+O377</f>
        <v>2345</v>
      </c>
      <c r="P279" s="76">
        <f t="shared" si="533"/>
        <v>2251</v>
      </c>
      <c r="Q279" s="76">
        <f t="shared" si="524"/>
        <v>43478</v>
      </c>
      <c r="R279" s="76">
        <f t="shared" si="524"/>
        <v>40818</v>
      </c>
      <c r="S279" s="76">
        <f t="shared" si="524"/>
        <v>32594</v>
      </c>
      <c r="T279" s="3"/>
    </row>
    <row r="280" spans="1:20" ht="15.75" customHeight="1">
      <c r="A280" s="41"/>
      <c r="B280" s="28" t="s">
        <v>503</v>
      </c>
      <c r="C280" s="19" t="s">
        <v>465</v>
      </c>
      <c r="D280" s="76">
        <f>D306+D312+D318+D324+D330+D342+D348+D354+D360</f>
        <v>222</v>
      </c>
      <c r="E280" s="76">
        <f>E306+E312+E318+E324+E330+E342+E348+E354+E360+E372+E378</f>
        <v>0</v>
      </c>
      <c r="F280" s="76">
        <f t="shared" si="524"/>
        <v>222</v>
      </c>
      <c r="G280" s="76">
        <f t="shared" si="524"/>
        <v>222</v>
      </c>
      <c r="H280" s="76">
        <f t="shared" si="524"/>
        <v>5</v>
      </c>
      <c r="I280" s="330">
        <f t="shared" si="524"/>
        <v>1313</v>
      </c>
      <c r="J280" s="76">
        <f t="shared" si="524"/>
        <v>1313</v>
      </c>
      <c r="K280" s="72">
        <f t="shared" si="513"/>
        <v>0</v>
      </c>
      <c r="L280" s="72">
        <f t="shared" si="514"/>
        <v>1313</v>
      </c>
      <c r="M280" s="76">
        <f t="shared" ref="M280" si="534">M306+M312+M318+M324+M330+M342+M348+M354+M360+M372+M378</f>
        <v>1313</v>
      </c>
      <c r="N280" s="76">
        <f t="shared" ref="N280" si="535">N306+N312+N318+N324+N330+N342+N348+N354+N360+N372+N378</f>
        <v>0</v>
      </c>
      <c r="O280" s="76">
        <f t="shared" ref="O280:P280" si="536">O306+O312+O318+O324+O330+O342+O348+O354+O360+O372+O378</f>
        <v>0</v>
      </c>
      <c r="P280" s="76">
        <f t="shared" si="536"/>
        <v>0</v>
      </c>
      <c r="Q280" s="76">
        <f t="shared" si="524"/>
        <v>0</v>
      </c>
      <c r="R280" s="76">
        <f t="shared" si="524"/>
        <v>0</v>
      </c>
      <c r="S280" s="76">
        <f t="shared" si="524"/>
        <v>0</v>
      </c>
      <c r="T280" s="3"/>
    </row>
    <row r="281" spans="1:20" ht="15.75" customHeight="1">
      <c r="A281" s="41"/>
      <c r="B281" s="28" t="s">
        <v>542</v>
      </c>
      <c r="C281" s="19" t="s">
        <v>543</v>
      </c>
      <c r="D281" s="76">
        <f t="shared" ref="D281:F284" si="537">D333</f>
        <v>534</v>
      </c>
      <c r="E281" s="76">
        <f t="shared" ref="E281:S284" si="538">E333+E363</f>
        <v>71</v>
      </c>
      <c r="F281" s="76">
        <f t="shared" si="538"/>
        <v>678</v>
      </c>
      <c r="G281" s="76">
        <f t="shared" si="538"/>
        <v>678</v>
      </c>
      <c r="H281" s="76">
        <f t="shared" si="538"/>
        <v>644</v>
      </c>
      <c r="I281" s="330">
        <f t="shared" si="538"/>
        <v>886</v>
      </c>
      <c r="J281" s="76">
        <f t="shared" si="538"/>
        <v>886</v>
      </c>
      <c r="K281" s="72">
        <f t="shared" si="513"/>
        <v>0</v>
      </c>
      <c r="L281" s="72">
        <f t="shared" si="514"/>
        <v>886</v>
      </c>
      <c r="M281" s="76">
        <f t="shared" ref="M281" si="539">M333+M363</f>
        <v>238</v>
      </c>
      <c r="N281" s="76">
        <f t="shared" ref="N281" si="540">N333+N363</f>
        <v>220</v>
      </c>
      <c r="O281" s="76">
        <f t="shared" ref="O281:P281" si="541">O333+O363</f>
        <v>220</v>
      </c>
      <c r="P281" s="76">
        <f t="shared" si="541"/>
        <v>208</v>
      </c>
      <c r="Q281" s="76">
        <f t="shared" si="538"/>
        <v>1948</v>
      </c>
      <c r="R281" s="76">
        <f t="shared" si="538"/>
        <v>0</v>
      </c>
      <c r="S281" s="76">
        <f t="shared" si="538"/>
        <v>0</v>
      </c>
      <c r="T281" s="3"/>
    </row>
    <row r="282" spans="1:20" ht="15.75" customHeight="1">
      <c r="A282" s="41"/>
      <c r="B282" s="28" t="s">
        <v>500</v>
      </c>
      <c r="C282" s="19" t="s">
        <v>512</v>
      </c>
      <c r="D282" s="76">
        <f t="shared" si="537"/>
        <v>69</v>
      </c>
      <c r="E282" s="76">
        <f t="shared" si="538"/>
        <v>0</v>
      </c>
      <c r="F282" s="76">
        <f t="shared" si="538"/>
        <v>88</v>
      </c>
      <c r="G282" s="76">
        <f t="shared" si="538"/>
        <v>88</v>
      </c>
      <c r="H282" s="76">
        <f t="shared" si="538"/>
        <v>69</v>
      </c>
      <c r="I282" s="330">
        <f t="shared" si="538"/>
        <v>115</v>
      </c>
      <c r="J282" s="76">
        <f t="shared" si="538"/>
        <v>115</v>
      </c>
      <c r="K282" s="72">
        <f t="shared" si="513"/>
        <v>0</v>
      </c>
      <c r="L282" s="72">
        <f t="shared" si="514"/>
        <v>115</v>
      </c>
      <c r="M282" s="76">
        <f t="shared" ref="M282" si="542">M334+M364</f>
        <v>30</v>
      </c>
      <c r="N282" s="76">
        <f t="shared" ref="N282" si="543">N334+N364</f>
        <v>30</v>
      </c>
      <c r="O282" s="76">
        <f t="shared" ref="O282:P282" si="544">O334+O364</f>
        <v>30</v>
      </c>
      <c r="P282" s="76">
        <f t="shared" si="544"/>
        <v>25</v>
      </c>
      <c r="Q282" s="76">
        <f t="shared" si="538"/>
        <v>0</v>
      </c>
      <c r="R282" s="76">
        <f t="shared" si="538"/>
        <v>0</v>
      </c>
      <c r="S282" s="76">
        <f t="shared" si="538"/>
        <v>0</v>
      </c>
      <c r="T282" s="3"/>
    </row>
    <row r="283" spans="1:20" ht="15.75" customHeight="1">
      <c r="A283" s="41"/>
      <c r="B283" s="28" t="s">
        <v>502</v>
      </c>
      <c r="C283" s="19" t="s">
        <v>513</v>
      </c>
      <c r="D283" s="76">
        <f t="shared" si="537"/>
        <v>454</v>
      </c>
      <c r="E283" s="76">
        <f t="shared" si="537"/>
        <v>71</v>
      </c>
      <c r="F283" s="76">
        <f t="shared" si="537"/>
        <v>454</v>
      </c>
      <c r="G283" s="76">
        <f>G335+G365</f>
        <v>576</v>
      </c>
      <c r="H283" s="76">
        <f t="shared" ref="H283:H284" si="545">H335</f>
        <v>454</v>
      </c>
      <c r="I283" s="330">
        <f t="shared" si="538"/>
        <v>753</v>
      </c>
      <c r="J283" s="76">
        <f t="shared" si="538"/>
        <v>753</v>
      </c>
      <c r="K283" s="72">
        <f t="shared" si="513"/>
        <v>0</v>
      </c>
      <c r="L283" s="72">
        <f t="shared" si="514"/>
        <v>753</v>
      </c>
      <c r="M283" s="76">
        <f t="shared" ref="M283" si="546">M335+M365</f>
        <v>190</v>
      </c>
      <c r="N283" s="76">
        <f t="shared" ref="N283" si="547">N335+N365</f>
        <v>190</v>
      </c>
      <c r="O283" s="76">
        <f t="shared" ref="O283:P283" si="548">O335+O365</f>
        <v>190</v>
      </c>
      <c r="P283" s="76">
        <f t="shared" si="548"/>
        <v>183</v>
      </c>
      <c r="Q283" s="76">
        <f t="shared" si="538"/>
        <v>1948</v>
      </c>
      <c r="R283" s="76">
        <f t="shared" si="538"/>
        <v>0</v>
      </c>
      <c r="S283" s="76">
        <f t="shared" si="538"/>
        <v>0</v>
      </c>
      <c r="T283" s="3"/>
    </row>
    <row r="284" spans="1:20" ht="15.75" customHeight="1">
      <c r="A284" s="41"/>
      <c r="B284" s="28" t="s">
        <v>503</v>
      </c>
      <c r="C284" s="19" t="s">
        <v>514</v>
      </c>
      <c r="D284" s="76">
        <f t="shared" si="537"/>
        <v>11</v>
      </c>
      <c r="E284" s="76">
        <f t="shared" si="537"/>
        <v>0</v>
      </c>
      <c r="F284" s="76">
        <f t="shared" si="537"/>
        <v>11</v>
      </c>
      <c r="G284" s="76">
        <f>G336+G366</f>
        <v>14</v>
      </c>
      <c r="H284" s="76">
        <f t="shared" si="545"/>
        <v>11</v>
      </c>
      <c r="I284" s="330">
        <f t="shared" si="538"/>
        <v>18</v>
      </c>
      <c r="J284" s="76">
        <f t="shared" si="538"/>
        <v>18</v>
      </c>
      <c r="K284" s="72">
        <f t="shared" si="513"/>
        <v>0</v>
      </c>
      <c r="L284" s="72">
        <f t="shared" si="514"/>
        <v>18</v>
      </c>
      <c r="M284" s="76">
        <f t="shared" ref="M284" si="549">M336+M366</f>
        <v>18</v>
      </c>
      <c r="N284" s="76">
        <f t="shared" ref="N284" si="550">N336+N366</f>
        <v>0</v>
      </c>
      <c r="O284" s="76">
        <f t="shared" ref="O284:P284" si="551">O336+O366</f>
        <v>0</v>
      </c>
      <c r="P284" s="76">
        <f t="shared" si="551"/>
        <v>0</v>
      </c>
      <c r="Q284" s="76">
        <f t="shared" si="538"/>
        <v>0</v>
      </c>
      <c r="R284" s="76">
        <f t="shared" si="538"/>
        <v>0</v>
      </c>
      <c r="S284" s="76">
        <f t="shared" si="538"/>
        <v>0</v>
      </c>
      <c r="T284" s="3"/>
    </row>
    <row r="285" spans="1:20" ht="15.75" customHeight="1">
      <c r="A285" s="41"/>
      <c r="B285" s="122" t="s">
        <v>201</v>
      </c>
      <c r="C285" s="19">
        <v>70</v>
      </c>
      <c r="D285" s="125">
        <f>2907+150</f>
        <v>3057</v>
      </c>
      <c r="E285" s="125">
        <v>2003</v>
      </c>
      <c r="F285" s="125">
        <v>378</v>
      </c>
      <c r="G285" s="125">
        <v>3263.67</v>
      </c>
      <c r="H285" s="125">
        <v>378</v>
      </c>
      <c r="I285" s="344"/>
      <c r="J285" s="196">
        <f>1625+1000-28-28-24+24+100-48</f>
        <v>2621</v>
      </c>
      <c r="K285" s="72">
        <f t="shared" si="513"/>
        <v>0</v>
      </c>
      <c r="L285" s="72">
        <f t="shared" si="514"/>
        <v>2621</v>
      </c>
      <c r="M285" s="196">
        <f>2625-28-28+100-48</f>
        <v>2621</v>
      </c>
      <c r="N285" s="196"/>
      <c r="O285" s="196"/>
      <c r="P285" s="196"/>
      <c r="Q285" s="196">
        <v>25321</v>
      </c>
      <c r="R285" s="196">
        <f>25321</f>
        <v>25321</v>
      </c>
      <c r="S285" s="196"/>
      <c r="T285" s="3" t="s">
        <v>659</v>
      </c>
    </row>
    <row r="286" spans="1:20" ht="18" hidden="1" customHeight="1">
      <c r="A286" s="41"/>
      <c r="B286" s="28" t="s">
        <v>202</v>
      </c>
      <c r="C286" s="19" t="s">
        <v>203</v>
      </c>
      <c r="D286" s="75">
        <v>0</v>
      </c>
      <c r="E286" s="75"/>
      <c r="F286" s="75"/>
      <c r="G286" s="75"/>
      <c r="H286" s="75"/>
      <c r="I286" s="329"/>
      <c r="J286" s="75"/>
      <c r="K286" s="72">
        <f t="shared" si="513"/>
        <v>0</v>
      </c>
      <c r="L286" s="72">
        <f t="shared" si="514"/>
        <v>0</v>
      </c>
      <c r="M286" s="75"/>
      <c r="N286" s="75"/>
      <c r="O286" s="75"/>
      <c r="P286" s="75"/>
      <c r="Q286" s="73"/>
      <c r="R286" s="73"/>
      <c r="S286" s="73"/>
      <c r="T286" s="3"/>
    </row>
    <row r="287" spans="1:20" ht="18" hidden="1" customHeight="1">
      <c r="A287" s="41"/>
      <c r="B287" s="28" t="s">
        <v>204</v>
      </c>
      <c r="C287" s="19" t="s">
        <v>205</v>
      </c>
      <c r="D287" s="75"/>
      <c r="E287" s="75"/>
      <c r="F287" s="75"/>
      <c r="G287" s="75"/>
      <c r="H287" s="75"/>
      <c r="I287" s="329"/>
      <c r="J287" s="75"/>
      <c r="K287" s="72">
        <f t="shared" si="513"/>
        <v>0</v>
      </c>
      <c r="L287" s="72">
        <f t="shared" si="514"/>
        <v>0</v>
      </c>
      <c r="M287" s="75"/>
      <c r="N287" s="75"/>
      <c r="O287" s="75"/>
      <c r="P287" s="75"/>
      <c r="Q287" s="73"/>
      <c r="R287" s="73"/>
      <c r="S287" s="73"/>
      <c r="T287" s="3"/>
    </row>
    <row r="288" spans="1:20" ht="21" hidden="1" customHeight="1">
      <c r="A288" s="41"/>
      <c r="B288" s="36" t="s">
        <v>206</v>
      </c>
      <c r="C288" s="19" t="s">
        <v>207</v>
      </c>
      <c r="D288" s="75"/>
      <c r="E288" s="75"/>
      <c r="F288" s="75"/>
      <c r="G288" s="75"/>
      <c r="H288" s="75"/>
      <c r="I288" s="329"/>
      <c r="J288" s="75"/>
      <c r="K288" s="72">
        <f t="shared" si="513"/>
        <v>0</v>
      </c>
      <c r="L288" s="72">
        <f t="shared" si="514"/>
        <v>0</v>
      </c>
      <c r="M288" s="75"/>
      <c r="N288" s="75"/>
      <c r="O288" s="75"/>
      <c r="P288" s="75"/>
      <c r="Q288" s="73"/>
      <c r="R288" s="73"/>
      <c r="S288" s="73"/>
      <c r="T288" s="3"/>
    </row>
    <row r="289" spans="1:20" ht="21" hidden="1" customHeight="1">
      <c r="A289" s="41"/>
      <c r="B289" s="36" t="s">
        <v>208</v>
      </c>
      <c r="C289" s="19" t="s">
        <v>209</v>
      </c>
      <c r="D289" s="75"/>
      <c r="E289" s="75"/>
      <c r="F289" s="75"/>
      <c r="G289" s="75"/>
      <c r="H289" s="75"/>
      <c r="I289" s="329"/>
      <c r="J289" s="75"/>
      <c r="K289" s="72">
        <f t="shared" si="513"/>
        <v>0</v>
      </c>
      <c r="L289" s="72">
        <f t="shared" si="514"/>
        <v>0</v>
      </c>
      <c r="M289" s="75"/>
      <c r="N289" s="75"/>
      <c r="O289" s="75"/>
      <c r="P289" s="75"/>
      <c r="Q289" s="73"/>
      <c r="R289" s="73"/>
      <c r="S289" s="73"/>
      <c r="T289" s="3"/>
    </row>
    <row r="290" spans="1:20" ht="25.5" hidden="1" customHeight="1">
      <c r="A290" s="41"/>
      <c r="B290" s="53" t="s">
        <v>210</v>
      </c>
      <c r="C290" s="19">
        <v>71.03</v>
      </c>
      <c r="D290" s="75"/>
      <c r="E290" s="75"/>
      <c r="F290" s="75"/>
      <c r="G290" s="75"/>
      <c r="H290" s="75"/>
      <c r="I290" s="329"/>
      <c r="J290" s="75"/>
      <c r="K290" s="72">
        <f t="shared" si="513"/>
        <v>0</v>
      </c>
      <c r="L290" s="72">
        <f t="shared" si="514"/>
        <v>0</v>
      </c>
      <c r="M290" s="75"/>
      <c r="N290" s="75"/>
      <c r="O290" s="75"/>
      <c r="P290" s="75"/>
      <c r="Q290" s="73">
        <f>Q291</f>
        <v>0</v>
      </c>
      <c r="R290" s="73"/>
      <c r="S290" s="73"/>
      <c r="T290" s="3"/>
    </row>
    <row r="291" spans="1:20" ht="33" hidden="1" customHeight="1">
      <c r="A291" s="41"/>
      <c r="B291" s="55" t="s">
        <v>509</v>
      </c>
      <c r="C291" s="19"/>
      <c r="D291" s="75"/>
      <c r="E291" s="75"/>
      <c r="F291" s="75"/>
      <c r="G291" s="75"/>
      <c r="H291" s="75"/>
      <c r="I291" s="329"/>
      <c r="J291" s="75"/>
      <c r="K291" s="72">
        <f t="shared" si="513"/>
        <v>0</v>
      </c>
      <c r="L291" s="72">
        <f t="shared" si="514"/>
        <v>0</v>
      </c>
      <c r="M291" s="75"/>
      <c r="N291" s="75"/>
      <c r="O291" s="75"/>
      <c r="P291" s="75"/>
      <c r="Q291" s="73"/>
      <c r="R291" s="73"/>
      <c r="S291" s="73"/>
      <c r="T291" s="3"/>
    </row>
    <row r="292" spans="1:20" ht="4.5" hidden="1" customHeight="1">
      <c r="A292" s="41"/>
      <c r="B292" s="54" t="s">
        <v>451</v>
      </c>
      <c r="C292" s="19"/>
      <c r="D292" s="75"/>
      <c r="E292" s="75"/>
      <c r="F292" s="75"/>
      <c r="G292" s="75"/>
      <c r="H292" s="75"/>
      <c r="I292" s="329"/>
      <c r="J292" s="75"/>
      <c r="K292" s="72">
        <f t="shared" si="513"/>
        <v>0</v>
      </c>
      <c r="L292" s="72">
        <f t="shared" si="514"/>
        <v>0</v>
      </c>
      <c r="M292" s="75"/>
      <c r="N292" s="75"/>
      <c r="O292" s="75"/>
      <c r="P292" s="75"/>
      <c r="Q292" s="73"/>
      <c r="R292" s="73"/>
      <c r="S292" s="73"/>
      <c r="T292" s="3"/>
    </row>
    <row r="293" spans="1:20" ht="73.5" hidden="1" customHeight="1">
      <c r="A293" s="41"/>
      <c r="B293" s="55" t="s">
        <v>441</v>
      </c>
      <c r="C293" s="19"/>
      <c r="D293" s="75"/>
      <c r="E293" s="75"/>
      <c r="F293" s="75"/>
      <c r="G293" s="75"/>
      <c r="H293" s="75"/>
      <c r="I293" s="329"/>
      <c r="J293" s="75"/>
      <c r="K293" s="72">
        <f t="shared" si="513"/>
        <v>0</v>
      </c>
      <c r="L293" s="72">
        <f t="shared" si="514"/>
        <v>0</v>
      </c>
      <c r="M293" s="75"/>
      <c r="N293" s="75"/>
      <c r="O293" s="75"/>
      <c r="P293" s="75"/>
      <c r="Q293" s="73"/>
      <c r="R293" s="73"/>
      <c r="S293" s="73"/>
      <c r="T293" s="3"/>
    </row>
    <row r="294" spans="1:20" ht="27.75" hidden="1" customHeight="1">
      <c r="A294" s="41"/>
      <c r="B294" s="55" t="s">
        <v>442</v>
      </c>
      <c r="C294" s="19"/>
      <c r="D294" s="75"/>
      <c r="E294" s="75"/>
      <c r="F294" s="75"/>
      <c r="G294" s="75"/>
      <c r="H294" s="75"/>
      <c r="I294" s="329"/>
      <c r="J294" s="75"/>
      <c r="K294" s="72">
        <f t="shared" si="513"/>
        <v>0</v>
      </c>
      <c r="L294" s="72">
        <f t="shared" si="514"/>
        <v>0</v>
      </c>
      <c r="M294" s="75"/>
      <c r="N294" s="75"/>
      <c r="O294" s="75"/>
      <c r="P294" s="75"/>
      <c r="Q294" s="73"/>
      <c r="R294" s="73"/>
      <c r="S294" s="73"/>
      <c r="T294" s="3"/>
    </row>
    <row r="295" spans="1:20" ht="32.25" hidden="1" customHeight="1">
      <c r="A295" s="41"/>
      <c r="B295" s="55" t="s">
        <v>443</v>
      </c>
      <c r="C295" s="19"/>
      <c r="D295" s="75"/>
      <c r="E295" s="75"/>
      <c r="F295" s="75"/>
      <c r="G295" s="75"/>
      <c r="H295" s="75"/>
      <c r="I295" s="329"/>
      <c r="J295" s="75"/>
      <c r="K295" s="72">
        <f t="shared" si="513"/>
        <v>0</v>
      </c>
      <c r="L295" s="72">
        <f t="shared" si="514"/>
        <v>0</v>
      </c>
      <c r="M295" s="75"/>
      <c r="N295" s="75"/>
      <c r="O295" s="75"/>
      <c r="P295" s="75"/>
      <c r="Q295" s="73"/>
      <c r="R295" s="73"/>
      <c r="S295" s="73"/>
      <c r="T295" s="3"/>
    </row>
    <row r="296" spans="1:20" ht="25.5" hidden="1" customHeight="1">
      <c r="A296" s="41"/>
      <c r="B296" s="55" t="s">
        <v>444</v>
      </c>
      <c r="C296" s="19"/>
      <c r="D296" s="75"/>
      <c r="E296" s="75"/>
      <c r="F296" s="75"/>
      <c r="G296" s="75"/>
      <c r="H296" s="75"/>
      <c r="I296" s="329"/>
      <c r="J296" s="75"/>
      <c r="K296" s="72">
        <f t="shared" si="513"/>
        <v>0</v>
      </c>
      <c r="L296" s="72">
        <f t="shared" si="514"/>
        <v>0</v>
      </c>
      <c r="M296" s="75"/>
      <c r="N296" s="75"/>
      <c r="O296" s="75"/>
      <c r="P296" s="75"/>
      <c r="Q296" s="73"/>
      <c r="R296" s="73"/>
      <c r="S296" s="73"/>
      <c r="T296" s="3"/>
    </row>
    <row r="297" spans="1:20" ht="31.5" hidden="1" customHeight="1">
      <c r="A297" s="41"/>
      <c r="B297" s="55" t="s">
        <v>466</v>
      </c>
      <c r="C297" s="19"/>
      <c r="D297" s="75"/>
      <c r="E297" s="75"/>
      <c r="F297" s="75"/>
      <c r="G297" s="75"/>
      <c r="H297" s="75"/>
      <c r="I297" s="329"/>
      <c r="J297" s="75"/>
      <c r="K297" s="72">
        <f t="shared" si="513"/>
        <v>0</v>
      </c>
      <c r="L297" s="72">
        <f t="shared" si="514"/>
        <v>0</v>
      </c>
      <c r="M297" s="75"/>
      <c r="N297" s="75"/>
      <c r="O297" s="75"/>
      <c r="P297" s="75"/>
      <c r="Q297" s="73"/>
      <c r="R297" s="73"/>
      <c r="S297" s="73"/>
      <c r="T297" s="3"/>
    </row>
    <row r="298" spans="1:20" ht="25.5" hidden="1" customHeight="1">
      <c r="A298" s="41"/>
      <c r="B298" s="55" t="s">
        <v>467</v>
      </c>
      <c r="C298" s="19"/>
      <c r="D298" s="75"/>
      <c r="E298" s="75"/>
      <c r="F298" s="75"/>
      <c r="G298" s="75"/>
      <c r="H298" s="75"/>
      <c r="I298" s="329"/>
      <c r="J298" s="75"/>
      <c r="K298" s="72">
        <f t="shared" si="513"/>
        <v>0</v>
      </c>
      <c r="L298" s="72">
        <f t="shared" si="514"/>
        <v>0</v>
      </c>
      <c r="M298" s="75"/>
      <c r="N298" s="75"/>
      <c r="O298" s="75"/>
      <c r="P298" s="75"/>
      <c r="Q298" s="73"/>
      <c r="R298" s="73"/>
      <c r="S298" s="73"/>
      <c r="T298" s="3"/>
    </row>
    <row r="299" spans="1:20" ht="25.5" hidden="1" customHeight="1">
      <c r="A299" s="41"/>
      <c r="B299" s="40" t="s">
        <v>210</v>
      </c>
      <c r="C299" s="19">
        <v>0</v>
      </c>
      <c r="D299" s="75"/>
      <c r="E299" s="75"/>
      <c r="F299" s="75"/>
      <c r="G299" s="75"/>
      <c r="H299" s="75"/>
      <c r="I299" s="329"/>
      <c r="J299" s="75"/>
      <c r="K299" s="72">
        <f t="shared" si="513"/>
        <v>0</v>
      </c>
      <c r="L299" s="72">
        <f t="shared" si="514"/>
        <v>0</v>
      </c>
      <c r="M299" s="75"/>
      <c r="N299" s="75"/>
      <c r="O299" s="75"/>
      <c r="P299" s="75"/>
      <c r="Q299" s="73"/>
      <c r="R299" s="73"/>
      <c r="S299" s="73"/>
      <c r="T299" s="3"/>
    </row>
    <row r="300" spans="1:20" ht="21" hidden="1" customHeight="1">
      <c r="A300" s="41"/>
      <c r="B300" s="40" t="s">
        <v>171</v>
      </c>
      <c r="C300" s="19">
        <v>85.01</v>
      </c>
      <c r="D300" s="75"/>
      <c r="E300" s="75"/>
      <c r="F300" s="75"/>
      <c r="G300" s="75"/>
      <c r="H300" s="75"/>
      <c r="I300" s="329"/>
      <c r="J300" s="75"/>
      <c r="K300" s="72">
        <f t="shared" si="513"/>
        <v>0</v>
      </c>
      <c r="L300" s="72">
        <f t="shared" si="514"/>
        <v>0</v>
      </c>
      <c r="M300" s="75"/>
      <c r="N300" s="75"/>
      <c r="O300" s="75"/>
      <c r="P300" s="75"/>
      <c r="Q300" s="73"/>
      <c r="R300" s="73"/>
      <c r="S300" s="73"/>
      <c r="T300" s="3"/>
    </row>
    <row r="301" spans="1:20" ht="57.75" customHeight="1">
      <c r="A301" s="41"/>
      <c r="B301" s="56" t="s">
        <v>435</v>
      </c>
      <c r="C301" s="101"/>
      <c r="D301" s="86">
        <f t="shared" ref="D301:S302" si="552">D302</f>
        <v>2500</v>
      </c>
      <c r="E301" s="86">
        <f t="shared" si="552"/>
        <v>3</v>
      </c>
      <c r="F301" s="86">
        <f t="shared" si="552"/>
        <v>2500</v>
      </c>
      <c r="G301" s="86">
        <f t="shared" si="552"/>
        <v>2500</v>
      </c>
      <c r="H301" s="86">
        <f t="shared" si="552"/>
        <v>30</v>
      </c>
      <c r="I301" s="345">
        <f t="shared" si="552"/>
        <v>2000</v>
      </c>
      <c r="J301" s="86">
        <f t="shared" si="552"/>
        <v>2000</v>
      </c>
      <c r="K301" s="72">
        <f t="shared" si="513"/>
        <v>0</v>
      </c>
      <c r="L301" s="72">
        <f t="shared" si="514"/>
        <v>2000</v>
      </c>
      <c r="M301" s="86">
        <f t="shared" si="552"/>
        <v>609</v>
      </c>
      <c r="N301" s="86">
        <f t="shared" si="552"/>
        <v>464</v>
      </c>
      <c r="O301" s="86">
        <f t="shared" si="552"/>
        <v>464</v>
      </c>
      <c r="P301" s="86">
        <f t="shared" si="552"/>
        <v>463</v>
      </c>
      <c r="Q301" s="86">
        <f t="shared" si="552"/>
        <v>5940</v>
      </c>
      <c r="R301" s="86">
        <f t="shared" si="552"/>
        <v>5800</v>
      </c>
      <c r="S301" s="86">
        <f t="shared" si="552"/>
        <v>5800</v>
      </c>
      <c r="T301" s="3"/>
    </row>
    <row r="302" spans="1:20" ht="21" customHeight="1">
      <c r="A302" s="41"/>
      <c r="B302" s="40" t="s">
        <v>172</v>
      </c>
      <c r="C302" s="19"/>
      <c r="D302" s="76">
        <f t="shared" si="552"/>
        <v>2500</v>
      </c>
      <c r="E302" s="76">
        <f t="shared" si="552"/>
        <v>3</v>
      </c>
      <c r="F302" s="76">
        <f t="shared" si="552"/>
        <v>2500</v>
      </c>
      <c r="G302" s="76">
        <f t="shared" si="552"/>
        <v>2500</v>
      </c>
      <c r="H302" s="76">
        <f t="shared" si="552"/>
        <v>30</v>
      </c>
      <c r="I302" s="330">
        <f t="shared" si="552"/>
        <v>2000</v>
      </c>
      <c r="J302" s="76">
        <f t="shared" si="552"/>
        <v>2000</v>
      </c>
      <c r="K302" s="72">
        <f t="shared" si="513"/>
        <v>0</v>
      </c>
      <c r="L302" s="72">
        <f t="shared" si="514"/>
        <v>2000</v>
      </c>
      <c r="M302" s="76">
        <f t="shared" si="552"/>
        <v>609</v>
      </c>
      <c r="N302" s="76">
        <f t="shared" si="552"/>
        <v>464</v>
      </c>
      <c r="O302" s="76">
        <f t="shared" si="552"/>
        <v>464</v>
      </c>
      <c r="P302" s="76">
        <f t="shared" si="552"/>
        <v>463</v>
      </c>
      <c r="Q302" s="76">
        <f t="shared" si="552"/>
        <v>5940</v>
      </c>
      <c r="R302" s="76">
        <f t="shared" si="552"/>
        <v>5800</v>
      </c>
      <c r="S302" s="76">
        <f t="shared" si="552"/>
        <v>5800</v>
      </c>
      <c r="T302" s="3"/>
    </row>
    <row r="303" spans="1:20" ht="28.5" customHeight="1">
      <c r="A303" s="41"/>
      <c r="B303" s="39" t="s">
        <v>462</v>
      </c>
      <c r="C303" s="19">
        <v>58</v>
      </c>
      <c r="D303" s="76">
        <f t="shared" ref="D303:S303" si="553">D304+D305+D306</f>
        <v>2500</v>
      </c>
      <c r="E303" s="76">
        <f t="shared" si="553"/>
        <v>3</v>
      </c>
      <c r="F303" s="76">
        <f t="shared" si="553"/>
        <v>2500</v>
      </c>
      <c r="G303" s="76">
        <f t="shared" si="553"/>
        <v>2500</v>
      </c>
      <c r="H303" s="76">
        <f t="shared" si="553"/>
        <v>30</v>
      </c>
      <c r="I303" s="330">
        <f t="shared" si="553"/>
        <v>2000</v>
      </c>
      <c r="J303" s="76">
        <f t="shared" si="553"/>
        <v>2000</v>
      </c>
      <c r="K303" s="72">
        <f t="shared" si="513"/>
        <v>0</v>
      </c>
      <c r="L303" s="72">
        <f t="shared" si="514"/>
        <v>2000</v>
      </c>
      <c r="M303" s="76">
        <f t="shared" ref="M303" si="554">M304+M305+M306</f>
        <v>609</v>
      </c>
      <c r="N303" s="76">
        <f t="shared" ref="N303" si="555">N304+N305+N306</f>
        <v>464</v>
      </c>
      <c r="O303" s="76">
        <f t="shared" ref="O303:P303" si="556">O304+O305+O306</f>
        <v>464</v>
      </c>
      <c r="P303" s="76">
        <f t="shared" si="556"/>
        <v>463</v>
      </c>
      <c r="Q303" s="76">
        <f>Q304+Q305+Q306</f>
        <v>5940</v>
      </c>
      <c r="R303" s="76">
        <f t="shared" si="553"/>
        <v>5800</v>
      </c>
      <c r="S303" s="76">
        <f t="shared" si="553"/>
        <v>5800</v>
      </c>
      <c r="T303" s="3"/>
    </row>
    <row r="304" spans="1:20" ht="14.25" customHeight="1">
      <c r="A304" s="41"/>
      <c r="B304" s="28" t="s">
        <v>500</v>
      </c>
      <c r="C304" s="19" t="s">
        <v>501</v>
      </c>
      <c r="D304" s="75">
        <v>325</v>
      </c>
      <c r="E304" s="75"/>
      <c r="F304" s="136">
        <v>325</v>
      </c>
      <c r="G304" s="136">
        <v>325</v>
      </c>
      <c r="H304" s="136"/>
      <c r="I304" s="335">
        <v>256</v>
      </c>
      <c r="J304" s="136">
        <v>256</v>
      </c>
      <c r="K304" s="72">
        <f t="shared" si="513"/>
        <v>0</v>
      </c>
      <c r="L304" s="72">
        <f t="shared" si="514"/>
        <v>256</v>
      </c>
      <c r="M304" s="136">
        <v>65</v>
      </c>
      <c r="N304" s="136">
        <v>64</v>
      </c>
      <c r="O304" s="136">
        <v>64</v>
      </c>
      <c r="P304" s="136">
        <v>63</v>
      </c>
      <c r="Q304" s="136"/>
      <c r="R304" s="136"/>
      <c r="S304" s="75"/>
      <c r="T304" s="3"/>
    </row>
    <row r="305" spans="1:20" ht="15" customHeight="1">
      <c r="A305" s="41"/>
      <c r="B305" s="28" t="s">
        <v>502</v>
      </c>
      <c r="C305" s="19" t="s">
        <v>464</v>
      </c>
      <c r="D305" s="75">
        <v>2125</v>
      </c>
      <c r="E305" s="75">
        <v>3</v>
      </c>
      <c r="F305" s="136">
        <v>2125</v>
      </c>
      <c r="G305" s="136">
        <v>2125</v>
      </c>
      <c r="H305" s="136">
        <v>30</v>
      </c>
      <c r="I305" s="335">
        <v>1673</v>
      </c>
      <c r="J305" s="136">
        <v>1673</v>
      </c>
      <c r="K305" s="72">
        <f t="shared" si="513"/>
        <v>0</v>
      </c>
      <c r="L305" s="72">
        <f t="shared" si="514"/>
        <v>1673</v>
      </c>
      <c r="M305" s="136">
        <v>473</v>
      </c>
      <c r="N305" s="136">
        <v>400</v>
      </c>
      <c r="O305" s="136">
        <v>400</v>
      </c>
      <c r="P305" s="136">
        <v>400</v>
      </c>
      <c r="Q305" s="75">
        <v>5940</v>
      </c>
      <c r="R305" s="75">
        <v>5800</v>
      </c>
      <c r="S305" s="75">
        <v>5800</v>
      </c>
      <c r="T305" s="3"/>
    </row>
    <row r="306" spans="1:20" ht="15.75" customHeight="1">
      <c r="A306" s="41"/>
      <c r="B306" s="28" t="s">
        <v>503</v>
      </c>
      <c r="C306" s="19" t="s">
        <v>465</v>
      </c>
      <c r="D306" s="75">
        <v>50</v>
      </c>
      <c r="E306" s="75"/>
      <c r="F306" s="136">
        <v>50</v>
      </c>
      <c r="G306" s="136">
        <v>50</v>
      </c>
      <c r="H306" s="136"/>
      <c r="I306" s="335">
        <v>71</v>
      </c>
      <c r="J306" s="136">
        <v>71</v>
      </c>
      <c r="K306" s="72">
        <f t="shared" si="513"/>
        <v>0</v>
      </c>
      <c r="L306" s="72">
        <f t="shared" si="514"/>
        <v>71</v>
      </c>
      <c r="M306" s="136">
        <v>71</v>
      </c>
      <c r="N306" s="136"/>
      <c r="O306" s="136"/>
      <c r="P306" s="136"/>
      <c r="Q306" s="135"/>
      <c r="R306" s="135"/>
      <c r="S306" s="73"/>
      <c r="T306" s="3"/>
    </row>
    <row r="307" spans="1:20" ht="47.25" customHeight="1">
      <c r="A307" s="41"/>
      <c r="B307" s="56" t="s">
        <v>436</v>
      </c>
      <c r="C307" s="101"/>
      <c r="D307" s="86">
        <f t="shared" ref="D307:S308" si="557">D308</f>
        <v>2000</v>
      </c>
      <c r="E307" s="86">
        <f t="shared" si="557"/>
        <v>0</v>
      </c>
      <c r="F307" s="86">
        <f t="shared" si="557"/>
        <v>2000</v>
      </c>
      <c r="G307" s="86">
        <f t="shared" si="557"/>
        <v>2000</v>
      </c>
      <c r="H307" s="86">
        <f t="shared" si="557"/>
        <v>0</v>
      </c>
      <c r="I307" s="345">
        <f t="shared" si="557"/>
        <v>2500</v>
      </c>
      <c r="J307" s="86">
        <f t="shared" si="557"/>
        <v>2500</v>
      </c>
      <c r="K307" s="72">
        <f t="shared" si="513"/>
        <v>0</v>
      </c>
      <c r="L307" s="72">
        <f t="shared" si="514"/>
        <v>2500</v>
      </c>
      <c r="M307" s="86">
        <f t="shared" si="557"/>
        <v>675</v>
      </c>
      <c r="N307" s="86">
        <f t="shared" si="557"/>
        <v>625</v>
      </c>
      <c r="O307" s="86">
        <f t="shared" si="557"/>
        <v>620</v>
      </c>
      <c r="P307" s="86">
        <f t="shared" si="557"/>
        <v>580</v>
      </c>
      <c r="Q307" s="86">
        <f t="shared" si="557"/>
        <v>6300</v>
      </c>
      <c r="R307" s="86">
        <f t="shared" si="557"/>
        <v>6300</v>
      </c>
      <c r="S307" s="86">
        <f t="shared" si="557"/>
        <v>6361</v>
      </c>
      <c r="T307" s="3"/>
    </row>
    <row r="308" spans="1:20" ht="20.25" customHeight="1">
      <c r="A308" s="41"/>
      <c r="B308" s="40" t="s">
        <v>172</v>
      </c>
      <c r="C308" s="19"/>
      <c r="D308" s="75">
        <f t="shared" si="557"/>
        <v>2000</v>
      </c>
      <c r="E308" s="75">
        <f t="shared" si="557"/>
        <v>0</v>
      </c>
      <c r="F308" s="75">
        <f t="shared" si="557"/>
        <v>2000</v>
      </c>
      <c r="G308" s="75">
        <f t="shared" si="557"/>
        <v>2000</v>
      </c>
      <c r="H308" s="75">
        <f t="shared" si="557"/>
        <v>0</v>
      </c>
      <c r="I308" s="329">
        <f t="shared" si="557"/>
        <v>2500</v>
      </c>
      <c r="J308" s="75">
        <f t="shared" si="557"/>
        <v>2500</v>
      </c>
      <c r="K308" s="72">
        <f t="shared" si="513"/>
        <v>0</v>
      </c>
      <c r="L308" s="72">
        <f t="shared" si="514"/>
        <v>2500</v>
      </c>
      <c r="M308" s="75">
        <f t="shared" si="557"/>
        <v>675</v>
      </c>
      <c r="N308" s="75">
        <f t="shared" si="557"/>
        <v>625</v>
      </c>
      <c r="O308" s="75">
        <f t="shared" si="557"/>
        <v>620</v>
      </c>
      <c r="P308" s="75">
        <f t="shared" si="557"/>
        <v>580</v>
      </c>
      <c r="Q308" s="75">
        <f t="shared" si="557"/>
        <v>6300</v>
      </c>
      <c r="R308" s="75">
        <f t="shared" si="557"/>
        <v>6300</v>
      </c>
      <c r="S308" s="75">
        <f t="shared" si="557"/>
        <v>6361</v>
      </c>
      <c r="T308" s="3"/>
    </row>
    <row r="309" spans="1:20" ht="25.5" customHeight="1">
      <c r="A309" s="41"/>
      <c r="B309" s="39" t="s">
        <v>462</v>
      </c>
      <c r="C309" s="19">
        <v>58</v>
      </c>
      <c r="D309" s="76">
        <f t="shared" ref="D309:S309" si="558">D310+D311+D312</f>
        <v>2000</v>
      </c>
      <c r="E309" s="76">
        <f t="shared" si="558"/>
        <v>0</v>
      </c>
      <c r="F309" s="76">
        <f t="shared" si="558"/>
        <v>2000</v>
      </c>
      <c r="G309" s="76">
        <f t="shared" si="558"/>
        <v>2000</v>
      </c>
      <c r="H309" s="76">
        <f t="shared" si="558"/>
        <v>0</v>
      </c>
      <c r="I309" s="330">
        <f t="shared" si="558"/>
        <v>2500</v>
      </c>
      <c r="J309" s="76">
        <f t="shared" si="558"/>
        <v>2500</v>
      </c>
      <c r="K309" s="72">
        <f t="shared" si="513"/>
        <v>0</v>
      </c>
      <c r="L309" s="72">
        <f t="shared" si="514"/>
        <v>2500</v>
      </c>
      <c r="M309" s="76">
        <f t="shared" ref="M309" si="559">M310+M311+M312</f>
        <v>675</v>
      </c>
      <c r="N309" s="76">
        <f t="shared" ref="N309" si="560">N310+N311+N312</f>
        <v>625</v>
      </c>
      <c r="O309" s="76">
        <f t="shared" ref="O309:P309" si="561">O310+O311+O312</f>
        <v>620</v>
      </c>
      <c r="P309" s="76">
        <f t="shared" si="561"/>
        <v>580</v>
      </c>
      <c r="Q309" s="76">
        <f t="shared" si="558"/>
        <v>6300</v>
      </c>
      <c r="R309" s="76">
        <f t="shared" si="558"/>
        <v>6300</v>
      </c>
      <c r="S309" s="76">
        <f t="shared" si="558"/>
        <v>6361</v>
      </c>
      <c r="T309" s="3"/>
    </row>
    <row r="310" spans="1:20" ht="19.5" customHeight="1">
      <c r="A310" s="41"/>
      <c r="B310" s="28" t="s">
        <v>500</v>
      </c>
      <c r="C310" s="19" t="s">
        <v>501</v>
      </c>
      <c r="D310" s="75">
        <v>260</v>
      </c>
      <c r="E310" s="75"/>
      <c r="F310" s="75">
        <v>260</v>
      </c>
      <c r="G310" s="75">
        <v>260</v>
      </c>
      <c r="H310" s="75"/>
      <c r="I310" s="329">
        <v>325</v>
      </c>
      <c r="J310" s="75">
        <v>325</v>
      </c>
      <c r="K310" s="72">
        <f t="shared" si="513"/>
        <v>0</v>
      </c>
      <c r="L310" s="72">
        <f t="shared" si="514"/>
        <v>325</v>
      </c>
      <c r="M310" s="75">
        <v>85</v>
      </c>
      <c r="N310" s="75">
        <v>85</v>
      </c>
      <c r="O310" s="75">
        <v>80</v>
      </c>
      <c r="P310" s="75">
        <v>75</v>
      </c>
      <c r="Q310" s="75"/>
      <c r="R310" s="75"/>
      <c r="S310" s="75"/>
      <c r="T310" s="3"/>
    </row>
    <row r="311" spans="1:20" ht="16.5" customHeight="1">
      <c r="A311" s="41"/>
      <c r="B311" s="28" t="s">
        <v>502</v>
      </c>
      <c r="C311" s="19" t="s">
        <v>464</v>
      </c>
      <c r="D311" s="75">
        <v>1700</v>
      </c>
      <c r="E311" s="75"/>
      <c r="F311" s="75">
        <v>1700</v>
      </c>
      <c r="G311" s="75">
        <v>1700</v>
      </c>
      <c r="H311" s="75">
        <v>0</v>
      </c>
      <c r="I311" s="329">
        <v>2125</v>
      </c>
      <c r="J311" s="75">
        <v>2125</v>
      </c>
      <c r="K311" s="72">
        <f t="shared" si="513"/>
        <v>0</v>
      </c>
      <c r="L311" s="72">
        <f t="shared" si="514"/>
        <v>2125</v>
      </c>
      <c r="M311" s="75">
        <v>540</v>
      </c>
      <c r="N311" s="75">
        <v>540</v>
      </c>
      <c r="O311" s="75">
        <v>540</v>
      </c>
      <c r="P311" s="75">
        <v>505</v>
      </c>
      <c r="Q311" s="75">
        <v>6300</v>
      </c>
      <c r="R311" s="75">
        <v>6300</v>
      </c>
      <c r="S311" s="75">
        <v>6361</v>
      </c>
      <c r="T311" s="3"/>
    </row>
    <row r="312" spans="1:20" ht="13.5" customHeight="1">
      <c r="A312" s="41"/>
      <c r="B312" s="28" t="s">
        <v>503</v>
      </c>
      <c r="C312" s="19" t="s">
        <v>465</v>
      </c>
      <c r="D312" s="75">
        <v>40</v>
      </c>
      <c r="E312" s="75"/>
      <c r="F312" s="75">
        <v>40</v>
      </c>
      <c r="G312" s="75">
        <v>40</v>
      </c>
      <c r="H312" s="75"/>
      <c r="I312" s="329">
        <v>50</v>
      </c>
      <c r="J312" s="75">
        <v>50</v>
      </c>
      <c r="K312" s="72">
        <f t="shared" si="513"/>
        <v>0</v>
      </c>
      <c r="L312" s="72">
        <f t="shared" si="514"/>
        <v>50</v>
      </c>
      <c r="M312" s="75">
        <v>50</v>
      </c>
      <c r="N312" s="75"/>
      <c r="O312" s="75"/>
      <c r="P312" s="75"/>
      <c r="Q312" s="73"/>
      <c r="R312" s="73"/>
      <c r="S312" s="73"/>
      <c r="T312" s="3"/>
    </row>
    <row r="313" spans="1:20" ht="33" customHeight="1">
      <c r="A313" s="41"/>
      <c r="B313" s="56" t="s">
        <v>437</v>
      </c>
      <c r="C313" s="101"/>
      <c r="D313" s="86">
        <f t="shared" ref="D313:S314" si="562">D314</f>
        <v>2500</v>
      </c>
      <c r="E313" s="86">
        <f t="shared" si="562"/>
        <v>0</v>
      </c>
      <c r="F313" s="86">
        <f t="shared" si="562"/>
        <v>2500</v>
      </c>
      <c r="G313" s="86">
        <f t="shared" si="562"/>
        <v>2500</v>
      </c>
      <c r="H313" s="86">
        <f t="shared" si="562"/>
        <v>8</v>
      </c>
      <c r="I313" s="345">
        <f t="shared" si="562"/>
        <v>171</v>
      </c>
      <c r="J313" s="86">
        <f t="shared" si="562"/>
        <v>171</v>
      </c>
      <c r="K313" s="72">
        <f t="shared" si="513"/>
        <v>0</v>
      </c>
      <c r="L313" s="72">
        <f t="shared" si="514"/>
        <v>171</v>
      </c>
      <c r="M313" s="86">
        <f t="shared" si="562"/>
        <v>50</v>
      </c>
      <c r="N313" s="86">
        <f t="shared" si="562"/>
        <v>46</v>
      </c>
      <c r="O313" s="86">
        <f t="shared" si="562"/>
        <v>45</v>
      </c>
      <c r="P313" s="86">
        <f t="shared" si="562"/>
        <v>30</v>
      </c>
      <c r="Q313" s="86">
        <f t="shared" si="562"/>
        <v>3309</v>
      </c>
      <c r="R313" s="86">
        <f t="shared" si="562"/>
        <v>4751</v>
      </c>
      <c r="S313" s="86">
        <f t="shared" si="562"/>
        <v>2453</v>
      </c>
      <c r="T313" s="3"/>
    </row>
    <row r="314" spans="1:20" ht="23.25" customHeight="1">
      <c r="A314" s="41"/>
      <c r="B314" s="40" t="s">
        <v>172</v>
      </c>
      <c r="C314" s="19"/>
      <c r="D314" s="76">
        <f t="shared" si="562"/>
        <v>2500</v>
      </c>
      <c r="E314" s="76">
        <f t="shared" si="562"/>
        <v>0</v>
      </c>
      <c r="F314" s="76">
        <f t="shared" si="562"/>
        <v>2500</v>
      </c>
      <c r="G314" s="76">
        <f t="shared" si="562"/>
        <v>2500</v>
      </c>
      <c r="H314" s="76">
        <f t="shared" si="562"/>
        <v>8</v>
      </c>
      <c r="I314" s="330">
        <f t="shared" si="562"/>
        <v>171</v>
      </c>
      <c r="J314" s="76">
        <f t="shared" si="562"/>
        <v>171</v>
      </c>
      <c r="K314" s="72">
        <f t="shared" si="513"/>
        <v>0</v>
      </c>
      <c r="L314" s="72">
        <f t="shared" si="514"/>
        <v>171</v>
      </c>
      <c r="M314" s="76">
        <f t="shared" si="562"/>
        <v>50</v>
      </c>
      <c r="N314" s="76">
        <f t="shared" si="562"/>
        <v>46</v>
      </c>
      <c r="O314" s="76">
        <f t="shared" si="562"/>
        <v>45</v>
      </c>
      <c r="P314" s="76">
        <f t="shared" si="562"/>
        <v>30</v>
      </c>
      <c r="Q314" s="76">
        <f t="shared" si="562"/>
        <v>3309</v>
      </c>
      <c r="R314" s="76">
        <f t="shared" si="562"/>
        <v>4751</v>
      </c>
      <c r="S314" s="76">
        <f t="shared" si="562"/>
        <v>2453</v>
      </c>
      <c r="T314" s="3"/>
    </row>
    <row r="315" spans="1:20" ht="32.25" customHeight="1">
      <c r="A315" s="41"/>
      <c r="B315" s="39" t="s">
        <v>462</v>
      </c>
      <c r="C315" s="19">
        <v>58</v>
      </c>
      <c r="D315" s="76">
        <f t="shared" ref="D315:S315" si="563">D316+D317+D318</f>
        <v>2500</v>
      </c>
      <c r="E315" s="76">
        <f t="shared" si="563"/>
        <v>0</v>
      </c>
      <c r="F315" s="76">
        <f t="shared" si="563"/>
        <v>2500</v>
      </c>
      <c r="G315" s="76">
        <f t="shared" si="563"/>
        <v>2500</v>
      </c>
      <c r="H315" s="76">
        <f t="shared" si="563"/>
        <v>8</v>
      </c>
      <c r="I315" s="330">
        <f t="shared" si="563"/>
        <v>171</v>
      </c>
      <c r="J315" s="76">
        <f t="shared" si="563"/>
        <v>171</v>
      </c>
      <c r="K315" s="72">
        <f t="shared" si="513"/>
        <v>0</v>
      </c>
      <c r="L315" s="72">
        <f t="shared" si="514"/>
        <v>171</v>
      </c>
      <c r="M315" s="76">
        <f t="shared" ref="M315" si="564">M316+M317+M318</f>
        <v>50</v>
      </c>
      <c r="N315" s="76">
        <f t="shared" ref="N315" si="565">N316+N317+N318</f>
        <v>46</v>
      </c>
      <c r="O315" s="76">
        <f t="shared" ref="O315:P315" si="566">O316+O317+O318</f>
        <v>45</v>
      </c>
      <c r="P315" s="76">
        <f t="shared" si="566"/>
        <v>30</v>
      </c>
      <c r="Q315" s="76">
        <f t="shared" si="563"/>
        <v>3309</v>
      </c>
      <c r="R315" s="76">
        <f t="shared" si="563"/>
        <v>4751</v>
      </c>
      <c r="S315" s="76">
        <f t="shared" si="563"/>
        <v>2453</v>
      </c>
      <c r="T315" s="3"/>
    </row>
    <row r="316" spans="1:20" ht="16.5" customHeight="1">
      <c r="A316" s="41"/>
      <c r="B316" s="28" t="s">
        <v>500</v>
      </c>
      <c r="C316" s="19" t="s">
        <v>501</v>
      </c>
      <c r="D316" s="75">
        <v>325</v>
      </c>
      <c r="E316" s="75"/>
      <c r="F316" s="75">
        <v>325</v>
      </c>
      <c r="G316" s="75">
        <v>325</v>
      </c>
      <c r="H316" s="75"/>
      <c r="I316" s="329">
        <v>22</v>
      </c>
      <c r="J316" s="75">
        <v>22</v>
      </c>
      <c r="K316" s="72">
        <f t="shared" si="513"/>
        <v>0</v>
      </c>
      <c r="L316" s="72">
        <f t="shared" si="514"/>
        <v>22</v>
      </c>
      <c r="M316" s="75">
        <v>6</v>
      </c>
      <c r="N316" s="75">
        <v>6</v>
      </c>
      <c r="O316" s="75">
        <v>5</v>
      </c>
      <c r="P316" s="75">
        <v>5</v>
      </c>
      <c r="Q316" s="75"/>
      <c r="R316" s="75"/>
      <c r="S316" s="75"/>
      <c r="T316" s="3"/>
    </row>
    <row r="317" spans="1:20" ht="17.25" customHeight="1">
      <c r="A317" s="41"/>
      <c r="B317" s="28" t="s">
        <v>502</v>
      </c>
      <c r="C317" s="19" t="s">
        <v>464</v>
      </c>
      <c r="D317" s="75">
        <v>2125</v>
      </c>
      <c r="E317" s="75"/>
      <c r="F317" s="75">
        <v>2125</v>
      </c>
      <c r="G317" s="75">
        <v>2125</v>
      </c>
      <c r="H317" s="75">
        <v>8</v>
      </c>
      <c r="I317" s="329">
        <v>145</v>
      </c>
      <c r="J317" s="75">
        <v>145</v>
      </c>
      <c r="K317" s="72">
        <f t="shared" si="513"/>
        <v>0</v>
      </c>
      <c r="L317" s="72">
        <f t="shared" si="514"/>
        <v>145</v>
      </c>
      <c r="M317" s="75">
        <v>40</v>
      </c>
      <c r="N317" s="75">
        <v>40</v>
      </c>
      <c r="O317" s="75">
        <v>40</v>
      </c>
      <c r="P317" s="75">
        <v>25</v>
      </c>
      <c r="Q317" s="75">
        <v>3309</v>
      </c>
      <c r="R317" s="75">
        <v>4751</v>
      </c>
      <c r="S317" s="75">
        <v>2453</v>
      </c>
      <c r="T317" s="3"/>
    </row>
    <row r="318" spans="1:20" ht="21" customHeight="1">
      <c r="A318" s="41"/>
      <c r="B318" s="28" t="s">
        <v>503</v>
      </c>
      <c r="C318" s="19" t="s">
        <v>465</v>
      </c>
      <c r="D318" s="75">
        <v>50</v>
      </c>
      <c r="E318" s="75"/>
      <c r="F318" s="75">
        <v>50</v>
      </c>
      <c r="G318" s="75">
        <v>50</v>
      </c>
      <c r="H318" s="75"/>
      <c r="I318" s="329">
        <v>4</v>
      </c>
      <c r="J318" s="75">
        <v>4</v>
      </c>
      <c r="K318" s="72">
        <f t="shared" si="513"/>
        <v>0</v>
      </c>
      <c r="L318" s="72">
        <f t="shared" si="514"/>
        <v>4</v>
      </c>
      <c r="M318" s="75">
        <v>4</v>
      </c>
      <c r="N318" s="75"/>
      <c r="O318" s="75"/>
      <c r="P318" s="75"/>
      <c r="Q318" s="73"/>
      <c r="R318" s="73"/>
      <c r="S318" s="73"/>
      <c r="T318" s="3"/>
    </row>
    <row r="319" spans="1:20" ht="33.75" customHeight="1">
      <c r="A319" s="41"/>
      <c r="B319" s="56" t="s">
        <v>438</v>
      </c>
      <c r="C319" s="100"/>
      <c r="D319" s="85">
        <f t="shared" ref="D319:S323" si="567">D320</f>
        <v>1000</v>
      </c>
      <c r="E319" s="85">
        <f t="shared" si="567"/>
        <v>0</v>
      </c>
      <c r="F319" s="85">
        <f t="shared" si="567"/>
        <v>1000</v>
      </c>
      <c r="G319" s="85">
        <f t="shared" si="567"/>
        <v>1000</v>
      </c>
      <c r="H319" s="85">
        <f t="shared" si="567"/>
        <v>0</v>
      </c>
      <c r="I319" s="346">
        <f t="shared" si="567"/>
        <v>4130</v>
      </c>
      <c r="J319" s="85">
        <f t="shared" si="567"/>
        <v>4130</v>
      </c>
      <c r="K319" s="72">
        <f t="shared" si="513"/>
        <v>0</v>
      </c>
      <c r="L319" s="72">
        <f t="shared" si="514"/>
        <v>4130</v>
      </c>
      <c r="M319" s="85">
        <f t="shared" si="567"/>
        <v>1871</v>
      </c>
      <c r="N319" s="85">
        <f t="shared" si="567"/>
        <v>760</v>
      </c>
      <c r="O319" s="85">
        <f t="shared" si="567"/>
        <v>760</v>
      </c>
      <c r="P319" s="85">
        <f t="shared" si="567"/>
        <v>739</v>
      </c>
      <c r="Q319" s="85">
        <f t="shared" si="567"/>
        <v>0</v>
      </c>
      <c r="R319" s="85">
        <f t="shared" si="567"/>
        <v>0</v>
      </c>
      <c r="S319" s="85">
        <f t="shared" si="567"/>
        <v>0</v>
      </c>
      <c r="T319" s="3"/>
    </row>
    <row r="320" spans="1:20" ht="21" customHeight="1">
      <c r="A320" s="41"/>
      <c r="B320" s="40" t="s">
        <v>172</v>
      </c>
      <c r="C320" s="19"/>
      <c r="D320" s="76">
        <f t="shared" si="567"/>
        <v>1000</v>
      </c>
      <c r="E320" s="76">
        <f t="shared" si="567"/>
        <v>0</v>
      </c>
      <c r="F320" s="76">
        <f t="shared" si="567"/>
        <v>1000</v>
      </c>
      <c r="G320" s="76">
        <f t="shared" si="567"/>
        <v>1000</v>
      </c>
      <c r="H320" s="76">
        <f t="shared" si="567"/>
        <v>0</v>
      </c>
      <c r="I320" s="330">
        <f t="shared" si="567"/>
        <v>4130</v>
      </c>
      <c r="J320" s="76">
        <f t="shared" si="567"/>
        <v>4130</v>
      </c>
      <c r="K320" s="72">
        <f t="shared" si="513"/>
        <v>0</v>
      </c>
      <c r="L320" s="72">
        <f t="shared" si="514"/>
        <v>4130</v>
      </c>
      <c r="M320" s="76">
        <f t="shared" si="567"/>
        <v>1871</v>
      </c>
      <c r="N320" s="76">
        <f t="shared" si="567"/>
        <v>760</v>
      </c>
      <c r="O320" s="76">
        <f t="shared" si="567"/>
        <v>760</v>
      </c>
      <c r="P320" s="76">
        <f t="shared" si="567"/>
        <v>739</v>
      </c>
      <c r="Q320" s="76">
        <f t="shared" si="567"/>
        <v>0</v>
      </c>
      <c r="R320" s="76">
        <f t="shared" si="567"/>
        <v>0</v>
      </c>
      <c r="S320" s="76">
        <f t="shared" si="567"/>
        <v>0</v>
      </c>
      <c r="T320" s="3"/>
    </row>
    <row r="321" spans="1:20" ht="27" customHeight="1">
      <c r="A321" s="41"/>
      <c r="B321" s="39" t="s">
        <v>462</v>
      </c>
      <c r="C321" s="19">
        <v>58</v>
      </c>
      <c r="D321" s="76">
        <f t="shared" ref="D321:S321" si="568">D322+D323+D324</f>
        <v>1000</v>
      </c>
      <c r="E321" s="76">
        <f t="shared" si="568"/>
        <v>0</v>
      </c>
      <c r="F321" s="76">
        <f t="shared" si="568"/>
        <v>1000</v>
      </c>
      <c r="G321" s="76">
        <f t="shared" si="568"/>
        <v>1000</v>
      </c>
      <c r="H321" s="76">
        <f t="shared" si="568"/>
        <v>0</v>
      </c>
      <c r="I321" s="330">
        <f t="shared" si="568"/>
        <v>4130</v>
      </c>
      <c r="J321" s="76">
        <f t="shared" si="568"/>
        <v>4130</v>
      </c>
      <c r="K321" s="72">
        <f t="shared" si="513"/>
        <v>0</v>
      </c>
      <c r="L321" s="72">
        <f t="shared" si="514"/>
        <v>4130</v>
      </c>
      <c r="M321" s="76">
        <f t="shared" ref="M321" si="569">M322+M323+M324</f>
        <v>1871</v>
      </c>
      <c r="N321" s="76">
        <f t="shared" ref="N321" si="570">N322+N323+N324</f>
        <v>760</v>
      </c>
      <c r="O321" s="76">
        <f t="shared" ref="O321:P321" si="571">O322+O323+O324</f>
        <v>760</v>
      </c>
      <c r="P321" s="76">
        <f t="shared" si="571"/>
        <v>739</v>
      </c>
      <c r="Q321" s="76">
        <f t="shared" si="568"/>
        <v>0</v>
      </c>
      <c r="R321" s="76">
        <f t="shared" si="568"/>
        <v>0</v>
      </c>
      <c r="S321" s="76">
        <f t="shared" si="568"/>
        <v>0</v>
      </c>
      <c r="T321" s="3"/>
    </row>
    <row r="322" spans="1:20" ht="18" customHeight="1">
      <c r="A322" s="41"/>
      <c r="B322" s="28" t="s">
        <v>500</v>
      </c>
      <c r="C322" s="19" t="s">
        <v>501</v>
      </c>
      <c r="D322" s="75">
        <v>127</v>
      </c>
      <c r="E322" s="75"/>
      <c r="F322" s="75">
        <v>127</v>
      </c>
      <c r="G322" s="75">
        <v>127</v>
      </c>
      <c r="H322" s="75"/>
      <c r="I322" s="329">
        <v>401</v>
      </c>
      <c r="J322" s="75">
        <v>401</v>
      </c>
      <c r="K322" s="72">
        <f t="shared" si="513"/>
        <v>0</v>
      </c>
      <c r="L322" s="72">
        <f t="shared" si="514"/>
        <v>401</v>
      </c>
      <c r="M322" s="75">
        <v>101</v>
      </c>
      <c r="N322" s="75">
        <v>100</v>
      </c>
      <c r="O322" s="75">
        <v>100</v>
      </c>
      <c r="P322" s="75">
        <v>100</v>
      </c>
      <c r="Q322" s="75"/>
      <c r="R322" s="75"/>
      <c r="S322" s="75"/>
      <c r="T322" s="3"/>
    </row>
    <row r="323" spans="1:20" ht="19.5" customHeight="1">
      <c r="A323" s="41"/>
      <c r="B323" s="28" t="s">
        <v>502</v>
      </c>
      <c r="C323" s="19" t="s">
        <v>464</v>
      </c>
      <c r="D323" s="75">
        <v>834</v>
      </c>
      <c r="E323" s="75"/>
      <c r="F323" s="75">
        <v>834</v>
      </c>
      <c r="G323" s="75">
        <v>834</v>
      </c>
      <c r="H323" s="75">
        <v>0</v>
      </c>
      <c r="I323" s="329">
        <v>2619</v>
      </c>
      <c r="J323" s="75">
        <v>2619</v>
      </c>
      <c r="K323" s="72">
        <f t="shared" si="513"/>
        <v>0</v>
      </c>
      <c r="L323" s="72">
        <f t="shared" si="514"/>
        <v>2619</v>
      </c>
      <c r="M323" s="75">
        <v>660</v>
      </c>
      <c r="N323" s="75">
        <v>660</v>
      </c>
      <c r="O323" s="75">
        <v>660</v>
      </c>
      <c r="P323" s="75">
        <v>639</v>
      </c>
      <c r="Q323" s="75">
        <v>0</v>
      </c>
      <c r="R323" s="75">
        <f t="shared" si="567"/>
        <v>0</v>
      </c>
      <c r="S323" s="75">
        <f t="shared" si="567"/>
        <v>0</v>
      </c>
      <c r="T323" s="3"/>
    </row>
    <row r="324" spans="1:20" ht="24.75" customHeight="1">
      <c r="A324" s="41"/>
      <c r="B324" s="28" t="s">
        <v>503</v>
      </c>
      <c r="C324" s="19" t="s">
        <v>465</v>
      </c>
      <c r="D324" s="75">
        <f>20+19</f>
        <v>39</v>
      </c>
      <c r="E324" s="75"/>
      <c r="F324" s="75">
        <v>39</v>
      </c>
      <c r="G324" s="75">
        <v>39</v>
      </c>
      <c r="H324" s="75"/>
      <c r="I324" s="329">
        <v>1110</v>
      </c>
      <c r="J324" s="75">
        <v>1110</v>
      </c>
      <c r="K324" s="72">
        <f t="shared" si="513"/>
        <v>0</v>
      </c>
      <c r="L324" s="72">
        <f t="shared" si="514"/>
        <v>1110</v>
      </c>
      <c r="M324" s="75">
        <v>1110</v>
      </c>
      <c r="N324" s="75"/>
      <c r="O324" s="75"/>
      <c r="P324" s="75"/>
      <c r="Q324" s="73"/>
      <c r="R324" s="73"/>
      <c r="S324" s="73"/>
      <c r="T324" s="3"/>
    </row>
    <row r="325" spans="1:20" ht="44.25" customHeight="1">
      <c r="A325" s="41"/>
      <c r="B325" s="56" t="s">
        <v>504</v>
      </c>
      <c r="C325" s="100"/>
      <c r="D325" s="85">
        <f t="shared" ref="D325:S326" si="572">D326</f>
        <v>1500</v>
      </c>
      <c r="E325" s="85">
        <f t="shared" si="572"/>
        <v>0</v>
      </c>
      <c r="F325" s="85">
        <f t="shared" si="572"/>
        <v>1500</v>
      </c>
      <c r="G325" s="85">
        <f t="shared" si="572"/>
        <v>1500</v>
      </c>
      <c r="H325" s="85">
        <f t="shared" si="572"/>
        <v>0</v>
      </c>
      <c r="I325" s="346">
        <f t="shared" si="572"/>
        <v>700</v>
      </c>
      <c r="J325" s="85">
        <f t="shared" si="572"/>
        <v>700</v>
      </c>
      <c r="K325" s="72">
        <f t="shared" si="513"/>
        <v>0</v>
      </c>
      <c r="L325" s="72">
        <f t="shared" si="514"/>
        <v>700</v>
      </c>
      <c r="M325" s="85">
        <f t="shared" si="572"/>
        <v>189</v>
      </c>
      <c r="N325" s="85">
        <f t="shared" si="572"/>
        <v>175</v>
      </c>
      <c r="O325" s="85">
        <f t="shared" si="572"/>
        <v>175</v>
      </c>
      <c r="P325" s="85">
        <f t="shared" si="572"/>
        <v>161</v>
      </c>
      <c r="Q325" s="85">
        <f t="shared" si="572"/>
        <v>12340</v>
      </c>
      <c r="R325" s="85">
        <f t="shared" si="572"/>
        <v>10682</v>
      </c>
      <c r="S325" s="85">
        <f t="shared" si="572"/>
        <v>9999</v>
      </c>
      <c r="T325" s="3"/>
    </row>
    <row r="326" spans="1:20" ht="25.5" customHeight="1">
      <c r="A326" s="41"/>
      <c r="B326" s="40" t="s">
        <v>172</v>
      </c>
      <c r="C326" s="19"/>
      <c r="D326" s="76">
        <f t="shared" si="572"/>
        <v>1500</v>
      </c>
      <c r="E326" s="76">
        <f t="shared" si="572"/>
        <v>0</v>
      </c>
      <c r="F326" s="76">
        <f t="shared" si="572"/>
        <v>1500</v>
      </c>
      <c r="G326" s="76">
        <f t="shared" si="572"/>
        <v>1500</v>
      </c>
      <c r="H326" s="76">
        <f t="shared" si="572"/>
        <v>0</v>
      </c>
      <c r="I326" s="330">
        <f t="shared" si="572"/>
        <v>700</v>
      </c>
      <c r="J326" s="76">
        <f t="shared" si="572"/>
        <v>700</v>
      </c>
      <c r="K326" s="72">
        <f t="shared" si="513"/>
        <v>0</v>
      </c>
      <c r="L326" s="72">
        <f t="shared" si="514"/>
        <v>700</v>
      </c>
      <c r="M326" s="76">
        <f t="shared" si="572"/>
        <v>189</v>
      </c>
      <c r="N326" s="76">
        <f t="shared" si="572"/>
        <v>175</v>
      </c>
      <c r="O326" s="76">
        <f t="shared" si="572"/>
        <v>175</v>
      </c>
      <c r="P326" s="76">
        <f t="shared" si="572"/>
        <v>161</v>
      </c>
      <c r="Q326" s="76">
        <f t="shared" si="572"/>
        <v>12340</v>
      </c>
      <c r="R326" s="76">
        <f t="shared" si="572"/>
        <v>10682</v>
      </c>
      <c r="S326" s="76">
        <f>S327</f>
        <v>9999</v>
      </c>
      <c r="T326" s="3"/>
    </row>
    <row r="327" spans="1:20" ht="30" customHeight="1">
      <c r="A327" s="41"/>
      <c r="B327" s="39" t="s">
        <v>462</v>
      </c>
      <c r="C327" s="19">
        <v>58</v>
      </c>
      <c r="D327" s="76">
        <f t="shared" ref="D327:S327" si="573">D328+D329+D330</f>
        <v>1500</v>
      </c>
      <c r="E327" s="76">
        <f t="shared" si="573"/>
        <v>0</v>
      </c>
      <c r="F327" s="76">
        <f t="shared" si="573"/>
        <v>1500</v>
      </c>
      <c r="G327" s="76">
        <f t="shared" si="573"/>
        <v>1500</v>
      </c>
      <c r="H327" s="76">
        <f t="shared" si="573"/>
        <v>0</v>
      </c>
      <c r="I327" s="330">
        <f t="shared" si="573"/>
        <v>700</v>
      </c>
      <c r="J327" s="76">
        <f t="shared" si="573"/>
        <v>700</v>
      </c>
      <c r="K327" s="72">
        <f t="shared" si="513"/>
        <v>0</v>
      </c>
      <c r="L327" s="72">
        <f t="shared" si="514"/>
        <v>700</v>
      </c>
      <c r="M327" s="76">
        <f t="shared" ref="M327" si="574">M328+M329+M330</f>
        <v>189</v>
      </c>
      <c r="N327" s="76">
        <f t="shared" ref="N327" si="575">N328+N329+N330</f>
        <v>175</v>
      </c>
      <c r="O327" s="76">
        <f t="shared" ref="O327:P327" si="576">O328+O329+O330</f>
        <v>175</v>
      </c>
      <c r="P327" s="76">
        <f t="shared" si="576"/>
        <v>161</v>
      </c>
      <c r="Q327" s="76">
        <f t="shared" si="573"/>
        <v>12340</v>
      </c>
      <c r="R327" s="76">
        <f t="shared" si="573"/>
        <v>10682</v>
      </c>
      <c r="S327" s="76">
        <f t="shared" si="573"/>
        <v>9999</v>
      </c>
      <c r="T327" s="3"/>
    </row>
    <row r="328" spans="1:20" ht="17.25" customHeight="1">
      <c r="A328" s="41"/>
      <c r="B328" s="28" t="s">
        <v>500</v>
      </c>
      <c r="C328" s="19" t="s">
        <v>501</v>
      </c>
      <c r="D328" s="75">
        <v>195</v>
      </c>
      <c r="E328" s="75"/>
      <c r="F328" s="75">
        <v>195</v>
      </c>
      <c r="G328" s="75">
        <v>195</v>
      </c>
      <c r="H328" s="75"/>
      <c r="I328" s="329">
        <v>91</v>
      </c>
      <c r="J328" s="75">
        <v>91</v>
      </c>
      <c r="K328" s="72">
        <f t="shared" si="513"/>
        <v>0</v>
      </c>
      <c r="L328" s="72">
        <f t="shared" si="514"/>
        <v>91</v>
      </c>
      <c r="M328" s="75">
        <v>25</v>
      </c>
      <c r="N328" s="75">
        <v>25</v>
      </c>
      <c r="O328" s="75">
        <v>25</v>
      </c>
      <c r="P328" s="75">
        <v>16</v>
      </c>
      <c r="Q328" s="73"/>
      <c r="R328" s="73"/>
      <c r="S328" s="73"/>
      <c r="T328" s="3"/>
    </row>
    <row r="329" spans="1:20" ht="17.25" customHeight="1">
      <c r="A329" s="41"/>
      <c r="B329" s="28" t="s">
        <v>502</v>
      </c>
      <c r="C329" s="19" t="s">
        <v>464</v>
      </c>
      <c r="D329" s="75">
        <v>1275</v>
      </c>
      <c r="E329" s="75"/>
      <c r="F329" s="75">
        <v>1275</v>
      </c>
      <c r="G329" s="75">
        <v>1275</v>
      </c>
      <c r="H329" s="75">
        <v>0</v>
      </c>
      <c r="I329" s="329">
        <v>595</v>
      </c>
      <c r="J329" s="75">
        <v>595</v>
      </c>
      <c r="K329" s="72">
        <f t="shared" si="513"/>
        <v>0</v>
      </c>
      <c r="L329" s="72">
        <f t="shared" si="514"/>
        <v>595</v>
      </c>
      <c r="M329" s="75">
        <v>150</v>
      </c>
      <c r="N329" s="75">
        <v>150</v>
      </c>
      <c r="O329" s="75">
        <v>150</v>
      </c>
      <c r="P329" s="75">
        <v>145</v>
      </c>
      <c r="Q329" s="73">
        <v>12340</v>
      </c>
      <c r="R329" s="73">
        <v>10682</v>
      </c>
      <c r="S329" s="73">
        <v>9999</v>
      </c>
      <c r="T329" s="3"/>
    </row>
    <row r="330" spans="1:20" ht="17.25" customHeight="1">
      <c r="A330" s="41"/>
      <c r="B330" s="28" t="s">
        <v>503</v>
      </c>
      <c r="C330" s="19" t="s">
        <v>465</v>
      </c>
      <c r="D330" s="75">
        <v>30</v>
      </c>
      <c r="E330" s="75"/>
      <c r="F330" s="75">
        <v>30</v>
      </c>
      <c r="G330" s="75">
        <v>30</v>
      </c>
      <c r="H330" s="75"/>
      <c r="I330" s="329">
        <v>14</v>
      </c>
      <c r="J330" s="75">
        <v>14</v>
      </c>
      <c r="K330" s="72">
        <f t="shared" si="513"/>
        <v>0</v>
      </c>
      <c r="L330" s="72">
        <f t="shared" si="514"/>
        <v>14</v>
      </c>
      <c r="M330" s="75">
        <v>14</v>
      </c>
      <c r="N330" s="75"/>
      <c r="O330" s="75"/>
      <c r="P330" s="75"/>
      <c r="Q330" s="73"/>
      <c r="R330" s="73"/>
      <c r="S330" s="73"/>
      <c r="T330" s="3"/>
    </row>
    <row r="331" spans="1:20" ht="1.5" hidden="1" customHeight="1">
      <c r="A331" s="41"/>
      <c r="B331" s="56" t="s">
        <v>505</v>
      </c>
      <c r="C331" s="101"/>
      <c r="D331" s="134">
        <f t="shared" ref="D331:S332" si="577">D332</f>
        <v>534</v>
      </c>
      <c r="E331" s="134">
        <f t="shared" si="577"/>
        <v>71</v>
      </c>
      <c r="F331" s="134">
        <f t="shared" si="577"/>
        <v>534</v>
      </c>
      <c r="G331" s="134">
        <f t="shared" si="577"/>
        <v>534</v>
      </c>
      <c r="H331" s="134">
        <f t="shared" si="577"/>
        <v>534</v>
      </c>
      <c r="I331" s="347">
        <f t="shared" si="577"/>
        <v>0</v>
      </c>
      <c r="J331" s="134">
        <f t="shared" si="577"/>
        <v>0</v>
      </c>
      <c r="K331" s="72">
        <f t="shared" si="513"/>
        <v>0</v>
      </c>
      <c r="L331" s="72">
        <f t="shared" si="514"/>
        <v>0</v>
      </c>
      <c r="M331" s="134">
        <f t="shared" si="577"/>
        <v>0</v>
      </c>
      <c r="N331" s="134">
        <f t="shared" si="577"/>
        <v>0</v>
      </c>
      <c r="O331" s="134">
        <f t="shared" si="577"/>
        <v>0</v>
      </c>
      <c r="P331" s="134">
        <f t="shared" si="577"/>
        <v>0</v>
      </c>
      <c r="Q331" s="134">
        <f t="shared" si="577"/>
        <v>0</v>
      </c>
      <c r="R331" s="134">
        <f t="shared" si="577"/>
        <v>0</v>
      </c>
      <c r="S331" s="134">
        <f t="shared" si="577"/>
        <v>0</v>
      </c>
      <c r="T331" s="3"/>
    </row>
    <row r="332" spans="1:20" ht="17.25" hidden="1" customHeight="1">
      <c r="A332" s="41"/>
      <c r="B332" s="40" t="s">
        <v>172</v>
      </c>
      <c r="C332" s="19"/>
      <c r="D332" s="81">
        <f t="shared" si="577"/>
        <v>534</v>
      </c>
      <c r="E332" s="81">
        <f t="shared" si="577"/>
        <v>71</v>
      </c>
      <c r="F332" s="81">
        <f t="shared" si="577"/>
        <v>534</v>
      </c>
      <c r="G332" s="81">
        <f t="shared" si="577"/>
        <v>534</v>
      </c>
      <c r="H332" s="81">
        <f t="shared" si="577"/>
        <v>534</v>
      </c>
      <c r="I332" s="339">
        <f t="shared" si="577"/>
        <v>0</v>
      </c>
      <c r="J332" s="81">
        <f t="shared" si="577"/>
        <v>0</v>
      </c>
      <c r="K332" s="72">
        <f t="shared" ref="K332:K395" si="578">J332-L332</f>
        <v>0</v>
      </c>
      <c r="L332" s="72">
        <f t="shared" ref="L332:L395" si="579">M332+N332+O332+P332</f>
        <v>0</v>
      </c>
      <c r="M332" s="81">
        <f t="shared" si="577"/>
        <v>0</v>
      </c>
      <c r="N332" s="81">
        <f t="shared" si="577"/>
        <v>0</v>
      </c>
      <c r="O332" s="81">
        <f t="shared" si="577"/>
        <v>0</v>
      </c>
      <c r="P332" s="81">
        <f t="shared" si="577"/>
        <v>0</v>
      </c>
      <c r="Q332" s="81">
        <f t="shared" si="577"/>
        <v>0</v>
      </c>
      <c r="R332" s="81">
        <f t="shared" si="577"/>
        <v>0</v>
      </c>
      <c r="S332" s="81">
        <f t="shared" si="577"/>
        <v>0</v>
      </c>
      <c r="T332" s="3"/>
    </row>
    <row r="333" spans="1:20" ht="28.5" hidden="1" customHeight="1">
      <c r="A333" s="41"/>
      <c r="B333" s="39" t="s">
        <v>462</v>
      </c>
      <c r="C333" s="19">
        <v>58</v>
      </c>
      <c r="D333" s="81">
        <f t="shared" ref="D333:S333" si="580">D334+D335+D336</f>
        <v>534</v>
      </c>
      <c r="E333" s="81">
        <f t="shared" si="580"/>
        <v>71</v>
      </c>
      <c r="F333" s="81">
        <f t="shared" si="580"/>
        <v>534</v>
      </c>
      <c r="G333" s="81">
        <f t="shared" si="580"/>
        <v>534</v>
      </c>
      <c r="H333" s="81">
        <f t="shared" si="580"/>
        <v>534</v>
      </c>
      <c r="I333" s="339">
        <f t="shared" si="580"/>
        <v>0</v>
      </c>
      <c r="J333" s="81">
        <f t="shared" si="580"/>
        <v>0</v>
      </c>
      <c r="K333" s="72">
        <f t="shared" si="578"/>
        <v>0</v>
      </c>
      <c r="L333" s="72">
        <f t="shared" si="579"/>
        <v>0</v>
      </c>
      <c r="M333" s="81">
        <f t="shared" ref="M333" si="581">M334+M335+M336</f>
        <v>0</v>
      </c>
      <c r="N333" s="81">
        <f t="shared" ref="N333" si="582">N334+N335+N336</f>
        <v>0</v>
      </c>
      <c r="O333" s="81">
        <f t="shared" ref="O333:P333" si="583">O334+O335+O336</f>
        <v>0</v>
      </c>
      <c r="P333" s="81">
        <f t="shared" si="583"/>
        <v>0</v>
      </c>
      <c r="Q333" s="81">
        <f t="shared" si="580"/>
        <v>0</v>
      </c>
      <c r="R333" s="81">
        <f t="shared" si="580"/>
        <v>0</v>
      </c>
      <c r="S333" s="81">
        <f t="shared" si="580"/>
        <v>0</v>
      </c>
      <c r="T333" s="3"/>
    </row>
    <row r="334" spans="1:20" ht="17.25" hidden="1" customHeight="1">
      <c r="A334" s="41"/>
      <c r="B334" s="28" t="s">
        <v>500</v>
      </c>
      <c r="C334" s="19" t="s">
        <v>512</v>
      </c>
      <c r="D334" s="75">
        <v>69</v>
      </c>
      <c r="E334" s="75"/>
      <c r="F334" s="136">
        <v>69</v>
      </c>
      <c r="G334" s="136">
        <v>69</v>
      </c>
      <c r="H334" s="136">
        <v>69</v>
      </c>
      <c r="I334" s="335"/>
      <c r="J334" s="136"/>
      <c r="K334" s="72">
        <f t="shared" si="578"/>
        <v>0</v>
      </c>
      <c r="L334" s="72">
        <f t="shared" si="579"/>
        <v>0</v>
      </c>
      <c r="M334" s="136"/>
      <c r="N334" s="136"/>
      <c r="O334" s="136"/>
      <c r="P334" s="136"/>
      <c r="Q334" s="73"/>
      <c r="R334" s="73"/>
      <c r="S334" s="73"/>
      <c r="T334" s="3"/>
    </row>
    <row r="335" spans="1:20" ht="17.25" hidden="1" customHeight="1">
      <c r="A335" s="41"/>
      <c r="B335" s="28" t="s">
        <v>502</v>
      </c>
      <c r="C335" s="19" t="s">
        <v>513</v>
      </c>
      <c r="D335" s="75">
        <v>454</v>
      </c>
      <c r="E335" s="75">
        <v>71</v>
      </c>
      <c r="F335" s="136">
        <v>454</v>
      </c>
      <c r="G335" s="136">
        <v>454</v>
      </c>
      <c r="H335" s="136">
        <v>454</v>
      </c>
      <c r="I335" s="335"/>
      <c r="J335" s="136"/>
      <c r="K335" s="72">
        <f t="shared" si="578"/>
        <v>0</v>
      </c>
      <c r="L335" s="72">
        <f t="shared" si="579"/>
        <v>0</v>
      </c>
      <c r="M335" s="136"/>
      <c r="N335" s="136"/>
      <c r="O335" s="136"/>
      <c r="P335" s="136"/>
      <c r="Q335" s="73"/>
      <c r="R335" s="73"/>
      <c r="S335" s="73"/>
      <c r="T335" s="3"/>
    </row>
    <row r="336" spans="1:20" ht="17.25" hidden="1" customHeight="1">
      <c r="A336" s="41"/>
      <c r="B336" s="28" t="s">
        <v>503</v>
      </c>
      <c r="C336" s="19" t="s">
        <v>514</v>
      </c>
      <c r="D336" s="75">
        <v>11</v>
      </c>
      <c r="E336" s="75"/>
      <c r="F336" s="136">
        <v>11</v>
      </c>
      <c r="G336" s="136">
        <v>11</v>
      </c>
      <c r="H336" s="136">
        <v>11</v>
      </c>
      <c r="I336" s="335"/>
      <c r="J336" s="136"/>
      <c r="K336" s="72">
        <f t="shared" si="578"/>
        <v>0</v>
      </c>
      <c r="L336" s="72">
        <f t="shared" si="579"/>
        <v>0</v>
      </c>
      <c r="M336" s="136"/>
      <c r="N336" s="136"/>
      <c r="O336" s="136"/>
      <c r="P336" s="136"/>
      <c r="Q336" s="73"/>
      <c r="R336" s="73"/>
      <c r="S336" s="73"/>
      <c r="T336" s="3"/>
    </row>
    <row r="337" spans="1:20" ht="59.25" hidden="1" customHeight="1">
      <c r="A337" s="41"/>
      <c r="B337" s="56" t="s">
        <v>528</v>
      </c>
      <c r="C337" s="101"/>
      <c r="D337" s="86">
        <f t="shared" ref="D337:S338" si="584">D338</f>
        <v>127</v>
      </c>
      <c r="E337" s="86">
        <f t="shared" si="584"/>
        <v>0</v>
      </c>
      <c r="F337" s="86">
        <f t="shared" si="584"/>
        <v>127</v>
      </c>
      <c r="G337" s="86">
        <f t="shared" si="584"/>
        <v>127</v>
      </c>
      <c r="H337" s="86">
        <f t="shared" si="584"/>
        <v>127</v>
      </c>
      <c r="I337" s="345">
        <f t="shared" si="584"/>
        <v>0</v>
      </c>
      <c r="J337" s="86">
        <f t="shared" si="584"/>
        <v>0</v>
      </c>
      <c r="K337" s="72">
        <f t="shared" si="578"/>
        <v>0</v>
      </c>
      <c r="L337" s="72">
        <f t="shared" si="579"/>
        <v>0</v>
      </c>
      <c r="M337" s="86">
        <f t="shared" si="584"/>
        <v>0</v>
      </c>
      <c r="N337" s="86">
        <f t="shared" si="584"/>
        <v>0</v>
      </c>
      <c r="O337" s="86">
        <f t="shared" si="584"/>
        <v>0</v>
      </c>
      <c r="P337" s="86">
        <f t="shared" si="584"/>
        <v>0</v>
      </c>
      <c r="Q337" s="86">
        <f t="shared" si="584"/>
        <v>0</v>
      </c>
      <c r="R337" s="86">
        <f t="shared" si="584"/>
        <v>0</v>
      </c>
      <c r="S337" s="86">
        <f t="shared" si="584"/>
        <v>0</v>
      </c>
      <c r="T337" s="3"/>
    </row>
    <row r="338" spans="1:20" ht="23.25" hidden="1" customHeight="1">
      <c r="A338" s="41"/>
      <c r="B338" s="40" t="s">
        <v>172</v>
      </c>
      <c r="C338" s="141"/>
      <c r="D338" s="75">
        <f t="shared" si="584"/>
        <v>127</v>
      </c>
      <c r="E338" s="75">
        <f t="shared" si="584"/>
        <v>0</v>
      </c>
      <c r="F338" s="75">
        <f t="shared" si="584"/>
        <v>127</v>
      </c>
      <c r="G338" s="75">
        <f t="shared" si="584"/>
        <v>127</v>
      </c>
      <c r="H338" s="75">
        <f t="shared" si="584"/>
        <v>127</v>
      </c>
      <c r="I338" s="329">
        <f t="shared" si="584"/>
        <v>0</v>
      </c>
      <c r="J338" s="75">
        <f t="shared" si="584"/>
        <v>0</v>
      </c>
      <c r="K338" s="72">
        <f t="shared" si="578"/>
        <v>0</v>
      </c>
      <c r="L338" s="72">
        <f t="shared" si="579"/>
        <v>0</v>
      </c>
      <c r="M338" s="75">
        <f t="shared" si="584"/>
        <v>0</v>
      </c>
      <c r="N338" s="75">
        <f t="shared" si="584"/>
        <v>0</v>
      </c>
      <c r="O338" s="75">
        <f t="shared" si="584"/>
        <v>0</v>
      </c>
      <c r="P338" s="75">
        <f t="shared" si="584"/>
        <v>0</v>
      </c>
      <c r="Q338" s="75">
        <f t="shared" si="584"/>
        <v>0</v>
      </c>
      <c r="R338" s="75">
        <f t="shared" si="584"/>
        <v>0</v>
      </c>
      <c r="S338" s="75">
        <f t="shared" si="584"/>
        <v>0</v>
      </c>
      <c r="T338" s="3"/>
    </row>
    <row r="339" spans="1:20" ht="3.75" hidden="1" customHeight="1">
      <c r="A339" s="41"/>
      <c r="B339" s="39" t="s">
        <v>462</v>
      </c>
      <c r="C339" s="19">
        <v>58</v>
      </c>
      <c r="D339" s="73">
        <f t="shared" ref="D339:S339" si="585">D340+D341+D342</f>
        <v>127</v>
      </c>
      <c r="E339" s="73">
        <f t="shared" si="585"/>
        <v>0</v>
      </c>
      <c r="F339" s="73">
        <f t="shared" si="585"/>
        <v>127</v>
      </c>
      <c r="G339" s="73">
        <f t="shared" si="585"/>
        <v>127</v>
      </c>
      <c r="H339" s="73">
        <f t="shared" si="585"/>
        <v>127</v>
      </c>
      <c r="I339" s="202">
        <f t="shared" si="585"/>
        <v>0</v>
      </c>
      <c r="J339" s="73">
        <f t="shared" si="585"/>
        <v>0</v>
      </c>
      <c r="K339" s="72">
        <f t="shared" si="578"/>
        <v>0</v>
      </c>
      <c r="L339" s="72">
        <f t="shared" si="579"/>
        <v>0</v>
      </c>
      <c r="M339" s="73">
        <f t="shared" ref="M339" si="586">M340+M341+M342</f>
        <v>0</v>
      </c>
      <c r="N339" s="73">
        <f t="shared" ref="N339" si="587">N340+N341+N342</f>
        <v>0</v>
      </c>
      <c r="O339" s="73">
        <f t="shared" ref="O339:P339" si="588">O340+O341+O342</f>
        <v>0</v>
      </c>
      <c r="P339" s="73">
        <f t="shared" si="588"/>
        <v>0</v>
      </c>
      <c r="Q339" s="73">
        <f t="shared" si="585"/>
        <v>0</v>
      </c>
      <c r="R339" s="73">
        <f t="shared" si="585"/>
        <v>0</v>
      </c>
      <c r="S339" s="73">
        <f t="shared" si="585"/>
        <v>0</v>
      </c>
      <c r="T339" s="3"/>
    </row>
    <row r="340" spans="1:20" ht="17.25" hidden="1" customHeight="1">
      <c r="A340" s="41"/>
      <c r="B340" s="28" t="s">
        <v>500</v>
      </c>
      <c r="C340" s="19" t="s">
        <v>501</v>
      </c>
      <c r="D340" s="75">
        <v>35</v>
      </c>
      <c r="E340" s="75"/>
      <c r="F340" s="136">
        <v>35</v>
      </c>
      <c r="G340" s="136">
        <v>35</v>
      </c>
      <c r="H340" s="136">
        <v>35</v>
      </c>
      <c r="I340" s="335"/>
      <c r="J340" s="136"/>
      <c r="K340" s="72">
        <f t="shared" si="578"/>
        <v>0</v>
      </c>
      <c r="L340" s="72">
        <f t="shared" si="579"/>
        <v>0</v>
      </c>
      <c r="M340" s="136"/>
      <c r="N340" s="136"/>
      <c r="O340" s="136"/>
      <c r="P340" s="136"/>
      <c r="Q340" s="73"/>
      <c r="R340" s="73"/>
      <c r="S340" s="73"/>
      <c r="T340" s="3"/>
    </row>
    <row r="341" spans="1:20" ht="17.25" hidden="1" customHeight="1">
      <c r="A341" s="41"/>
      <c r="B341" s="28" t="s">
        <v>502</v>
      </c>
      <c r="C341" s="19" t="s">
        <v>464</v>
      </c>
      <c r="D341" s="75">
        <v>89</v>
      </c>
      <c r="E341" s="75"/>
      <c r="F341" s="136">
        <v>89</v>
      </c>
      <c r="G341" s="136">
        <v>89</v>
      </c>
      <c r="H341" s="136">
        <v>89</v>
      </c>
      <c r="I341" s="335"/>
      <c r="J341" s="136"/>
      <c r="K341" s="72">
        <f t="shared" si="578"/>
        <v>0</v>
      </c>
      <c r="L341" s="72">
        <f t="shared" si="579"/>
        <v>0</v>
      </c>
      <c r="M341" s="136"/>
      <c r="N341" s="136"/>
      <c r="O341" s="136"/>
      <c r="P341" s="136"/>
      <c r="Q341" s="73"/>
      <c r="R341" s="73"/>
      <c r="S341" s="73"/>
      <c r="T341" s="3"/>
    </row>
    <row r="342" spans="1:20" ht="17.25" hidden="1" customHeight="1">
      <c r="A342" s="41"/>
      <c r="B342" s="28" t="s">
        <v>503</v>
      </c>
      <c r="C342" s="19" t="s">
        <v>465</v>
      </c>
      <c r="D342" s="75">
        <v>3</v>
      </c>
      <c r="E342" s="75"/>
      <c r="F342" s="136">
        <v>3</v>
      </c>
      <c r="G342" s="136">
        <v>3</v>
      </c>
      <c r="H342" s="136">
        <v>3</v>
      </c>
      <c r="I342" s="335"/>
      <c r="J342" s="136"/>
      <c r="K342" s="72">
        <f t="shared" si="578"/>
        <v>0</v>
      </c>
      <c r="L342" s="72">
        <f t="shared" si="579"/>
        <v>0</v>
      </c>
      <c r="M342" s="136"/>
      <c r="N342" s="136"/>
      <c r="O342" s="136"/>
      <c r="P342" s="136"/>
      <c r="Q342" s="73"/>
      <c r="R342" s="73"/>
      <c r="S342" s="73"/>
      <c r="T342" s="3"/>
    </row>
    <row r="343" spans="1:20" ht="44.25" hidden="1" customHeight="1">
      <c r="A343" s="41"/>
      <c r="B343" s="56" t="s">
        <v>527</v>
      </c>
      <c r="C343" s="101"/>
      <c r="D343" s="86">
        <f t="shared" ref="D343:S344" si="589">D344</f>
        <v>104</v>
      </c>
      <c r="E343" s="86">
        <f t="shared" si="589"/>
        <v>0</v>
      </c>
      <c r="F343" s="86">
        <f t="shared" si="589"/>
        <v>104</v>
      </c>
      <c r="G343" s="86">
        <f t="shared" si="589"/>
        <v>104</v>
      </c>
      <c r="H343" s="86">
        <f t="shared" si="589"/>
        <v>104</v>
      </c>
      <c r="I343" s="345">
        <f t="shared" si="589"/>
        <v>0</v>
      </c>
      <c r="J343" s="86">
        <f t="shared" si="589"/>
        <v>0</v>
      </c>
      <c r="K343" s="72">
        <f t="shared" si="578"/>
        <v>0</v>
      </c>
      <c r="L343" s="72">
        <f t="shared" si="579"/>
        <v>0</v>
      </c>
      <c r="M343" s="86">
        <f t="shared" si="589"/>
        <v>0</v>
      </c>
      <c r="N343" s="86">
        <f t="shared" si="589"/>
        <v>0</v>
      </c>
      <c r="O343" s="86">
        <f t="shared" si="589"/>
        <v>0</v>
      </c>
      <c r="P343" s="86">
        <f t="shared" si="589"/>
        <v>0</v>
      </c>
      <c r="Q343" s="86">
        <f t="shared" si="589"/>
        <v>0</v>
      </c>
      <c r="R343" s="86">
        <f t="shared" si="589"/>
        <v>0</v>
      </c>
      <c r="S343" s="86">
        <f t="shared" si="589"/>
        <v>0</v>
      </c>
      <c r="T343" s="3"/>
    </row>
    <row r="344" spans="1:20" ht="24.75" hidden="1" customHeight="1">
      <c r="A344" s="142"/>
      <c r="B344" s="40" t="s">
        <v>172</v>
      </c>
      <c r="C344" s="141"/>
      <c r="D344" s="75">
        <f t="shared" si="589"/>
        <v>104</v>
      </c>
      <c r="E344" s="75">
        <f t="shared" si="589"/>
        <v>0</v>
      </c>
      <c r="F344" s="75">
        <f t="shared" si="589"/>
        <v>104</v>
      </c>
      <c r="G344" s="75">
        <f t="shared" si="589"/>
        <v>104</v>
      </c>
      <c r="H344" s="75">
        <f t="shared" si="589"/>
        <v>104</v>
      </c>
      <c r="I344" s="329">
        <f t="shared" si="589"/>
        <v>0</v>
      </c>
      <c r="J344" s="75">
        <f t="shared" si="589"/>
        <v>0</v>
      </c>
      <c r="K344" s="72">
        <f t="shared" si="578"/>
        <v>0</v>
      </c>
      <c r="L344" s="72">
        <f t="shared" si="579"/>
        <v>0</v>
      </c>
      <c r="M344" s="75">
        <f t="shared" si="589"/>
        <v>0</v>
      </c>
      <c r="N344" s="75">
        <f t="shared" si="589"/>
        <v>0</v>
      </c>
      <c r="O344" s="75">
        <f t="shared" si="589"/>
        <v>0</v>
      </c>
      <c r="P344" s="75">
        <f t="shared" si="589"/>
        <v>0</v>
      </c>
      <c r="Q344" s="75">
        <f t="shared" si="589"/>
        <v>0</v>
      </c>
      <c r="R344" s="75">
        <f t="shared" si="589"/>
        <v>0</v>
      </c>
      <c r="S344" s="75">
        <f t="shared" si="589"/>
        <v>0</v>
      </c>
      <c r="T344" s="3"/>
    </row>
    <row r="345" spans="1:20" ht="28.5" hidden="1" customHeight="1">
      <c r="A345" s="41"/>
      <c r="B345" s="39" t="s">
        <v>462</v>
      </c>
      <c r="C345" s="19">
        <v>58</v>
      </c>
      <c r="D345" s="73">
        <f t="shared" ref="D345:S345" si="590">D346+D347+D348</f>
        <v>104</v>
      </c>
      <c r="E345" s="73">
        <f t="shared" si="590"/>
        <v>0</v>
      </c>
      <c r="F345" s="73">
        <f t="shared" si="590"/>
        <v>104</v>
      </c>
      <c r="G345" s="73">
        <f t="shared" si="590"/>
        <v>104</v>
      </c>
      <c r="H345" s="73">
        <f t="shared" si="590"/>
        <v>104</v>
      </c>
      <c r="I345" s="202">
        <f t="shared" si="590"/>
        <v>0</v>
      </c>
      <c r="J345" s="73">
        <f t="shared" si="590"/>
        <v>0</v>
      </c>
      <c r="K345" s="72">
        <f t="shared" si="578"/>
        <v>0</v>
      </c>
      <c r="L345" s="72">
        <f t="shared" si="579"/>
        <v>0</v>
      </c>
      <c r="M345" s="73">
        <f t="shared" ref="M345" si="591">M346+M347+M348</f>
        <v>0</v>
      </c>
      <c r="N345" s="73">
        <f t="shared" ref="N345" si="592">N346+N347+N348</f>
        <v>0</v>
      </c>
      <c r="O345" s="73">
        <f t="shared" ref="O345:P345" si="593">O346+O347+O348</f>
        <v>0</v>
      </c>
      <c r="P345" s="73">
        <f t="shared" si="593"/>
        <v>0</v>
      </c>
      <c r="Q345" s="73">
        <f t="shared" si="590"/>
        <v>0</v>
      </c>
      <c r="R345" s="73">
        <f t="shared" si="590"/>
        <v>0</v>
      </c>
      <c r="S345" s="73">
        <f t="shared" si="590"/>
        <v>0</v>
      </c>
      <c r="T345" s="3"/>
    </row>
    <row r="346" spans="1:20" ht="17.25" hidden="1" customHeight="1">
      <c r="A346" s="41"/>
      <c r="B346" s="28" t="s">
        <v>500</v>
      </c>
      <c r="C346" s="19" t="s">
        <v>501</v>
      </c>
      <c r="D346" s="75">
        <v>29</v>
      </c>
      <c r="E346" s="75"/>
      <c r="F346" s="136">
        <v>29</v>
      </c>
      <c r="G346" s="136">
        <v>29</v>
      </c>
      <c r="H346" s="136">
        <v>29</v>
      </c>
      <c r="I346" s="335"/>
      <c r="J346" s="136"/>
      <c r="K346" s="72">
        <f t="shared" si="578"/>
        <v>0</v>
      </c>
      <c r="L346" s="72">
        <f t="shared" si="579"/>
        <v>0</v>
      </c>
      <c r="M346" s="136"/>
      <c r="N346" s="136"/>
      <c r="O346" s="136"/>
      <c r="P346" s="136"/>
      <c r="Q346" s="73"/>
      <c r="R346" s="73"/>
      <c r="S346" s="73"/>
      <c r="T346" s="3"/>
    </row>
    <row r="347" spans="1:20" ht="17.25" hidden="1" customHeight="1">
      <c r="A347" s="41"/>
      <c r="B347" s="28" t="s">
        <v>502</v>
      </c>
      <c r="C347" s="19" t="s">
        <v>464</v>
      </c>
      <c r="D347" s="75">
        <v>73</v>
      </c>
      <c r="E347" s="75"/>
      <c r="F347" s="136">
        <v>73</v>
      </c>
      <c r="G347" s="136">
        <v>73</v>
      </c>
      <c r="H347" s="136">
        <v>73</v>
      </c>
      <c r="I347" s="335"/>
      <c r="J347" s="136"/>
      <c r="K347" s="72">
        <f t="shared" si="578"/>
        <v>0</v>
      </c>
      <c r="L347" s="72">
        <f t="shared" si="579"/>
        <v>0</v>
      </c>
      <c r="M347" s="136"/>
      <c r="N347" s="136"/>
      <c r="O347" s="136"/>
      <c r="P347" s="136"/>
      <c r="Q347" s="73"/>
      <c r="R347" s="73"/>
      <c r="S347" s="73"/>
      <c r="T347" s="3"/>
    </row>
    <row r="348" spans="1:20" ht="17.25" hidden="1" customHeight="1">
      <c r="A348" s="41"/>
      <c r="B348" s="28" t="s">
        <v>503</v>
      </c>
      <c r="C348" s="19" t="s">
        <v>465</v>
      </c>
      <c r="D348" s="75">
        <v>2</v>
      </c>
      <c r="E348" s="75"/>
      <c r="F348" s="136">
        <v>2</v>
      </c>
      <c r="G348" s="136">
        <v>2</v>
      </c>
      <c r="H348" s="136">
        <v>2</v>
      </c>
      <c r="I348" s="335"/>
      <c r="J348" s="136"/>
      <c r="K348" s="72">
        <f t="shared" si="578"/>
        <v>0</v>
      </c>
      <c r="L348" s="72">
        <f t="shared" si="579"/>
        <v>0</v>
      </c>
      <c r="M348" s="136"/>
      <c r="N348" s="136"/>
      <c r="O348" s="136"/>
      <c r="P348" s="136"/>
      <c r="Q348" s="73"/>
      <c r="R348" s="73"/>
      <c r="S348" s="73"/>
      <c r="T348" s="3"/>
    </row>
    <row r="349" spans="1:20" ht="35.25" customHeight="1">
      <c r="A349" s="41"/>
      <c r="B349" s="149" t="s">
        <v>540</v>
      </c>
      <c r="C349" s="124"/>
      <c r="D349" s="125">
        <f t="shared" ref="D349:S350" si="594">D350</f>
        <v>200</v>
      </c>
      <c r="E349" s="125">
        <f t="shared" si="594"/>
        <v>0</v>
      </c>
      <c r="F349" s="125">
        <f t="shared" si="594"/>
        <v>200</v>
      </c>
      <c r="G349" s="125">
        <f t="shared" si="594"/>
        <v>200</v>
      </c>
      <c r="H349" s="125">
        <f t="shared" si="594"/>
        <v>3</v>
      </c>
      <c r="I349" s="344">
        <f t="shared" si="594"/>
        <v>2000</v>
      </c>
      <c r="J349" s="125">
        <f t="shared" si="594"/>
        <v>2000</v>
      </c>
      <c r="K349" s="72">
        <f t="shared" si="578"/>
        <v>0</v>
      </c>
      <c r="L349" s="72">
        <f t="shared" si="579"/>
        <v>2000</v>
      </c>
      <c r="M349" s="125">
        <f t="shared" si="594"/>
        <v>534</v>
      </c>
      <c r="N349" s="125">
        <f t="shared" si="594"/>
        <v>490</v>
      </c>
      <c r="O349" s="125">
        <f t="shared" si="594"/>
        <v>490</v>
      </c>
      <c r="P349" s="125">
        <f t="shared" si="594"/>
        <v>486</v>
      </c>
      <c r="Q349" s="125">
        <f t="shared" si="594"/>
        <v>1386</v>
      </c>
      <c r="R349" s="125">
        <f t="shared" si="594"/>
        <v>0</v>
      </c>
      <c r="S349" s="125">
        <f t="shared" si="594"/>
        <v>0</v>
      </c>
      <c r="T349" s="3"/>
    </row>
    <row r="350" spans="1:20" ht="17.25" customHeight="1">
      <c r="A350" s="41"/>
      <c r="B350" s="40" t="s">
        <v>172</v>
      </c>
      <c r="C350" s="19"/>
      <c r="D350" s="73">
        <f t="shared" si="594"/>
        <v>200</v>
      </c>
      <c r="E350" s="73">
        <f t="shared" si="594"/>
        <v>0</v>
      </c>
      <c r="F350" s="73">
        <f t="shared" si="594"/>
        <v>200</v>
      </c>
      <c r="G350" s="73">
        <f t="shared" si="594"/>
        <v>200</v>
      </c>
      <c r="H350" s="73">
        <f t="shared" si="594"/>
        <v>3</v>
      </c>
      <c r="I350" s="202">
        <f t="shared" si="594"/>
        <v>2000</v>
      </c>
      <c r="J350" s="73">
        <f t="shared" si="594"/>
        <v>2000</v>
      </c>
      <c r="K350" s="72">
        <f t="shared" si="578"/>
        <v>0</v>
      </c>
      <c r="L350" s="72">
        <f t="shared" si="579"/>
        <v>2000</v>
      </c>
      <c r="M350" s="73">
        <f t="shared" si="594"/>
        <v>534</v>
      </c>
      <c r="N350" s="73">
        <f t="shared" si="594"/>
        <v>490</v>
      </c>
      <c r="O350" s="73">
        <f t="shared" si="594"/>
        <v>490</v>
      </c>
      <c r="P350" s="73">
        <f t="shared" si="594"/>
        <v>486</v>
      </c>
      <c r="Q350" s="73">
        <f t="shared" si="594"/>
        <v>1386</v>
      </c>
      <c r="R350" s="73">
        <f t="shared" si="594"/>
        <v>0</v>
      </c>
      <c r="S350" s="73">
        <f t="shared" si="594"/>
        <v>0</v>
      </c>
      <c r="T350" s="3"/>
    </row>
    <row r="351" spans="1:20" ht="29.25" customHeight="1">
      <c r="A351" s="41"/>
      <c r="B351" s="39" t="s">
        <v>462</v>
      </c>
      <c r="C351" s="19">
        <v>58</v>
      </c>
      <c r="D351" s="73">
        <f t="shared" ref="D351:S351" si="595">D352+D353+D354</f>
        <v>200</v>
      </c>
      <c r="E351" s="73">
        <f t="shared" si="595"/>
        <v>0</v>
      </c>
      <c r="F351" s="73">
        <f t="shared" si="595"/>
        <v>200</v>
      </c>
      <c r="G351" s="73">
        <f t="shared" si="595"/>
        <v>200</v>
      </c>
      <c r="H351" s="73">
        <f t="shared" si="595"/>
        <v>3</v>
      </c>
      <c r="I351" s="202">
        <f t="shared" si="595"/>
        <v>2000</v>
      </c>
      <c r="J351" s="73">
        <f t="shared" si="595"/>
        <v>2000</v>
      </c>
      <c r="K351" s="72">
        <f t="shared" si="578"/>
        <v>0</v>
      </c>
      <c r="L351" s="72">
        <f t="shared" si="579"/>
        <v>2000</v>
      </c>
      <c r="M351" s="73">
        <f t="shared" ref="M351" si="596">M352+M353+M354</f>
        <v>534</v>
      </c>
      <c r="N351" s="73">
        <f t="shared" ref="N351" si="597">N352+N353+N354</f>
        <v>490</v>
      </c>
      <c r="O351" s="73">
        <f t="shared" ref="O351:P351" si="598">O352+O353+O354</f>
        <v>490</v>
      </c>
      <c r="P351" s="73">
        <f t="shared" si="598"/>
        <v>486</v>
      </c>
      <c r="Q351" s="73">
        <f t="shared" si="595"/>
        <v>1386</v>
      </c>
      <c r="R351" s="73">
        <f t="shared" si="595"/>
        <v>0</v>
      </c>
      <c r="S351" s="73">
        <f t="shared" si="595"/>
        <v>0</v>
      </c>
      <c r="T351" s="3"/>
    </row>
    <row r="352" spans="1:20" ht="17.25" customHeight="1">
      <c r="A352" s="41"/>
      <c r="B352" s="28" t="s">
        <v>500</v>
      </c>
      <c r="C352" s="19" t="s">
        <v>501</v>
      </c>
      <c r="D352" s="75">
        <v>26</v>
      </c>
      <c r="E352" s="75"/>
      <c r="F352" s="75">
        <v>26</v>
      </c>
      <c r="G352" s="75">
        <v>26</v>
      </c>
      <c r="H352" s="75"/>
      <c r="I352" s="329">
        <v>559</v>
      </c>
      <c r="J352" s="75">
        <v>559</v>
      </c>
      <c r="K352" s="72">
        <f t="shared" si="578"/>
        <v>0</v>
      </c>
      <c r="L352" s="72">
        <f t="shared" si="579"/>
        <v>559</v>
      </c>
      <c r="M352" s="75">
        <v>140</v>
      </c>
      <c r="N352" s="75">
        <v>140</v>
      </c>
      <c r="O352" s="75">
        <v>140</v>
      </c>
      <c r="P352" s="75">
        <v>139</v>
      </c>
      <c r="Q352" s="73"/>
      <c r="R352" s="73"/>
      <c r="S352" s="73"/>
      <c r="T352" s="3"/>
    </row>
    <row r="353" spans="1:20" ht="17.25" customHeight="1">
      <c r="A353" s="41"/>
      <c r="B353" s="28" t="s">
        <v>502</v>
      </c>
      <c r="C353" s="19" t="s">
        <v>464</v>
      </c>
      <c r="D353" s="75">
        <v>170</v>
      </c>
      <c r="E353" s="75"/>
      <c r="F353" s="75">
        <v>170</v>
      </c>
      <c r="G353" s="75">
        <v>170</v>
      </c>
      <c r="H353" s="75">
        <v>3</v>
      </c>
      <c r="I353" s="329">
        <v>1397</v>
      </c>
      <c r="J353" s="75">
        <v>1397</v>
      </c>
      <c r="K353" s="72">
        <f t="shared" si="578"/>
        <v>0</v>
      </c>
      <c r="L353" s="72">
        <f t="shared" si="579"/>
        <v>1397</v>
      </c>
      <c r="M353" s="75">
        <v>350</v>
      </c>
      <c r="N353" s="75">
        <v>350</v>
      </c>
      <c r="O353" s="75">
        <v>350</v>
      </c>
      <c r="P353" s="75">
        <v>347</v>
      </c>
      <c r="Q353" s="73">
        <v>1386</v>
      </c>
      <c r="R353" s="73">
        <v>0</v>
      </c>
      <c r="S353" s="73">
        <v>0</v>
      </c>
      <c r="T353" s="3"/>
    </row>
    <row r="354" spans="1:20" ht="17.25" customHeight="1">
      <c r="A354" s="41"/>
      <c r="B354" s="28" t="s">
        <v>503</v>
      </c>
      <c r="C354" s="19" t="s">
        <v>465</v>
      </c>
      <c r="D354" s="75">
        <v>4</v>
      </c>
      <c r="E354" s="75"/>
      <c r="F354" s="75">
        <v>4</v>
      </c>
      <c r="G354" s="75">
        <v>4</v>
      </c>
      <c r="H354" s="75"/>
      <c r="I354" s="329">
        <v>44</v>
      </c>
      <c r="J354" s="75">
        <v>44</v>
      </c>
      <c r="K354" s="72">
        <f t="shared" si="578"/>
        <v>0</v>
      </c>
      <c r="L354" s="72">
        <f t="shared" si="579"/>
        <v>44</v>
      </c>
      <c r="M354" s="75">
        <v>44</v>
      </c>
      <c r="N354" s="75"/>
      <c r="O354" s="75"/>
      <c r="P354" s="75"/>
      <c r="Q354" s="73"/>
      <c r="R354" s="73"/>
      <c r="S354" s="73"/>
      <c r="T354" s="3"/>
    </row>
    <row r="355" spans="1:20" ht="43.5" customHeight="1">
      <c r="A355" s="41"/>
      <c r="B355" s="149" t="s">
        <v>629</v>
      </c>
      <c r="C355" s="124"/>
      <c r="D355" s="86">
        <f>D356</f>
        <v>250</v>
      </c>
      <c r="E355" s="86">
        <f t="shared" ref="E355:S356" si="599">E356</f>
        <v>0</v>
      </c>
      <c r="F355" s="86">
        <f t="shared" si="599"/>
        <v>250</v>
      </c>
      <c r="G355" s="86">
        <f t="shared" si="599"/>
        <v>250</v>
      </c>
      <c r="H355" s="86">
        <f t="shared" si="599"/>
        <v>2</v>
      </c>
      <c r="I355" s="345">
        <f t="shared" si="599"/>
        <v>233</v>
      </c>
      <c r="J355" s="86">
        <f t="shared" si="599"/>
        <v>233</v>
      </c>
      <c r="K355" s="72">
        <f t="shared" si="578"/>
        <v>0</v>
      </c>
      <c r="L355" s="72">
        <f t="shared" si="579"/>
        <v>233</v>
      </c>
      <c r="M355" s="86">
        <f t="shared" si="599"/>
        <v>63</v>
      </c>
      <c r="N355" s="86">
        <f t="shared" si="599"/>
        <v>58</v>
      </c>
      <c r="O355" s="86">
        <f t="shared" si="599"/>
        <v>58</v>
      </c>
      <c r="P355" s="86">
        <f t="shared" si="599"/>
        <v>54</v>
      </c>
      <c r="Q355" s="86">
        <f t="shared" si="599"/>
        <v>4362</v>
      </c>
      <c r="R355" s="86">
        <f t="shared" si="599"/>
        <v>2181</v>
      </c>
      <c r="S355" s="86">
        <f t="shared" si="599"/>
        <v>3586</v>
      </c>
      <c r="T355" s="3"/>
    </row>
    <row r="356" spans="1:20" ht="17.25" customHeight="1">
      <c r="A356" s="41"/>
      <c r="B356" s="40" t="s">
        <v>172</v>
      </c>
      <c r="C356" s="19"/>
      <c r="D356" s="75">
        <f>D357</f>
        <v>250</v>
      </c>
      <c r="E356" s="75">
        <f t="shared" si="599"/>
        <v>0</v>
      </c>
      <c r="F356" s="75">
        <f t="shared" si="599"/>
        <v>250</v>
      </c>
      <c r="G356" s="75">
        <f t="shared" si="599"/>
        <v>250</v>
      </c>
      <c r="H356" s="75">
        <f t="shared" si="599"/>
        <v>2</v>
      </c>
      <c r="I356" s="329">
        <f t="shared" si="599"/>
        <v>233</v>
      </c>
      <c r="J356" s="75">
        <f t="shared" si="599"/>
        <v>233</v>
      </c>
      <c r="K356" s="72">
        <f t="shared" si="578"/>
        <v>0</v>
      </c>
      <c r="L356" s="72">
        <f t="shared" si="579"/>
        <v>233</v>
      </c>
      <c r="M356" s="75">
        <f t="shared" si="599"/>
        <v>63</v>
      </c>
      <c r="N356" s="75">
        <f t="shared" si="599"/>
        <v>58</v>
      </c>
      <c r="O356" s="75">
        <f t="shared" si="599"/>
        <v>58</v>
      </c>
      <c r="P356" s="75">
        <f t="shared" si="599"/>
        <v>54</v>
      </c>
      <c r="Q356" s="75">
        <f t="shared" si="599"/>
        <v>4362</v>
      </c>
      <c r="R356" s="75">
        <f t="shared" si="599"/>
        <v>2181</v>
      </c>
      <c r="S356" s="75">
        <f t="shared" si="599"/>
        <v>3586</v>
      </c>
      <c r="T356" s="3"/>
    </row>
    <row r="357" spans="1:20" ht="17.25" customHeight="1">
      <c r="A357" s="41"/>
      <c r="B357" s="39" t="s">
        <v>462</v>
      </c>
      <c r="C357" s="19">
        <v>58</v>
      </c>
      <c r="D357" s="75">
        <f t="shared" ref="D357:S357" si="600">D358+D359+D360</f>
        <v>250</v>
      </c>
      <c r="E357" s="75">
        <f t="shared" si="600"/>
        <v>0</v>
      </c>
      <c r="F357" s="75">
        <f t="shared" si="600"/>
        <v>250</v>
      </c>
      <c r="G357" s="75">
        <f t="shared" si="600"/>
        <v>250</v>
      </c>
      <c r="H357" s="75">
        <f t="shared" si="600"/>
        <v>2</v>
      </c>
      <c r="I357" s="329">
        <f t="shared" si="600"/>
        <v>233</v>
      </c>
      <c r="J357" s="75">
        <f t="shared" si="600"/>
        <v>233</v>
      </c>
      <c r="K357" s="72">
        <f t="shared" si="578"/>
        <v>0</v>
      </c>
      <c r="L357" s="72">
        <f t="shared" si="579"/>
        <v>233</v>
      </c>
      <c r="M357" s="75">
        <f t="shared" ref="M357" si="601">M358+M359+M360</f>
        <v>63</v>
      </c>
      <c r="N357" s="75">
        <f t="shared" ref="N357" si="602">N358+N359+N360</f>
        <v>58</v>
      </c>
      <c r="O357" s="75">
        <f t="shared" ref="O357:P357" si="603">O358+O359+O360</f>
        <v>58</v>
      </c>
      <c r="P357" s="75">
        <f t="shared" si="603"/>
        <v>54</v>
      </c>
      <c r="Q357" s="75">
        <f t="shared" si="600"/>
        <v>4362</v>
      </c>
      <c r="R357" s="75">
        <f t="shared" si="600"/>
        <v>2181</v>
      </c>
      <c r="S357" s="75">
        <f t="shared" si="600"/>
        <v>3586</v>
      </c>
      <c r="T357" s="3"/>
    </row>
    <row r="358" spans="1:20" ht="17.25" customHeight="1">
      <c r="A358" s="41"/>
      <c r="B358" s="28" t="s">
        <v>500</v>
      </c>
      <c r="C358" s="19" t="s">
        <v>501</v>
      </c>
      <c r="D358" s="75">
        <v>33</v>
      </c>
      <c r="E358" s="75"/>
      <c r="F358" s="75">
        <v>33</v>
      </c>
      <c r="G358" s="75">
        <v>33</v>
      </c>
      <c r="H358" s="75"/>
      <c r="I358" s="329">
        <v>65</v>
      </c>
      <c r="J358" s="75">
        <v>65</v>
      </c>
      <c r="K358" s="72">
        <f t="shared" si="578"/>
        <v>0</v>
      </c>
      <c r="L358" s="72">
        <f t="shared" si="579"/>
        <v>65</v>
      </c>
      <c r="M358" s="75">
        <v>17</v>
      </c>
      <c r="N358" s="75">
        <v>17</v>
      </c>
      <c r="O358" s="75">
        <v>17</v>
      </c>
      <c r="P358" s="75">
        <v>14</v>
      </c>
      <c r="Q358" s="73"/>
      <c r="R358" s="73"/>
      <c r="S358" s="73"/>
      <c r="T358" s="3"/>
    </row>
    <row r="359" spans="1:20" ht="17.25" customHeight="1">
      <c r="A359" s="41"/>
      <c r="B359" s="28" t="s">
        <v>502</v>
      </c>
      <c r="C359" s="19" t="s">
        <v>464</v>
      </c>
      <c r="D359" s="75">
        <v>213</v>
      </c>
      <c r="E359" s="75"/>
      <c r="F359" s="75">
        <v>213</v>
      </c>
      <c r="G359" s="75">
        <v>213</v>
      </c>
      <c r="H359" s="75">
        <v>2</v>
      </c>
      <c r="I359" s="329">
        <v>163</v>
      </c>
      <c r="J359" s="75">
        <v>163</v>
      </c>
      <c r="K359" s="72">
        <f t="shared" si="578"/>
        <v>0</v>
      </c>
      <c r="L359" s="72">
        <f t="shared" si="579"/>
        <v>163</v>
      </c>
      <c r="M359" s="75">
        <v>41</v>
      </c>
      <c r="N359" s="75">
        <v>41</v>
      </c>
      <c r="O359" s="75">
        <v>41</v>
      </c>
      <c r="P359" s="75">
        <v>40</v>
      </c>
      <c r="Q359" s="73">
        <v>4362</v>
      </c>
      <c r="R359" s="73">
        <v>2181</v>
      </c>
      <c r="S359" s="73">
        <v>3586</v>
      </c>
      <c r="T359" s="3"/>
    </row>
    <row r="360" spans="1:20" ht="17.25" customHeight="1">
      <c r="A360" s="41"/>
      <c r="B360" s="28" t="s">
        <v>503</v>
      </c>
      <c r="C360" s="19" t="s">
        <v>465</v>
      </c>
      <c r="D360" s="75">
        <v>4</v>
      </c>
      <c r="E360" s="75"/>
      <c r="F360" s="75">
        <v>4</v>
      </c>
      <c r="G360" s="75">
        <v>4</v>
      </c>
      <c r="H360" s="75"/>
      <c r="I360" s="329">
        <v>5</v>
      </c>
      <c r="J360" s="75">
        <v>5</v>
      </c>
      <c r="K360" s="72">
        <f t="shared" si="578"/>
        <v>0</v>
      </c>
      <c r="L360" s="72">
        <f t="shared" si="579"/>
        <v>5</v>
      </c>
      <c r="M360" s="75">
        <v>5</v>
      </c>
      <c r="N360" s="75"/>
      <c r="O360" s="75"/>
      <c r="P360" s="75"/>
      <c r="Q360" s="73"/>
      <c r="R360" s="73"/>
      <c r="S360" s="73"/>
      <c r="T360" s="3"/>
    </row>
    <row r="361" spans="1:20" ht="60" customHeight="1">
      <c r="A361" s="41"/>
      <c r="B361" s="149" t="s">
        <v>888</v>
      </c>
      <c r="C361" s="125"/>
      <c r="D361" s="125">
        <f t="shared" ref="D361:S362" si="604">D362</f>
        <v>0</v>
      </c>
      <c r="E361" s="125">
        <f t="shared" si="604"/>
        <v>0</v>
      </c>
      <c r="F361" s="125">
        <f t="shared" si="604"/>
        <v>144</v>
      </c>
      <c r="G361" s="125">
        <f>G362</f>
        <v>144</v>
      </c>
      <c r="H361" s="125">
        <f t="shared" si="604"/>
        <v>110</v>
      </c>
      <c r="I361" s="344">
        <f t="shared" si="604"/>
        <v>886</v>
      </c>
      <c r="J361" s="125">
        <f t="shared" si="604"/>
        <v>886</v>
      </c>
      <c r="K361" s="72">
        <f t="shared" si="578"/>
        <v>0</v>
      </c>
      <c r="L361" s="72">
        <f t="shared" si="579"/>
        <v>886</v>
      </c>
      <c r="M361" s="125">
        <f t="shared" si="604"/>
        <v>238</v>
      </c>
      <c r="N361" s="125">
        <f t="shared" si="604"/>
        <v>220</v>
      </c>
      <c r="O361" s="125">
        <f t="shared" si="604"/>
        <v>220</v>
      </c>
      <c r="P361" s="125">
        <f t="shared" si="604"/>
        <v>208</v>
      </c>
      <c r="Q361" s="125">
        <f t="shared" si="604"/>
        <v>1948</v>
      </c>
      <c r="R361" s="125">
        <f t="shared" si="604"/>
        <v>0</v>
      </c>
      <c r="S361" s="125">
        <f t="shared" si="604"/>
        <v>0</v>
      </c>
      <c r="T361" s="3"/>
    </row>
    <row r="362" spans="1:20" ht="17.25" customHeight="1">
      <c r="A362" s="41"/>
      <c r="B362" s="40" t="s">
        <v>172</v>
      </c>
      <c r="C362" s="19"/>
      <c r="D362" s="75"/>
      <c r="E362" s="75">
        <f t="shared" si="604"/>
        <v>0</v>
      </c>
      <c r="F362" s="75">
        <f t="shared" si="604"/>
        <v>144</v>
      </c>
      <c r="G362" s="75">
        <f>G363</f>
        <v>144</v>
      </c>
      <c r="H362" s="75">
        <f t="shared" si="604"/>
        <v>110</v>
      </c>
      <c r="I362" s="329">
        <f t="shared" si="604"/>
        <v>886</v>
      </c>
      <c r="J362" s="75">
        <f t="shared" si="604"/>
        <v>886</v>
      </c>
      <c r="K362" s="72">
        <f t="shared" si="578"/>
        <v>0</v>
      </c>
      <c r="L362" s="72">
        <f t="shared" si="579"/>
        <v>886</v>
      </c>
      <c r="M362" s="75">
        <f t="shared" si="604"/>
        <v>238</v>
      </c>
      <c r="N362" s="75">
        <f t="shared" si="604"/>
        <v>220</v>
      </c>
      <c r="O362" s="75">
        <f t="shared" si="604"/>
        <v>220</v>
      </c>
      <c r="P362" s="75">
        <f t="shared" si="604"/>
        <v>208</v>
      </c>
      <c r="Q362" s="75">
        <f t="shared" si="604"/>
        <v>1948</v>
      </c>
      <c r="R362" s="75">
        <f t="shared" si="604"/>
        <v>0</v>
      </c>
      <c r="S362" s="75">
        <f t="shared" si="604"/>
        <v>0</v>
      </c>
      <c r="T362" s="3"/>
    </row>
    <row r="363" spans="1:20" ht="33" customHeight="1">
      <c r="A363" s="41"/>
      <c r="B363" s="39" t="s">
        <v>462</v>
      </c>
      <c r="C363" s="19">
        <v>58</v>
      </c>
      <c r="D363" s="75"/>
      <c r="E363" s="75">
        <f t="shared" ref="E363:F363" si="605">E364+E365+E366</f>
        <v>0</v>
      </c>
      <c r="F363" s="75">
        <f t="shared" si="605"/>
        <v>144</v>
      </c>
      <c r="G363" s="75">
        <f>G364+G365+G366</f>
        <v>144</v>
      </c>
      <c r="H363" s="75">
        <f t="shared" ref="H363:S363" si="606">H364+H365+H366</f>
        <v>110</v>
      </c>
      <c r="I363" s="329">
        <f t="shared" si="606"/>
        <v>886</v>
      </c>
      <c r="J363" s="75">
        <f t="shared" si="606"/>
        <v>886</v>
      </c>
      <c r="K363" s="72">
        <f t="shared" si="578"/>
        <v>0</v>
      </c>
      <c r="L363" s="72">
        <f t="shared" si="579"/>
        <v>886</v>
      </c>
      <c r="M363" s="75">
        <f t="shared" ref="M363" si="607">M364+M365+M366</f>
        <v>238</v>
      </c>
      <c r="N363" s="75">
        <f t="shared" ref="N363" si="608">N364+N365+N366</f>
        <v>220</v>
      </c>
      <c r="O363" s="75">
        <f t="shared" ref="O363:P363" si="609">O364+O365+O366</f>
        <v>220</v>
      </c>
      <c r="P363" s="75">
        <f t="shared" si="609"/>
        <v>208</v>
      </c>
      <c r="Q363" s="75">
        <f t="shared" si="606"/>
        <v>1948</v>
      </c>
      <c r="R363" s="75">
        <f t="shared" si="606"/>
        <v>0</v>
      </c>
      <c r="S363" s="75">
        <f t="shared" si="606"/>
        <v>0</v>
      </c>
      <c r="T363" s="3"/>
    </row>
    <row r="364" spans="1:20" ht="17.25" customHeight="1">
      <c r="A364" s="41"/>
      <c r="B364" s="28" t="s">
        <v>500</v>
      </c>
      <c r="C364" s="19" t="s">
        <v>512</v>
      </c>
      <c r="D364" s="75"/>
      <c r="E364" s="75"/>
      <c r="F364" s="75">
        <v>19</v>
      </c>
      <c r="G364" s="75">
        <v>19</v>
      </c>
      <c r="H364" s="75"/>
      <c r="I364" s="329">
        <v>115</v>
      </c>
      <c r="J364" s="75">
        <v>115</v>
      </c>
      <c r="K364" s="72">
        <f t="shared" si="578"/>
        <v>0</v>
      </c>
      <c r="L364" s="72">
        <f t="shared" si="579"/>
        <v>115</v>
      </c>
      <c r="M364" s="75">
        <v>30</v>
      </c>
      <c r="N364" s="75">
        <v>30</v>
      </c>
      <c r="O364" s="75">
        <v>30</v>
      </c>
      <c r="P364" s="75">
        <v>25</v>
      </c>
      <c r="Q364" s="73"/>
      <c r="R364" s="73"/>
      <c r="S364" s="73"/>
      <c r="T364" s="3"/>
    </row>
    <row r="365" spans="1:20" ht="17.25" customHeight="1">
      <c r="A365" s="41"/>
      <c r="B365" s="28" t="s">
        <v>502</v>
      </c>
      <c r="C365" s="19" t="s">
        <v>513</v>
      </c>
      <c r="D365" s="75"/>
      <c r="E365" s="75"/>
      <c r="F365" s="75">
        <v>122</v>
      </c>
      <c r="G365" s="75">
        <v>122</v>
      </c>
      <c r="H365" s="75">
        <v>110</v>
      </c>
      <c r="I365" s="329">
        <v>753</v>
      </c>
      <c r="J365" s="75">
        <v>753</v>
      </c>
      <c r="K365" s="72">
        <f t="shared" si="578"/>
        <v>0</v>
      </c>
      <c r="L365" s="72">
        <f t="shared" si="579"/>
        <v>753</v>
      </c>
      <c r="M365" s="75">
        <v>190</v>
      </c>
      <c r="N365" s="75">
        <v>190</v>
      </c>
      <c r="O365" s="75">
        <v>190</v>
      </c>
      <c r="P365" s="75">
        <v>183</v>
      </c>
      <c r="Q365" s="73">
        <v>1948</v>
      </c>
      <c r="R365" s="73">
        <v>0</v>
      </c>
      <c r="S365" s="73">
        <v>0</v>
      </c>
      <c r="T365" s="3"/>
    </row>
    <row r="366" spans="1:20" ht="17.25" customHeight="1">
      <c r="A366" s="41"/>
      <c r="B366" s="28" t="s">
        <v>503</v>
      </c>
      <c r="C366" s="19" t="s">
        <v>514</v>
      </c>
      <c r="D366" s="75"/>
      <c r="E366" s="75"/>
      <c r="F366" s="75">
        <v>3</v>
      </c>
      <c r="G366" s="75">
        <v>3</v>
      </c>
      <c r="H366" s="75"/>
      <c r="I366" s="329">
        <v>18</v>
      </c>
      <c r="J366" s="75">
        <v>18</v>
      </c>
      <c r="K366" s="72">
        <f t="shared" si="578"/>
        <v>0</v>
      </c>
      <c r="L366" s="72">
        <f t="shared" si="579"/>
        <v>18</v>
      </c>
      <c r="M366" s="75">
        <v>18</v>
      </c>
      <c r="N366" s="75"/>
      <c r="O366" s="75"/>
      <c r="P366" s="75"/>
      <c r="Q366" s="73"/>
      <c r="R366" s="73"/>
      <c r="S366" s="73"/>
      <c r="T366" s="3"/>
    </row>
    <row r="367" spans="1:20" ht="45" customHeight="1">
      <c r="A367" s="41"/>
      <c r="B367" s="149" t="s">
        <v>662</v>
      </c>
      <c r="C367" s="124"/>
      <c r="D367" s="75"/>
      <c r="E367" s="125">
        <f>E368</f>
        <v>0</v>
      </c>
      <c r="F367" s="125">
        <f t="shared" ref="F367:S368" si="610">F368</f>
        <v>0</v>
      </c>
      <c r="G367" s="125">
        <f t="shared" si="610"/>
        <v>0</v>
      </c>
      <c r="H367" s="125">
        <f t="shared" si="610"/>
        <v>0</v>
      </c>
      <c r="I367" s="344">
        <f t="shared" si="610"/>
        <v>456</v>
      </c>
      <c r="J367" s="125">
        <f t="shared" si="610"/>
        <v>456</v>
      </c>
      <c r="K367" s="72">
        <f t="shared" si="578"/>
        <v>0</v>
      </c>
      <c r="L367" s="72">
        <f t="shared" si="579"/>
        <v>456</v>
      </c>
      <c r="M367" s="125">
        <f t="shared" si="610"/>
        <v>124</v>
      </c>
      <c r="N367" s="125">
        <f t="shared" si="610"/>
        <v>115</v>
      </c>
      <c r="O367" s="125">
        <f t="shared" si="610"/>
        <v>115</v>
      </c>
      <c r="P367" s="125">
        <f t="shared" si="610"/>
        <v>102</v>
      </c>
      <c r="Q367" s="125">
        <f t="shared" si="610"/>
        <v>3688</v>
      </c>
      <c r="R367" s="125">
        <f t="shared" si="610"/>
        <v>6557</v>
      </c>
      <c r="S367" s="125">
        <f t="shared" si="610"/>
        <v>2122</v>
      </c>
      <c r="T367" s="198"/>
    </row>
    <row r="368" spans="1:20" ht="17.25" customHeight="1">
      <c r="A368" s="41"/>
      <c r="B368" s="40" t="s">
        <v>172</v>
      </c>
      <c r="C368" s="19"/>
      <c r="D368" s="75"/>
      <c r="E368" s="75">
        <f>E369</f>
        <v>0</v>
      </c>
      <c r="F368" s="75">
        <f t="shared" si="610"/>
        <v>0</v>
      </c>
      <c r="G368" s="75">
        <f t="shared" si="610"/>
        <v>0</v>
      </c>
      <c r="H368" s="75">
        <f t="shared" si="610"/>
        <v>0</v>
      </c>
      <c r="I368" s="329">
        <f t="shared" si="610"/>
        <v>456</v>
      </c>
      <c r="J368" s="75">
        <f t="shared" si="610"/>
        <v>456</v>
      </c>
      <c r="K368" s="72">
        <f t="shared" si="578"/>
        <v>0</v>
      </c>
      <c r="L368" s="72">
        <f t="shared" si="579"/>
        <v>456</v>
      </c>
      <c r="M368" s="75">
        <f t="shared" si="610"/>
        <v>124</v>
      </c>
      <c r="N368" s="75">
        <f t="shared" si="610"/>
        <v>115</v>
      </c>
      <c r="O368" s="75">
        <f t="shared" si="610"/>
        <v>115</v>
      </c>
      <c r="P368" s="75">
        <f t="shared" si="610"/>
        <v>102</v>
      </c>
      <c r="Q368" s="75">
        <f t="shared" si="610"/>
        <v>3688</v>
      </c>
      <c r="R368" s="75">
        <f t="shared" si="610"/>
        <v>6557</v>
      </c>
      <c r="S368" s="75">
        <f t="shared" si="610"/>
        <v>2122</v>
      </c>
      <c r="T368" s="3"/>
    </row>
    <row r="369" spans="1:20" ht="17.25" customHeight="1">
      <c r="A369" s="41"/>
      <c r="B369" s="39" t="s">
        <v>462</v>
      </c>
      <c r="C369" s="19">
        <v>58</v>
      </c>
      <c r="D369" s="75"/>
      <c r="E369" s="75">
        <f>E370+E371+E372</f>
        <v>0</v>
      </c>
      <c r="F369" s="75">
        <f t="shared" ref="F369:S369" si="611">F370+F371+F372</f>
        <v>0</v>
      </c>
      <c r="G369" s="75">
        <f t="shared" si="611"/>
        <v>0</v>
      </c>
      <c r="H369" s="75">
        <f t="shared" si="611"/>
        <v>0</v>
      </c>
      <c r="I369" s="329">
        <f t="shared" si="611"/>
        <v>456</v>
      </c>
      <c r="J369" s="75">
        <f t="shared" si="611"/>
        <v>456</v>
      </c>
      <c r="K369" s="72">
        <f t="shared" si="578"/>
        <v>0</v>
      </c>
      <c r="L369" s="72">
        <f t="shared" si="579"/>
        <v>456</v>
      </c>
      <c r="M369" s="75">
        <f t="shared" ref="M369" si="612">M370+M371+M372</f>
        <v>124</v>
      </c>
      <c r="N369" s="75">
        <f t="shared" ref="N369" si="613">N370+N371+N372</f>
        <v>115</v>
      </c>
      <c r="O369" s="75">
        <f t="shared" ref="O369:P369" si="614">O370+O371+O372</f>
        <v>115</v>
      </c>
      <c r="P369" s="75">
        <f t="shared" si="614"/>
        <v>102</v>
      </c>
      <c r="Q369" s="75">
        <f t="shared" si="611"/>
        <v>3688</v>
      </c>
      <c r="R369" s="75">
        <f t="shared" si="611"/>
        <v>6557</v>
      </c>
      <c r="S369" s="75">
        <f t="shared" si="611"/>
        <v>2122</v>
      </c>
      <c r="T369" s="3"/>
    </row>
    <row r="370" spans="1:20" ht="17.25" customHeight="1">
      <c r="A370" s="41"/>
      <c r="B370" s="28" t="s">
        <v>500</v>
      </c>
      <c r="C370" s="19" t="s">
        <v>501</v>
      </c>
      <c r="D370" s="75"/>
      <c r="E370" s="75"/>
      <c r="F370" s="75"/>
      <c r="G370" s="75"/>
      <c r="H370" s="75"/>
      <c r="I370" s="329">
        <v>59</v>
      </c>
      <c r="J370" s="75">
        <v>59</v>
      </c>
      <c r="K370" s="72">
        <f t="shared" si="578"/>
        <v>0</v>
      </c>
      <c r="L370" s="72">
        <f t="shared" si="579"/>
        <v>59</v>
      </c>
      <c r="M370" s="75">
        <v>15</v>
      </c>
      <c r="N370" s="75">
        <v>15</v>
      </c>
      <c r="O370" s="75">
        <v>15</v>
      </c>
      <c r="P370" s="75">
        <v>14</v>
      </c>
      <c r="Q370" s="73"/>
      <c r="R370" s="73"/>
      <c r="S370" s="73"/>
      <c r="T370" s="3"/>
    </row>
    <row r="371" spans="1:20" ht="17.25" customHeight="1">
      <c r="A371" s="41"/>
      <c r="B371" s="28" t="s">
        <v>502</v>
      </c>
      <c r="C371" s="19" t="s">
        <v>464</v>
      </c>
      <c r="D371" s="75"/>
      <c r="E371" s="75"/>
      <c r="F371" s="75"/>
      <c r="G371" s="75"/>
      <c r="H371" s="75">
        <v>0</v>
      </c>
      <c r="I371" s="329">
        <v>388</v>
      </c>
      <c r="J371" s="75">
        <v>388</v>
      </c>
      <c r="K371" s="72">
        <f t="shared" si="578"/>
        <v>0</v>
      </c>
      <c r="L371" s="72">
        <f t="shared" si="579"/>
        <v>388</v>
      </c>
      <c r="M371" s="75">
        <v>100</v>
      </c>
      <c r="N371" s="75">
        <v>100</v>
      </c>
      <c r="O371" s="75">
        <v>100</v>
      </c>
      <c r="P371" s="75">
        <v>88</v>
      </c>
      <c r="Q371" s="73">
        <v>3688</v>
      </c>
      <c r="R371" s="73">
        <v>6557</v>
      </c>
      <c r="S371" s="73">
        <v>2122</v>
      </c>
      <c r="T371" s="3"/>
    </row>
    <row r="372" spans="1:20" ht="17.25" customHeight="1">
      <c r="A372" s="41"/>
      <c r="B372" s="28" t="s">
        <v>503</v>
      </c>
      <c r="C372" s="19" t="s">
        <v>465</v>
      </c>
      <c r="D372" s="75"/>
      <c r="E372" s="75"/>
      <c r="F372" s="75"/>
      <c r="G372" s="75"/>
      <c r="H372" s="75"/>
      <c r="I372" s="329">
        <v>9</v>
      </c>
      <c r="J372" s="75">
        <v>9</v>
      </c>
      <c r="K372" s="72">
        <f t="shared" si="578"/>
        <v>0</v>
      </c>
      <c r="L372" s="72">
        <f t="shared" si="579"/>
        <v>9</v>
      </c>
      <c r="M372" s="75">
        <v>9</v>
      </c>
      <c r="N372" s="75"/>
      <c r="O372" s="75"/>
      <c r="P372" s="75"/>
      <c r="Q372" s="73"/>
      <c r="R372" s="73"/>
      <c r="S372" s="73"/>
      <c r="T372" s="3"/>
    </row>
    <row r="373" spans="1:20" ht="51" customHeight="1">
      <c r="A373" s="41"/>
      <c r="B373" s="149" t="s">
        <v>661</v>
      </c>
      <c r="C373" s="124"/>
      <c r="D373" s="75"/>
      <c r="E373" s="125">
        <f>E374</f>
        <v>0</v>
      </c>
      <c r="F373" s="125">
        <f t="shared" ref="F373:S374" si="615">F374</f>
        <v>0</v>
      </c>
      <c r="G373" s="125">
        <f t="shared" si="615"/>
        <v>0</v>
      </c>
      <c r="H373" s="125">
        <f t="shared" si="615"/>
        <v>0</v>
      </c>
      <c r="I373" s="344">
        <f t="shared" si="615"/>
        <v>299</v>
      </c>
      <c r="J373" s="125">
        <f t="shared" si="615"/>
        <v>299</v>
      </c>
      <c r="K373" s="72">
        <f t="shared" si="578"/>
        <v>0</v>
      </c>
      <c r="L373" s="72">
        <f t="shared" si="579"/>
        <v>299</v>
      </c>
      <c r="M373" s="125">
        <f t="shared" si="615"/>
        <v>80</v>
      </c>
      <c r="N373" s="125">
        <f t="shared" si="615"/>
        <v>74</v>
      </c>
      <c r="O373" s="125">
        <f t="shared" si="615"/>
        <v>74</v>
      </c>
      <c r="P373" s="125">
        <f t="shared" si="615"/>
        <v>71</v>
      </c>
      <c r="Q373" s="125">
        <f t="shared" si="615"/>
        <v>6153</v>
      </c>
      <c r="R373" s="125">
        <f t="shared" si="615"/>
        <v>4547</v>
      </c>
      <c r="S373" s="125">
        <f t="shared" si="615"/>
        <v>2273</v>
      </c>
      <c r="T373" s="198"/>
    </row>
    <row r="374" spans="1:20" ht="17.25" customHeight="1">
      <c r="A374" s="41"/>
      <c r="B374" s="40" t="s">
        <v>172</v>
      </c>
      <c r="C374" s="19"/>
      <c r="D374" s="75"/>
      <c r="E374" s="75">
        <f>E375</f>
        <v>0</v>
      </c>
      <c r="F374" s="75">
        <f t="shared" si="615"/>
        <v>0</v>
      </c>
      <c r="G374" s="75">
        <f t="shared" si="615"/>
        <v>0</v>
      </c>
      <c r="H374" s="75">
        <f t="shared" si="615"/>
        <v>0</v>
      </c>
      <c r="I374" s="329">
        <f t="shared" si="615"/>
        <v>299</v>
      </c>
      <c r="J374" s="75">
        <f t="shared" si="615"/>
        <v>299</v>
      </c>
      <c r="K374" s="72">
        <f t="shared" si="578"/>
        <v>0</v>
      </c>
      <c r="L374" s="72">
        <f t="shared" si="579"/>
        <v>299</v>
      </c>
      <c r="M374" s="75">
        <f t="shared" si="615"/>
        <v>80</v>
      </c>
      <c r="N374" s="75">
        <f t="shared" si="615"/>
        <v>74</v>
      </c>
      <c r="O374" s="75">
        <f t="shared" si="615"/>
        <v>74</v>
      </c>
      <c r="P374" s="75">
        <f t="shared" si="615"/>
        <v>71</v>
      </c>
      <c r="Q374" s="75">
        <f t="shared" si="615"/>
        <v>6153</v>
      </c>
      <c r="R374" s="75">
        <f t="shared" si="615"/>
        <v>4547</v>
      </c>
      <c r="S374" s="75">
        <f t="shared" si="615"/>
        <v>2273</v>
      </c>
      <c r="T374" s="3"/>
    </row>
    <row r="375" spans="1:20" ht="17.25" customHeight="1">
      <c r="A375" s="41"/>
      <c r="B375" s="39" t="s">
        <v>462</v>
      </c>
      <c r="C375" s="19">
        <v>58</v>
      </c>
      <c r="D375" s="75"/>
      <c r="E375" s="75">
        <f>E376+E377+E378</f>
        <v>0</v>
      </c>
      <c r="F375" s="75">
        <f t="shared" ref="F375:S375" si="616">F376+F377+F378</f>
        <v>0</v>
      </c>
      <c r="G375" s="75">
        <f t="shared" si="616"/>
        <v>0</v>
      </c>
      <c r="H375" s="75">
        <f t="shared" si="616"/>
        <v>0</v>
      </c>
      <c r="I375" s="329">
        <f t="shared" si="616"/>
        <v>299</v>
      </c>
      <c r="J375" s="75">
        <f t="shared" si="616"/>
        <v>299</v>
      </c>
      <c r="K375" s="72">
        <f t="shared" si="578"/>
        <v>0</v>
      </c>
      <c r="L375" s="72">
        <f t="shared" si="579"/>
        <v>299</v>
      </c>
      <c r="M375" s="75">
        <f t="shared" ref="M375" si="617">M376+M377+M378</f>
        <v>80</v>
      </c>
      <c r="N375" s="75">
        <f t="shared" ref="N375" si="618">N376+N377+N378</f>
        <v>74</v>
      </c>
      <c r="O375" s="75">
        <f t="shared" ref="O375:P375" si="619">O376+O377+O378</f>
        <v>74</v>
      </c>
      <c r="P375" s="75">
        <f t="shared" si="619"/>
        <v>71</v>
      </c>
      <c r="Q375" s="75">
        <f t="shared" si="616"/>
        <v>6153</v>
      </c>
      <c r="R375" s="75">
        <f t="shared" si="616"/>
        <v>4547</v>
      </c>
      <c r="S375" s="75">
        <f t="shared" si="616"/>
        <v>2273</v>
      </c>
      <c r="T375" s="3"/>
    </row>
    <row r="376" spans="1:20" ht="17.25" customHeight="1">
      <c r="A376" s="41"/>
      <c r="B376" s="28" t="s">
        <v>500</v>
      </c>
      <c r="C376" s="19" t="s">
        <v>501</v>
      </c>
      <c r="D376" s="75"/>
      <c r="E376" s="75"/>
      <c r="F376" s="75"/>
      <c r="G376" s="75"/>
      <c r="H376" s="75"/>
      <c r="I376" s="329">
        <v>39</v>
      </c>
      <c r="J376" s="75">
        <v>39</v>
      </c>
      <c r="K376" s="72">
        <f t="shared" si="578"/>
        <v>0</v>
      </c>
      <c r="L376" s="72">
        <f t="shared" si="579"/>
        <v>39</v>
      </c>
      <c r="M376" s="75">
        <v>10</v>
      </c>
      <c r="N376" s="75">
        <v>10</v>
      </c>
      <c r="O376" s="75">
        <v>10</v>
      </c>
      <c r="P376" s="75">
        <v>9</v>
      </c>
      <c r="Q376" s="73"/>
      <c r="R376" s="73"/>
      <c r="S376" s="73"/>
      <c r="T376" s="3"/>
    </row>
    <row r="377" spans="1:20" ht="17.25" customHeight="1">
      <c r="A377" s="41"/>
      <c r="B377" s="28" t="s">
        <v>502</v>
      </c>
      <c r="C377" s="19" t="s">
        <v>464</v>
      </c>
      <c r="D377" s="75"/>
      <c r="E377" s="75"/>
      <c r="F377" s="75"/>
      <c r="G377" s="75"/>
      <c r="H377" s="75">
        <v>0</v>
      </c>
      <c r="I377" s="329">
        <v>254</v>
      </c>
      <c r="J377" s="75">
        <v>254</v>
      </c>
      <c r="K377" s="72">
        <f t="shared" si="578"/>
        <v>0</v>
      </c>
      <c r="L377" s="72">
        <f t="shared" si="579"/>
        <v>254</v>
      </c>
      <c r="M377" s="75">
        <v>64</v>
      </c>
      <c r="N377" s="75">
        <v>64</v>
      </c>
      <c r="O377" s="75">
        <v>64</v>
      </c>
      <c r="P377" s="75">
        <v>62</v>
      </c>
      <c r="Q377" s="73">
        <v>6153</v>
      </c>
      <c r="R377" s="73">
        <v>4547</v>
      </c>
      <c r="S377" s="73">
        <v>2273</v>
      </c>
      <c r="T377" s="3"/>
    </row>
    <row r="378" spans="1:20" ht="17.25" customHeight="1">
      <c r="A378" s="41"/>
      <c r="B378" s="28" t="s">
        <v>503</v>
      </c>
      <c r="C378" s="19" t="s">
        <v>465</v>
      </c>
      <c r="D378" s="75"/>
      <c r="E378" s="75"/>
      <c r="F378" s="75"/>
      <c r="G378" s="75"/>
      <c r="H378" s="75"/>
      <c r="I378" s="329">
        <v>6</v>
      </c>
      <c r="J378" s="75">
        <v>6</v>
      </c>
      <c r="K378" s="72">
        <f t="shared" si="578"/>
        <v>0</v>
      </c>
      <c r="L378" s="72">
        <f t="shared" si="579"/>
        <v>6</v>
      </c>
      <c r="M378" s="75">
        <v>6</v>
      </c>
      <c r="N378" s="75"/>
      <c r="O378" s="75"/>
      <c r="P378" s="75"/>
      <c r="Q378" s="73"/>
      <c r="R378" s="73"/>
      <c r="S378" s="73"/>
      <c r="T378" s="3"/>
    </row>
    <row r="379" spans="1:20" ht="14.25">
      <c r="A379" s="48">
        <v>2</v>
      </c>
      <c r="B379" s="465" t="s">
        <v>889</v>
      </c>
      <c r="C379" s="461" t="s">
        <v>218</v>
      </c>
      <c r="D379" s="462">
        <f t="shared" ref="D379:S379" si="620">D380+D384+D393+D399+D403</f>
        <v>9995</v>
      </c>
      <c r="E379" s="462">
        <f t="shared" si="620"/>
        <v>10862</v>
      </c>
      <c r="F379" s="462">
        <f t="shared" si="620"/>
        <v>9995</v>
      </c>
      <c r="G379" s="462">
        <f t="shared" si="620"/>
        <v>9536</v>
      </c>
      <c r="H379" s="462">
        <f t="shared" si="620"/>
        <v>9454</v>
      </c>
      <c r="I379" s="463">
        <f t="shared" si="620"/>
        <v>10104</v>
      </c>
      <c r="J379" s="462">
        <f t="shared" si="620"/>
        <v>10148</v>
      </c>
      <c r="K379" s="462">
        <f t="shared" si="578"/>
        <v>0</v>
      </c>
      <c r="L379" s="462">
        <f t="shared" si="579"/>
        <v>10148</v>
      </c>
      <c r="M379" s="462">
        <f t="shared" ref="M379" si="621">M380+M384+M393+M399+M403</f>
        <v>3008</v>
      </c>
      <c r="N379" s="462">
        <f t="shared" ref="N379" si="622">N380+N384+N393+N399+N403</f>
        <v>2480</v>
      </c>
      <c r="O379" s="462">
        <f t="shared" ref="O379:P379" si="623">O380+O384+O393+O399+O403</f>
        <v>2480</v>
      </c>
      <c r="P379" s="462">
        <f t="shared" si="623"/>
        <v>2180</v>
      </c>
      <c r="Q379" s="462">
        <f t="shared" si="620"/>
        <v>11022</v>
      </c>
      <c r="R379" s="462">
        <f t="shared" si="620"/>
        <v>11022</v>
      </c>
      <c r="S379" s="462">
        <f t="shared" si="620"/>
        <v>11022</v>
      </c>
      <c r="T379" s="3"/>
    </row>
    <row r="380" spans="1:20" ht="14.25">
      <c r="A380" s="41" t="s">
        <v>219</v>
      </c>
      <c r="B380" s="33" t="s">
        <v>220</v>
      </c>
      <c r="C380" s="92">
        <v>50</v>
      </c>
      <c r="D380" s="81">
        <f t="shared" ref="D380:S382" si="624">D381</f>
        <v>1045</v>
      </c>
      <c r="E380" s="81">
        <f t="shared" si="624"/>
        <v>0</v>
      </c>
      <c r="F380" s="81">
        <f t="shared" si="624"/>
        <v>1045</v>
      </c>
      <c r="G380" s="81">
        <f t="shared" si="624"/>
        <v>586</v>
      </c>
      <c r="H380" s="81">
        <f t="shared" si="624"/>
        <v>1045</v>
      </c>
      <c r="I380" s="339">
        <f t="shared" si="624"/>
        <v>0</v>
      </c>
      <c r="J380" s="81">
        <f t="shared" si="624"/>
        <v>500</v>
      </c>
      <c r="K380" s="72">
        <f t="shared" si="578"/>
        <v>0</v>
      </c>
      <c r="L380" s="72">
        <f t="shared" si="579"/>
        <v>500</v>
      </c>
      <c r="M380" s="81">
        <f t="shared" si="624"/>
        <v>500</v>
      </c>
      <c r="N380" s="81">
        <f t="shared" si="624"/>
        <v>0</v>
      </c>
      <c r="O380" s="81">
        <f t="shared" si="624"/>
        <v>0</v>
      </c>
      <c r="P380" s="81">
        <f t="shared" si="624"/>
        <v>0</v>
      </c>
      <c r="Q380" s="81">
        <f t="shared" si="624"/>
        <v>500</v>
      </c>
      <c r="R380" s="81">
        <f t="shared" si="624"/>
        <v>500</v>
      </c>
      <c r="S380" s="81">
        <f t="shared" si="624"/>
        <v>500</v>
      </c>
      <c r="T380" s="3"/>
    </row>
    <row r="381" spans="1:20" ht="14.25">
      <c r="A381" s="41"/>
      <c r="B381" s="31" t="s">
        <v>160</v>
      </c>
      <c r="C381" s="92"/>
      <c r="D381" s="81">
        <f t="shared" si="624"/>
        <v>1045</v>
      </c>
      <c r="E381" s="81">
        <f t="shared" si="624"/>
        <v>0</v>
      </c>
      <c r="F381" s="81">
        <f t="shared" si="624"/>
        <v>1045</v>
      </c>
      <c r="G381" s="81">
        <f t="shared" si="624"/>
        <v>586</v>
      </c>
      <c r="H381" s="81">
        <f t="shared" si="624"/>
        <v>1045</v>
      </c>
      <c r="I381" s="339">
        <f t="shared" si="624"/>
        <v>0</v>
      </c>
      <c r="J381" s="81">
        <f t="shared" si="624"/>
        <v>500</v>
      </c>
      <c r="K381" s="72">
        <f t="shared" si="578"/>
        <v>0</v>
      </c>
      <c r="L381" s="72">
        <f t="shared" si="579"/>
        <v>500</v>
      </c>
      <c r="M381" s="81">
        <f t="shared" si="624"/>
        <v>500</v>
      </c>
      <c r="N381" s="81">
        <f t="shared" si="624"/>
        <v>0</v>
      </c>
      <c r="O381" s="81">
        <f t="shared" si="624"/>
        <v>0</v>
      </c>
      <c r="P381" s="81">
        <f t="shared" si="624"/>
        <v>0</v>
      </c>
      <c r="Q381" s="81">
        <f t="shared" si="624"/>
        <v>500</v>
      </c>
      <c r="R381" s="81">
        <f t="shared" si="624"/>
        <v>500</v>
      </c>
      <c r="S381" s="81">
        <f t="shared" si="624"/>
        <v>500</v>
      </c>
      <c r="T381" s="3"/>
    </row>
    <row r="382" spans="1:20" ht="15">
      <c r="A382" s="41"/>
      <c r="B382" s="40" t="s">
        <v>161</v>
      </c>
      <c r="C382" s="92"/>
      <c r="D382" s="81">
        <f t="shared" si="624"/>
        <v>1045</v>
      </c>
      <c r="E382" s="81">
        <f t="shared" si="624"/>
        <v>0</v>
      </c>
      <c r="F382" s="81">
        <f t="shared" si="624"/>
        <v>1045</v>
      </c>
      <c r="G382" s="81">
        <f t="shared" si="624"/>
        <v>586</v>
      </c>
      <c r="H382" s="81">
        <f t="shared" si="624"/>
        <v>1045</v>
      </c>
      <c r="I382" s="339">
        <f t="shared" si="624"/>
        <v>0</v>
      </c>
      <c r="J382" s="81">
        <f t="shared" si="624"/>
        <v>500</v>
      </c>
      <c r="K382" s="72">
        <f t="shared" si="578"/>
        <v>0</v>
      </c>
      <c r="L382" s="72">
        <f t="shared" si="579"/>
        <v>500</v>
      </c>
      <c r="M382" s="81">
        <f t="shared" si="624"/>
        <v>500</v>
      </c>
      <c r="N382" s="81">
        <f t="shared" si="624"/>
        <v>0</v>
      </c>
      <c r="O382" s="81">
        <f t="shared" si="624"/>
        <v>0</v>
      </c>
      <c r="P382" s="81">
        <f t="shared" si="624"/>
        <v>0</v>
      </c>
      <c r="Q382" s="81">
        <f t="shared" si="624"/>
        <v>500</v>
      </c>
      <c r="R382" s="81">
        <f t="shared" si="624"/>
        <v>500</v>
      </c>
      <c r="S382" s="81">
        <f t="shared" si="624"/>
        <v>500</v>
      </c>
      <c r="T382" s="3"/>
    </row>
    <row r="383" spans="1:20" ht="30">
      <c r="A383" s="41"/>
      <c r="B383" s="39" t="s">
        <v>221</v>
      </c>
      <c r="C383" s="19" t="s">
        <v>222</v>
      </c>
      <c r="D383" s="75">
        <f>2000+1000-250-50-1655</f>
        <v>1045</v>
      </c>
      <c r="E383" s="75"/>
      <c r="F383" s="75">
        <v>1045</v>
      </c>
      <c r="G383" s="75">
        <v>586</v>
      </c>
      <c r="H383" s="75">
        <v>1045</v>
      </c>
      <c r="I383" s="329"/>
      <c r="J383" s="75">
        <v>500</v>
      </c>
      <c r="K383" s="72">
        <f t="shared" si="578"/>
        <v>0</v>
      </c>
      <c r="L383" s="72">
        <f t="shared" si="579"/>
        <v>500</v>
      </c>
      <c r="M383" s="75">
        <v>500</v>
      </c>
      <c r="N383" s="75"/>
      <c r="O383" s="75"/>
      <c r="P383" s="75"/>
      <c r="Q383" s="73">
        <v>500</v>
      </c>
      <c r="R383" s="73">
        <v>500</v>
      </c>
      <c r="S383" s="73">
        <v>500</v>
      </c>
      <c r="T383" s="3"/>
    </row>
    <row r="384" spans="1:20" ht="28.5" customHeight="1">
      <c r="A384" s="41" t="s">
        <v>223</v>
      </c>
      <c r="B384" s="57" t="s">
        <v>817</v>
      </c>
      <c r="C384" s="92" t="s">
        <v>224</v>
      </c>
      <c r="D384" s="81">
        <f t="shared" ref="D384:S384" si="625">D385+D391</f>
        <v>3150</v>
      </c>
      <c r="E384" s="81">
        <f t="shared" si="625"/>
        <v>1949</v>
      </c>
      <c r="F384" s="81">
        <f t="shared" si="625"/>
        <v>3150</v>
      </c>
      <c r="G384" s="81">
        <f t="shared" si="625"/>
        <v>3150</v>
      </c>
      <c r="H384" s="81">
        <f t="shared" si="625"/>
        <v>2724</v>
      </c>
      <c r="I384" s="339">
        <f t="shared" si="625"/>
        <v>4304</v>
      </c>
      <c r="J384" s="81">
        <f t="shared" si="625"/>
        <v>3848</v>
      </c>
      <c r="K384" s="72">
        <f t="shared" si="578"/>
        <v>0</v>
      </c>
      <c r="L384" s="72">
        <f t="shared" si="579"/>
        <v>3848</v>
      </c>
      <c r="M384" s="81">
        <f t="shared" ref="M384" si="626">M385+M391</f>
        <v>1008</v>
      </c>
      <c r="N384" s="81">
        <f t="shared" ref="N384" si="627">N385+N391</f>
        <v>980</v>
      </c>
      <c r="O384" s="81">
        <f t="shared" ref="O384:P384" si="628">O385+O391</f>
        <v>980</v>
      </c>
      <c r="P384" s="81">
        <f t="shared" si="628"/>
        <v>880</v>
      </c>
      <c r="Q384" s="81">
        <f t="shared" si="625"/>
        <v>4722</v>
      </c>
      <c r="R384" s="81">
        <f t="shared" si="625"/>
        <v>4722</v>
      </c>
      <c r="S384" s="81">
        <f t="shared" si="625"/>
        <v>4722</v>
      </c>
    </row>
    <row r="385" spans="1:20" ht="14.25">
      <c r="A385" s="41"/>
      <c r="B385" s="31" t="s">
        <v>160</v>
      </c>
      <c r="C385" s="92"/>
      <c r="D385" s="81">
        <f t="shared" ref="D385:S386" si="629">D386</f>
        <v>3150</v>
      </c>
      <c r="E385" s="81">
        <f t="shared" si="629"/>
        <v>1949</v>
      </c>
      <c r="F385" s="81">
        <f t="shared" si="629"/>
        <v>3150</v>
      </c>
      <c r="G385" s="81">
        <f t="shared" si="629"/>
        <v>3140</v>
      </c>
      <c r="H385" s="81">
        <f t="shared" si="629"/>
        <v>2715</v>
      </c>
      <c r="I385" s="339">
        <f t="shared" si="629"/>
        <v>4276</v>
      </c>
      <c r="J385" s="81">
        <f t="shared" si="629"/>
        <v>3820</v>
      </c>
      <c r="K385" s="72">
        <f t="shared" si="578"/>
        <v>0</v>
      </c>
      <c r="L385" s="72">
        <f t="shared" si="579"/>
        <v>3820</v>
      </c>
      <c r="M385" s="81">
        <f t="shared" si="629"/>
        <v>980</v>
      </c>
      <c r="N385" s="81">
        <f t="shared" si="629"/>
        <v>980</v>
      </c>
      <c r="O385" s="81">
        <f t="shared" si="629"/>
        <v>980</v>
      </c>
      <c r="P385" s="81">
        <f t="shared" si="629"/>
        <v>880</v>
      </c>
      <c r="Q385" s="81">
        <f t="shared" si="629"/>
        <v>4722</v>
      </c>
      <c r="R385" s="81">
        <f t="shared" si="629"/>
        <v>4722</v>
      </c>
      <c r="S385" s="81">
        <f t="shared" si="629"/>
        <v>4722</v>
      </c>
      <c r="T385" s="3"/>
    </row>
    <row r="386" spans="1:20" ht="15">
      <c r="A386" s="41"/>
      <c r="B386" s="40" t="s">
        <v>161</v>
      </c>
      <c r="C386" s="19">
        <v>0.01</v>
      </c>
      <c r="D386" s="76">
        <f t="shared" si="629"/>
        <v>3150</v>
      </c>
      <c r="E386" s="76">
        <f t="shared" si="629"/>
        <v>1949</v>
      </c>
      <c r="F386" s="76">
        <f t="shared" si="629"/>
        <v>3150</v>
      </c>
      <c r="G386" s="76">
        <f t="shared" si="629"/>
        <v>3140</v>
      </c>
      <c r="H386" s="76">
        <f t="shared" si="629"/>
        <v>2715</v>
      </c>
      <c r="I386" s="330">
        <f t="shared" si="629"/>
        <v>4276</v>
      </c>
      <c r="J386" s="76">
        <f t="shared" si="629"/>
        <v>3820</v>
      </c>
      <c r="K386" s="72">
        <f t="shared" si="578"/>
        <v>0</v>
      </c>
      <c r="L386" s="72">
        <f t="shared" si="579"/>
        <v>3820</v>
      </c>
      <c r="M386" s="76">
        <f t="shared" si="629"/>
        <v>980</v>
      </c>
      <c r="N386" s="76">
        <f t="shared" si="629"/>
        <v>980</v>
      </c>
      <c r="O386" s="76">
        <f t="shared" si="629"/>
        <v>980</v>
      </c>
      <c r="P386" s="76">
        <f t="shared" si="629"/>
        <v>880</v>
      </c>
      <c r="Q386" s="76">
        <f t="shared" si="629"/>
        <v>4722</v>
      </c>
      <c r="R386" s="76">
        <f t="shared" si="629"/>
        <v>4722</v>
      </c>
      <c r="S386" s="76">
        <f t="shared" si="629"/>
        <v>4722</v>
      </c>
      <c r="T386" s="3"/>
    </row>
    <row r="387" spans="1:20" ht="15">
      <c r="A387" s="41"/>
      <c r="B387" s="40" t="s">
        <v>890</v>
      </c>
      <c r="C387" s="19" t="s">
        <v>225</v>
      </c>
      <c r="D387" s="76">
        <f t="shared" ref="D387:S387" si="630">D388+D389</f>
        <v>3150</v>
      </c>
      <c r="E387" s="76">
        <f t="shared" si="630"/>
        <v>1949</v>
      </c>
      <c r="F387" s="76">
        <f t="shared" si="630"/>
        <v>3150</v>
      </c>
      <c r="G387" s="76">
        <f t="shared" si="630"/>
        <v>3140</v>
      </c>
      <c r="H387" s="76">
        <f>H388+H389+H390</f>
        <v>2715</v>
      </c>
      <c r="I387" s="330">
        <f t="shared" si="630"/>
        <v>4276</v>
      </c>
      <c r="J387" s="76">
        <f t="shared" si="630"/>
        <v>3820</v>
      </c>
      <c r="K387" s="72">
        <f t="shared" si="578"/>
        <v>0</v>
      </c>
      <c r="L387" s="72">
        <f t="shared" si="579"/>
        <v>3820</v>
      </c>
      <c r="M387" s="76">
        <f t="shared" ref="M387" si="631">M388+M389</f>
        <v>980</v>
      </c>
      <c r="N387" s="76">
        <f t="shared" ref="N387" si="632">N388+N389</f>
        <v>980</v>
      </c>
      <c r="O387" s="76">
        <f t="shared" ref="O387:P387" si="633">O388+O389</f>
        <v>980</v>
      </c>
      <c r="P387" s="76">
        <f t="shared" si="633"/>
        <v>880</v>
      </c>
      <c r="Q387" s="76">
        <f t="shared" si="630"/>
        <v>4722</v>
      </c>
      <c r="R387" s="76">
        <f t="shared" si="630"/>
        <v>4722</v>
      </c>
      <c r="S387" s="76">
        <f t="shared" si="630"/>
        <v>4722</v>
      </c>
      <c r="T387" s="3"/>
    </row>
    <row r="388" spans="1:20" ht="15">
      <c r="A388" s="41"/>
      <c r="B388" s="40" t="s">
        <v>162</v>
      </c>
      <c r="C388" s="19">
        <v>10</v>
      </c>
      <c r="D388" s="75">
        <v>2800</v>
      </c>
      <c r="E388" s="75">
        <v>1743</v>
      </c>
      <c r="F388" s="75">
        <v>2800</v>
      </c>
      <c r="G388" s="75">
        <v>2790</v>
      </c>
      <c r="H388" s="75">
        <v>2376</v>
      </c>
      <c r="I388" s="329">
        <v>3870</v>
      </c>
      <c r="J388" s="75">
        <v>3500</v>
      </c>
      <c r="K388" s="72">
        <f t="shared" si="578"/>
        <v>0</v>
      </c>
      <c r="L388" s="72">
        <f t="shared" si="579"/>
        <v>3500</v>
      </c>
      <c r="M388" s="75">
        <f>70+830</f>
        <v>900</v>
      </c>
      <c r="N388" s="75">
        <f>70+830</f>
        <v>900</v>
      </c>
      <c r="O388" s="75">
        <f>60+840</f>
        <v>900</v>
      </c>
      <c r="P388" s="75">
        <f>76+624+100</f>
        <v>800</v>
      </c>
      <c r="Q388" s="73">
        <v>4258</v>
      </c>
      <c r="R388" s="73">
        <v>4258</v>
      </c>
      <c r="S388" s="73">
        <v>4258</v>
      </c>
      <c r="T388" s="3"/>
    </row>
    <row r="389" spans="1:20" ht="15.75" customHeight="1">
      <c r="A389" s="41"/>
      <c r="B389" s="40" t="s">
        <v>886</v>
      </c>
      <c r="C389" s="19">
        <v>20</v>
      </c>
      <c r="D389" s="75">
        <f>320+30</f>
        <v>350</v>
      </c>
      <c r="E389" s="75">
        <v>206</v>
      </c>
      <c r="F389" s="75">
        <v>350</v>
      </c>
      <c r="G389" s="75">
        <v>350</v>
      </c>
      <c r="H389" s="75">
        <v>345</v>
      </c>
      <c r="I389" s="329">
        <v>406</v>
      </c>
      <c r="J389" s="75">
        <v>320</v>
      </c>
      <c r="K389" s="72">
        <f t="shared" si="578"/>
        <v>0</v>
      </c>
      <c r="L389" s="72">
        <f t="shared" si="579"/>
        <v>320</v>
      </c>
      <c r="M389" s="75">
        <v>80</v>
      </c>
      <c r="N389" s="75">
        <v>80</v>
      </c>
      <c r="O389" s="75">
        <v>80</v>
      </c>
      <c r="P389" s="75">
        <v>80</v>
      </c>
      <c r="Q389" s="73">
        <v>464</v>
      </c>
      <c r="R389" s="73">
        <v>464</v>
      </c>
      <c r="S389" s="73">
        <v>464</v>
      </c>
      <c r="T389" s="3"/>
    </row>
    <row r="390" spans="1:20" ht="16.5" hidden="1" customHeight="1">
      <c r="A390" s="41"/>
      <c r="B390" s="40" t="s">
        <v>171</v>
      </c>
      <c r="C390" s="19" t="s">
        <v>260</v>
      </c>
      <c r="D390" s="75"/>
      <c r="E390" s="75"/>
      <c r="F390" s="75"/>
      <c r="G390" s="75"/>
      <c r="H390" s="75">
        <v>-6</v>
      </c>
      <c r="I390" s="329"/>
      <c r="J390" s="75"/>
      <c r="K390" s="72">
        <f t="shared" si="578"/>
        <v>0</v>
      </c>
      <c r="L390" s="72">
        <f t="shared" si="579"/>
        <v>0</v>
      </c>
      <c r="M390" s="75"/>
      <c r="N390" s="75"/>
      <c r="O390" s="75"/>
      <c r="P390" s="75"/>
      <c r="Q390" s="73"/>
      <c r="R390" s="73"/>
      <c r="S390" s="73"/>
      <c r="T390" s="3"/>
    </row>
    <row r="391" spans="1:20" ht="15.75" customHeight="1">
      <c r="A391" s="41"/>
      <c r="B391" s="33" t="s">
        <v>172</v>
      </c>
      <c r="C391" s="19"/>
      <c r="D391" s="81">
        <f t="shared" ref="D391:S391" si="634">D392</f>
        <v>0</v>
      </c>
      <c r="E391" s="81">
        <f t="shared" si="634"/>
        <v>0</v>
      </c>
      <c r="F391" s="81">
        <f t="shared" si="634"/>
        <v>0</v>
      </c>
      <c r="G391" s="81">
        <f t="shared" si="634"/>
        <v>10</v>
      </c>
      <c r="H391" s="81">
        <f t="shared" si="634"/>
        <v>9</v>
      </c>
      <c r="I391" s="339">
        <f t="shared" si="634"/>
        <v>28</v>
      </c>
      <c r="J391" s="81">
        <f t="shared" si="634"/>
        <v>28</v>
      </c>
      <c r="K391" s="72">
        <f t="shared" si="578"/>
        <v>0</v>
      </c>
      <c r="L391" s="72">
        <f t="shared" si="579"/>
        <v>28</v>
      </c>
      <c r="M391" s="81">
        <f t="shared" si="634"/>
        <v>28</v>
      </c>
      <c r="N391" s="81">
        <f t="shared" si="634"/>
        <v>0</v>
      </c>
      <c r="O391" s="81">
        <f t="shared" si="634"/>
        <v>0</v>
      </c>
      <c r="P391" s="81">
        <f t="shared" si="634"/>
        <v>0</v>
      </c>
      <c r="Q391" s="81">
        <f t="shared" si="634"/>
        <v>0</v>
      </c>
      <c r="R391" s="81">
        <f t="shared" si="634"/>
        <v>0</v>
      </c>
      <c r="S391" s="81">
        <f t="shared" si="634"/>
        <v>0</v>
      </c>
      <c r="T391" s="3"/>
    </row>
    <row r="392" spans="1:20" ht="18.75" customHeight="1">
      <c r="A392" s="41"/>
      <c r="B392" s="40" t="s">
        <v>226</v>
      </c>
      <c r="C392" s="19" t="s">
        <v>179</v>
      </c>
      <c r="D392" s="75"/>
      <c r="E392" s="75"/>
      <c r="F392" s="75"/>
      <c r="G392" s="75">
        <v>10</v>
      </c>
      <c r="H392" s="75">
        <v>9</v>
      </c>
      <c r="I392" s="329">
        <v>28</v>
      </c>
      <c r="J392" s="75">
        <v>28</v>
      </c>
      <c r="K392" s="72">
        <f t="shared" si="578"/>
        <v>0</v>
      </c>
      <c r="L392" s="72">
        <f t="shared" si="579"/>
        <v>28</v>
      </c>
      <c r="M392" s="75">
        <v>28</v>
      </c>
      <c r="N392" s="75">
        <v>0</v>
      </c>
      <c r="O392" s="75">
        <v>0</v>
      </c>
      <c r="P392" s="75">
        <v>0</v>
      </c>
      <c r="Q392" s="73"/>
      <c r="R392" s="73"/>
      <c r="S392" s="73"/>
      <c r="T392" s="3"/>
    </row>
    <row r="393" spans="1:20" ht="14.25">
      <c r="A393" s="41" t="s">
        <v>227</v>
      </c>
      <c r="B393" s="33" t="s">
        <v>228</v>
      </c>
      <c r="C393" s="92" t="s">
        <v>229</v>
      </c>
      <c r="D393" s="81">
        <f t="shared" ref="D393:S395" si="635">D394</f>
        <v>5800</v>
      </c>
      <c r="E393" s="81">
        <f t="shared" si="635"/>
        <v>8913</v>
      </c>
      <c r="F393" s="81">
        <f t="shared" si="635"/>
        <v>5800</v>
      </c>
      <c r="G393" s="81">
        <f t="shared" si="635"/>
        <v>5800</v>
      </c>
      <c r="H393" s="81">
        <f t="shared" si="635"/>
        <v>5685</v>
      </c>
      <c r="I393" s="339">
        <f t="shared" si="635"/>
        <v>5800</v>
      </c>
      <c r="J393" s="81">
        <f t="shared" si="635"/>
        <v>5800</v>
      </c>
      <c r="K393" s="72">
        <f t="shared" si="578"/>
        <v>0</v>
      </c>
      <c r="L393" s="72">
        <f t="shared" si="579"/>
        <v>5800</v>
      </c>
      <c r="M393" s="81">
        <f t="shared" si="635"/>
        <v>1500</v>
      </c>
      <c r="N393" s="81">
        <f t="shared" si="635"/>
        <v>1500</v>
      </c>
      <c r="O393" s="81">
        <f t="shared" si="635"/>
        <v>1500</v>
      </c>
      <c r="P393" s="81">
        <f t="shared" si="635"/>
        <v>1300</v>
      </c>
      <c r="Q393" s="81">
        <f t="shared" si="635"/>
        <v>5800</v>
      </c>
      <c r="R393" s="81">
        <f t="shared" si="635"/>
        <v>5800</v>
      </c>
      <c r="S393" s="81">
        <f t="shared" si="635"/>
        <v>5800</v>
      </c>
      <c r="T393" s="3"/>
    </row>
    <row r="394" spans="1:20" ht="14.25">
      <c r="A394" s="41"/>
      <c r="B394" s="31" t="s">
        <v>160</v>
      </c>
      <c r="C394" s="92"/>
      <c r="D394" s="81">
        <f t="shared" si="635"/>
        <v>5800</v>
      </c>
      <c r="E394" s="81">
        <f t="shared" si="635"/>
        <v>8913</v>
      </c>
      <c r="F394" s="81">
        <f t="shared" si="635"/>
        <v>5800</v>
      </c>
      <c r="G394" s="81">
        <f t="shared" si="635"/>
        <v>5800</v>
      </c>
      <c r="H394" s="81">
        <f t="shared" si="635"/>
        <v>5685</v>
      </c>
      <c r="I394" s="339">
        <f t="shared" si="635"/>
        <v>5800</v>
      </c>
      <c r="J394" s="81">
        <f t="shared" si="635"/>
        <v>5800</v>
      </c>
      <c r="K394" s="72">
        <f t="shared" si="578"/>
        <v>0</v>
      </c>
      <c r="L394" s="72">
        <f t="shared" si="579"/>
        <v>5800</v>
      </c>
      <c r="M394" s="81">
        <f t="shared" si="635"/>
        <v>1500</v>
      </c>
      <c r="N394" s="81">
        <f t="shared" si="635"/>
        <v>1500</v>
      </c>
      <c r="O394" s="81">
        <f t="shared" si="635"/>
        <v>1500</v>
      </c>
      <c r="P394" s="81">
        <f t="shared" si="635"/>
        <v>1300</v>
      </c>
      <c r="Q394" s="81">
        <f t="shared" si="635"/>
        <v>5800</v>
      </c>
      <c r="R394" s="81">
        <f t="shared" si="635"/>
        <v>5800</v>
      </c>
      <c r="S394" s="81">
        <f t="shared" si="635"/>
        <v>5800</v>
      </c>
    </row>
    <row r="395" spans="1:20" ht="14.25">
      <c r="A395" s="41"/>
      <c r="B395" s="33" t="s">
        <v>170</v>
      </c>
      <c r="C395" s="92">
        <v>79</v>
      </c>
      <c r="D395" s="81">
        <f t="shared" si="635"/>
        <v>5800</v>
      </c>
      <c r="E395" s="81">
        <f t="shared" si="635"/>
        <v>8913</v>
      </c>
      <c r="F395" s="81">
        <f t="shared" si="635"/>
        <v>5800</v>
      </c>
      <c r="G395" s="81">
        <f t="shared" si="635"/>
        <v>5800</v>
      </c>
      <c r="H395" s="81">
        <f t="shared" si="635"/>
        <v>5685</v>
      </c>
      <c r="I395" s="339">
        <f t="shared" si="635"/>
        <v>5800</v>
      </c>
      <c r="J395" s="81">
        <f t="shared" si="635"/>
        <v>5800</v>
      </c>
      <c r="K395" s="72">
        <f t="shared" si="578"/>
        <v>0</v>
      </c>
      <c r="L395" s="72">
        <f t="shared" si="579"/>
        <v>5800</v>
      </c>
      <c r="M395" s="81">
        <f t="shared" si="635"/>
        <v>1500</v>
      </c>
      <c r="N395" s="81">
        <f t="shared" si="635"/>
        <v>1500</v>
      </c>
      <c r="O395" s="81">
        <f t="shared" si="635"/>
        <v>1500</v>
      </c>
      <c r="P395" s="81">
        <f t="shared" si="635"/>
        <v>1300</v>
      </c>
      <c r="Q395" s="81">
        <f t="shared" si="635"/>
        <v>5800</v>
      </c>
      <c r="R395" s="81">
        <f t="shared" si="635"/>
        <v>5800</v>
      </c>
      <c r="S395" s="81">
        <f t="shared" si="635"/>
        <v>5800</v>
      </c>
    </row>
    <row r="396" spans="1:20" ht="14.25">
      <c r="A396" s="41"/>
      <c r="B396" s="33" t="s">
        <v>230</v>
      </c>
      <c r="C396" s="19">
        <v>81</v>
      </c>
      <c r="D396" s="76">
        <f t="shared" ref="D396:S396" si="636">D397+D398</f>
        <v>5800</v>
      </c>
      <c r="E396" s="76">
        <f t="shared" si="636"/>
        <v>8913</v>
      </c>
      <c r="F396" s="76">
        <f t="shared" si="636"/>
        <v>5800</v>
      </c>
      <c r="G396" s="76">
        <f t="shared" si="636"/>
        <v>5800</v>
      </c>
      <c r="H396" s="76">
        <f t="shared" si="636"/>
        <v>5685</v>
      </c>
      <c r="I396" s="330">
        <f t="shared" si="636"/>
        <v>5800</v>
      </c>
      <c r="J396" s="76">
        <f t="shared" si="636"/>
        <v>5800</v>
      </c>
      <c r="K396" s="72">
        <f t="shared" ref="K396:K459" si="637">J396-L396</f>
        <v>0</v>
      </c>
      <c r="L396" s="72">
        <f t="shared" ref="L396:L459" si="638">M396+N396+O396+P396</f>
        <v>5800</v>
      </c>
      <c r="M396" s="76">
        <f t="shared" ref="M396" si="639">M397+M398</f>
        <v>1500</v>
      </c>
      <c r="N396" s="76">
        <f t="shared" ref="N396" si="640">N397+N398</f>
        <v>1500</v>
      </c>
      <c r="O396" s="76">
        <f t="shared" ref="O396:P396" si="641">O397+O398</f>
        <v>1500</v>
      </c>
      <c r="P396" s="76">
        <f t="shared" si="641"/>
        <v>1300</v>
      </c>
      <c r="Q396" s="76">
        <f t="shared" si="636"/>
        <v>5800</v>
      </c>
      <c r="R396" s="76">
        <f t="shared" si="636"/>
        <v>5800</v>
      </c>
      <c r="S396" s="76">
        <f t="shared" si="636"/>
        <v>5800</v>
      </c>
    </row>
    <row r="397" spans="1:20" ht="13.5" customHeight="1">
      <c r="A397" s="41"/>
      <c r="B397" s="40" t="s">
        <v>231</v>
      </c>
      <c r="C397" s="19" t="s">
        <v>232</v>
      </c>
      <c r="D397" s="75">
        <v>5800</v>
      </c>
      <c r="E397" s="75">
        <v>2187</v>
      </c>
      <c r="F397" s="75">
        <v>5800</v>
      </c>
      <c r="G397" s="75">
        <v>5800</v>
      </c>
      <c r="H397" s="75">
        <v>5685</v>
      </c>
      <c r="I397" s="329">
        <v>5800</v>
      </c>
      <c r="J397" s="75">
        <v>5800</v>
      </c>
      <c r="K397" s="72">
        <f t="shared" si="637"/>
        <v>0</v>
      </c>
      <c r="L397" s="72">
        <f t="shared" si="638"/>
        <v>5800</v>
      </c>
      <c r="M397" s="75">
        <v>1500</v>
      </c>
      <c r="N397" s="75">
        <v>1500</v>
      </c>
      <c r="O397" s="75">
        <v>1500</v>
      </c>
      <c r="P397" s="75">
        <v>1300</v>
      </c>
      <c r="Q397" s="73">
        <v>5800</v>
      </c>
      <c r="R397" s="73">
        <v>5800</v>
      </c>
      <c r="S397" s="73">
        <v>5800</v>
      </c>
    </row>
    <row r="398" spans="1:20" ht="13.5" hidden="1" customHeight="1">
      <c r="A398" s="41"/>
      <c r="B398" s="40" t="s">
        <v>233</v>
      </c>
      <c r="C398" s="19" t="s">
        <v>234</v>
      </c>
      <c r="D398" s="140">
        <v>0</v>
      </c>
      <c r="E398" s="140">
        <v>6726</v>
      </c>
      <c r="F398" s="140"/>
      <c r="G398" s="140"/>
      <c r="H398" s="140"/>
      <c r="I398" s="348"/>
      <c r="J398" s="140"/>
      <c r="K398" s="72">
        <f t="shared" si="637"/>
        <v>0</v>
      </c>
      <c r="L398" s="72">
        <f t="shared" si="638"/>
        <v>0</v>
      </c>
      <c r="M398" s="140"/>
      <c r="N398" s="140"/>
      <c r="O398" s="140"/>
      <c r="P398" s="140"/>
      <c r="Q398" s="73">
        <v>0</v>
      </c>
      <c r="R398" s="73">
        <v>0</v>
      </c>
      <c r="S398" s="73">
        <v>0</v>
      </c>
    </row>
    <row r="399" spans="1:20" ht="17.25" hidden="1" customHeight="1">
      <c r="A399" s="41" t="s">
        <v>235</v>
      </c>
      <c r="B399" s="33" t="s">
        <v>236</v>
      </c>
      <c r="C399" s="19"/>
      <c r="D399" s="75">
        <f>D400+D401+D402</f>
        <v>0</v>
      </c>
      <c r="E399" s="75"/>
      <c r="F399" s="75"/>
      <c r="G399" s="75"/>
      <c r="H399" s="75"/>
      <c r="I399" s="329"/>
      <c r="J399" s="75"/>
      <c r="K399" s="72">
        <f t="shared" si="637"/>
        <v>0</v>
      </c>
      <c r="L399" s="72">
        <f t="shared" si="638"/>
        <v>0</v>
      </c>
      <c r="M399" s="75"/>
      <c r="N399" s="75"/>
      <c r="O399" s="75"/>
      <c r="P399" s="75"/>
      <c r="Q399" s="73"/>
      <c r="R399" s="73"/>
      <c r="S399" s="73"/>
    </row>
    <row r="400" spans="1:20" ht="18.75" hidden="1" customHeight="1">
      <c r="A400" s="41"/>
      <c r="B400" s="40" t="s">
        <v>162</v>
      </c>
      <c r="C400" s="19"/>
      <c r="D400" s="75"/>
      <c r="E400" s="75"/>
      <c r="F400" s="75"/>
      <c r="G400" s="75"/>
      <c r="H400" s="75"/>
      <c r="I400" s="329"/>
      <c r="J400" s="75"/>
      <c r="K400" s="72">
        <f t="shared" si="637"/>
        <v>0</v>
      </c>
      <c r="L400" s="72">
        <f t="shared" si="638"/>
        <v>0</v>
      </c>
      <c r="M400" s="75"/>
      <c r="N400" s="75"/>
      <c r="O400" s="75"/>
      <c r="P400" s="75"/>
      <c r="Q400" s="73"/>
      <c r="R400" s="73"/>
      <c r="S400" s="73"/>
    </row>
    <row r="401" spans="1:19" ht="18.75" hidden="1" customHeight="1">
      <c r="A401" s="41"/>
      <c r="B401" s="40" t="s">
        <v>163</v>
      </c>
      <c r="C401" s="19"/>
      <c r="D401" s="75"/>
      <c r="E401" s="75"/>
      <c r="F401" s="75"/>
      <c r="G401" s="75"/>
      <c r="H401" s="75"/>
      <c r="I401" s="329"/>
      <c r="J401" s="75"/>
      <c r="K401" s="72">
        <f t="shared" si="637"/>
        <v>0</v>
      </c>
      <c r="L401" s="72">
        <f t="shared" si="638"/>
        <v>0</v>
      </c>
      <c r="M401" s="75"/>
      <c r="N401" s="75"/>
      <c r="O401" s="75"/>
      <c r="P401" s="75"/>
      <c r="Q401" s="73"/>
      <c r="R401" s="73"/>
      <c r="S401" s="73"/>
    </row>
    <row r="402" spans="1:19" ht="18.75" hidden="1" customHeight="1">
      <c r="A402" s="41"/>
      <c r="B402" s="33" t="s">
        <v>237</v>
      </c>
      <c r="C402" s="19"/>
      <c r="D402" s="75"/>
      <c r="E402" s="75"/>
      <c r="F402" s="75"/>
      <c r="G402" s="75"/>
      <c r="H402" s="75"/>
      <c r="I402" s="329"/>
      <c r="J402" s="75"/>
      <c r="K402" s="72">
        <f t="shared" si="637"/>
        <v>0</v>
      </c>
      <c r="L402" s="72">
        <f t="shared" si="638"/>
        <v>0</v>
      </c>
      <c r="M402" s="75"/>
      <c r="N402" s="75"/>
      <c r="O402" s="75"/>
      <c r="P402" s="75"/>
      <c r="Q402" s="73"/>
      <c r="R402" s="73"/>
      <c r="S402" s="73"/>
    </row>
    <row r="403" spans="1:19" ht="29.25" hidden="1" customHeight="1">
      <c r="A403" s="41" t="s">
        <v>238</v>
      </c>
      <c r="B403" s="38" t="s">
        <v>239</v>
      </c>
      <c r="C403" s="92" t="s">
        <v>229</v>
      </c>
      <c r="D403" s="73">
        <f t="shared" ref="D403:S405" si="642">D404</f>
        <v>0</v>
      </c>
      <c r="E403" s="73"/>
      <c r="F403" s="73"/>
      <c r="G403" s="73"/>
      <c r="H403" s="73"/>
      <c r="I403" s="202"/>
      <c r="J403" s="73"/>
      <c r="K403" s="72">
        <f t="shared" si="637"/>
        <v>0</v>
      </c>
      <c r="L403" s="72">
        <f t="shared" si="638"/>
        <v>0</v>
      </c>
      <c r="M403" s="73"/>
      <c r="N403" s="73"/>
      <c r="O403" s="73"/>
      <c r="P403" s="73"/>
      <c r="Q403" s="73">
        <f t="shared" si="642"/>
        <v>0</v>
      </c>
      <c r="R403" s="73">
        <f t="shared" si="642"/>
        <v>0</v>
      </c>
      <c r="S403" s="73">
        <f t="shared" si="642"/>
        <v>0</v>
      </c>
    </row>
    <row r="404" spans="1:19" ht="13.5" hidden="1" customHeight="1">
      <c r="A404" s="41"/>
      <c r="B404" s="31" t="s">
        <v>160</v>
      </c>
      <c r="C404" s="19"/>
      <c r="D404" s="73">
        <f t="shared" si="642"/>
        <v>0</v>
      </c>
      <c r="E404" s="73"/>
      <c r="F404" s="73"/>
      <c r="G404" s="73"/>
      <c r="H404" s="73"/>
      <c r="I404" s="202"/>
      <c r="J404" s="73"/>
      <c r="K404" s="72">
        <f t="shared" si="637"/>
        <v>0</v>
      </c>
      <c r="L404" s="72">
        <f t="shared" si="638"/>
        <v>0</v>
      </c>
      <c r="M404" s="73"/>
      <c r="N404" s="73"/>
      <c r="O404" s="73"/>
      <c r="P404" s="73"/>
      <c r="Q404" s="73">
        <f t="shared" si="642"/>
        <v>0</v>
      </c>
      <c r="R404" s="73">
        <f t="shared" si="642"/>
        <v>0</v>
      </c>
      <c r="S404" s="73">
        <f t="shared" si="642"/>
        <v>0</v>
      </c>
    </row>
    <row r="405" spans="1:19" ht="19.5" hidden="1" customHeight="1">
      <c r="A405" s="41"/>
      <c r="B405" s="40" t="s">
        <v>161</v>
      </c>
      <c r="C405" s="19">
        <v>1</v>
      </c>
      <c r="D405" s="73">
        <f t="shared" si="642"/>
        <v>0</v>
      </c>
      <c r="E405" s="73"/>
      <c r="F405" s="73"/>
      <c r="G405" s="73"/>
      <c r="H405" s="73"/>
      <c r="I405" s="202"/>
      <c r="J405" s="73"/>
      <c r="K405" s="72">
        <f t="shared" si="637"/>
        <v>0</v>
      </c>
      <c r="L405" s="72">
        <f t="shared" si="638"/>
        <v>0</v>
      </c>
      <c r="M405" s="73"/>
      <c r="N405" s="73"/>
      <c r="O405" s="73"/>
      <c r="P405" s="73"/>
      <c r="Q405" s="73">
        <f t="shared" si="642"/>
        <v>0</v>
      </c>
      <c r="R405" s="73">
        <f t="shared" si="642"/>
        <v>0</v>
      </c>
      <c r="S405" s="73">
        <f t="shared" si="642"/>
        <v>0</v>
      </c>
    </row>
    <row r="406" spans="1:19" ht="15.75" hidden="1" customHeight="1">
      <c r="A406" s="41"/>
      <c r="B406" s="58" t="s">
        <v>240</v>
      </c>
      <c r="C406" s="19" t="s">
        <v>241</v>
      </c>
      <c r="D406" s="75">
        <v>0</v>
      </c>
      <c r="E406" s="75"/>
      <c r="F406" s="75"/>
      <c r="G406" s="75"/>
      <c r="H406" s="75"/>
      <c r="I406" s="329"/>
      <c r="J406" s="75"/>
      <c r="K406" s="72">
        <f t="shared" si="637"/>
        <v>0</v>
      </c>
      <c r="L406" s="72">
        <f t="shared" si="638"/>
        <v>0</v>
      </c>
      <c r="M406" s="75"/>
      <c r="N406" s="75"/>
      <c r="O406" s="75"/>
      <c r="P406" s="75"/>
      <c r="Q406" s="73"/>
      <c r="R406" s="73"/>
      <c r="S406" s="73"/>
    </row>
    <row r="407" spans="1:19" ht="15" customHeight="1">
      <c r="A407" s="41">
        <v>3</v>
      </c>
      <c r="B407" s="464" t="s">
        <v>242</v>
      </c>
      <c r="C407" s="461" t="s">
        <v>243</v>
      </c>
      <c r="D407" s="462">
        <f t="shared" ref="D407:S407" si="643">D409</f>
        <v>1517</v>
      </c>
      <c r="E407" s="462">
        <f t="shared" si="643"/>
        <v>1237</v>
      </c>
      <c r="F407" s="462">
        <f t="shared" si="643"/>
        <v>1517</v>
      </c>
      <c r="G407" s="462">
        <f t="shared" si="643"/>
        <v>1517</v>
      </c>
      <c r="H407" s="462">
        <f t="shared" si="643"/>
        <v>1146</v>
      </c>
      <c r="I407" s="463">
        <f t="shared" si="643"/>
        <v>1313</v>
      </c>
      <c r="J407" s="462">
        <f t="shared" si="643"/>
        <v>1313</v>
      </c>
      <c r="K407" s="462">
        <f t="shared" si="637"/>
        <v>0</v>
      </c>
      <c r="L407" s="462">
        <f t="shared" si="638"/>
        <v>1313</v>
      </c>
      <c r="M407" s="462">
        <f t="shared" ref="M407" si="644">M409</f>
        <v>363</v>
      </c>
      <c r="N407" s="462">
        <f t="shared" ref="N407" si="645">N409</f>
        <v>350</v>
      </c>
      <c r="O407" s="462">
        <f t="shared" ref="O407:P407" si="646">O409</f>
        <v>350</v>
      </c>
      <c r="P407" s="462">
        <f t="shared" si="646"/>
        <v>250</v>
      </c>
      <c r="Q407" s="462">
        <f t="shared" si="643"/>
        <v>1111</v>
      </c>
      <c r="R407" s="462">
        <f t="shared" si="643"/>
        <v>909</v>
      </c>
      <c r="S407" s="462">
        <f t="shared" si="643"/>
        <v>632</v>
      </c>
    </row>
    <row r="408" spans="1:19" ht="14.25">
      <c r="A408" s="41"/>
      <c r="B408" s="31" t="s">
        <v>160</v>
      </c>
      <c r="C408" s="92"/>
      <c r="D408" s="81">
        <f t="shared" ref="D408:S408" si="647">D409</f>
        <v>1517</v>
      </c>
      <c r="E408" s="81">
        <f t="shared" si="647"/>
        <v>1237</v>
      </c>
      <c r="F408" s="81">
        <f t="shared" si="647"/>
        <v>1517</v>
      </c>
      <c r="G408" s="81">
        <f t="shared" si="647"/>
        <v>1517</v>
      </c>
      <c r="H408" s="81">
        <f t="shared" si="647"/>
        <v>1146</v>
      </c>
      <c r="I408" s="339">
        <f t="shared" si="647"/>
        <v>1313</v>
      </c>
      <c r="J408" s="81">
        <f t="shared" si="647"/>
        <v>1313</v>
      </c>
      <c r="K408" s="72">
        <f t="shared" si="637"/>
        <v>0</v>
      </c>
      <c r="L408" s="72">
        <f t="shared" si="638"/>
        <v>1313</v>
      </c>
      <c r="M408" s="81">
        <f t="shared" si="647"/>
        <v>363</v>
      </c>
      <c r="N408" s="81">
        <f t="shared" si="647"/>
        <v>350</v>
      </c>
      <c r="O408" s="81">
        <f t="shared" si="647"/>
        <v>350</v>
      </c>
      <c r="P408" s="81">
        <f t="shared" si="647"/>
        <v>250</v>
      </c>
      <c r="Q408" s="81">
        <f t="shared" si="647"/>
        <v>1111</v>
      </c>
      <c r="R408" s="81">
        <f t="shared" si="647"/>
        <v>909</v>
      </c>
      <c r="S408" s="81">
        <f t="shared" si="647"/>
        <v>632</v>
      </c>
    </row>
    <row r="409" spans="1:19" ht="16.5" customHeight="1">
      <c r="A409" s="41"/>
      <c r="B409" s="40" t="s">
        <v>161</v>
      </c>
      <c r="C409" s="92">
        <v>1</v>
      </c>
      <c r="D409" s="81">
        <f t="shared" ref="D409:S409" si="648">D411+D410</f>
        <v>1517</v>
      </c>
      <c r="E409" s="81">
        <f t="shared" si="648"/>
        <v>1237</v>
      </c>
      <c r="F409" s="81">
        <f t="shared" si="648"/>
        <v>1517</v>
      </c>
      <c r="G409" s="81">
        <f t="shared" si="648"/>
        <v>1517</v>
      </c>
      <c r="H409" s="81">
        <f t="shared" si="648"/>
        <v>1146</v>
      </c>
      <c r="I409" s="339">
        <f t="shared" si="648"/>
        <v>1313</v>
      </c>
      <c r="J409" s="81">
        <f t="shared" si="648"/>
        <v>1313</v>
      </c>
      <c r="K409" s="72">
        <f t="shared" si="637"/>
        <v>0</v>
      </c>
      <c r="L409" s="72">
        <f t="shared" si="638"/>
        <v>1313</v>
      </c>
      <c r="M409" s="81">
        <f t="shared" ref="M409" si="649">M411+M410</f>
        <v>363</v>
      </c>
      <c r="N409" s="81">
        <f t="shared" ref="N409" si="650">N411+N410</f>
        <v>350</v>
      </c>
      <c r="O409" s="81">
        <f t="shared" ref="O409:P409" si="651">O411+O410</f>
        <v>350</v>
      </c>
      <c r="P409" s="81">
        <f t="shared" si="651"/>
        <v>250</v>
      </c>
      <c r="Q409" s="81">
        <f t="shared" si="648"/>
        <v>1111</v>
      </c>
      <c r="R409" s="81">
        <f t="shared" si="648"/>
        <v>909</v>
      </c>
      <c r="S409" s="81">
        <f t="shared" si="648"/>
        <v>632</v>
      </c>
    </row>
    <row r="410" spans="1:19" ht="14.25" customHeight="1">
      <c r="A410" s="41"/>
      <c r="B410" s="40" t="s">
        <v>886</v>
      </c>
      <c r="C410" s="92" t="s">
        <v>244</v>
      </c>
      <c r="D410" s="75">
        <v>17</v>
      </c>
      <c r="E410" s="75">
        <v>17</v>
      </c>
      <c r="F410" s="75">
        <v>17</v>
      </c>
      <c r="G410" s="75">
        <v>17</v>
      </c>
      <c r="H410" s="75">
        <v>17</v>
      </c>
      <c r="I410" s="329">
        <v>13</v>
      </c>
      <c r="J410" s="75">
        <v>13</v>
      </c>
      <c r="K410" s="72">
        <f t="shared" si="637"/>
        <v>0</v>
      </c>
      <c r="L410" s="72">
        <f t="shared" si="638"/>
        <v>13</v>
      </c>
      <c r="M410" s="75">
        <v>13</v>
      </c>
      <c r="N410" s="75"/>
      <c r="O410" s="75"/>
      <c r="P410" s="75"/>
      <c r="Q410" s="73">
        <v>11</v>
      </c>
      <c r="R410" s="73">
        <v>9</v>
      </c>
      <c r="S410" s="73">
        <v>7</v>
      </c>
    </row>
    <row r="411" spans="1:19" ht="18" customHeight="1">
      <c r="A411" s="41"/>
      <c r="B411" s="40" t="s">
        <v>245</v>
      </c>
      <c r="C411" s="19">
        <v>30</v>
      </c>
      <c r="D411" s="76">
        <f t="shared" ref="D411:S411" si="652">D412+D413</f>
        <v>1500</v>
      </c>
      <c r="E411" s="76">
        <f t="shared" si="652"/>
        <v>1220</v>
      </c>
      <c r="F411" s="76">
        <f t="shared" si="652"/>
        <v>1500</v>
      </c>
      <c r="G411" s="76">
        <f t="shared" si="652"/>
        <v>1500</v>
      </c>
      <c r="H411" s="76">
        <f t="shared" si="652"/>
        <v>1129</v>
      </c>
      <c r="I411" s="330">
        <f t="shared" si="652"/>
        <v>1300</v>
      </c>
      <c r="J411" s="76">
        <f t="shared" si="652"/>
        <v>1300</v>
      </c>
      <c r="K411" s="72">
        <f t="shared" si="637"/>
        <v>0</v>
      </c>
      <c r="L411" s="72">
        <f t="shared" si="638"/>
        <v>1300</v>
      </c>
      <c r="M411" s="76">
        <f t="shared" ref="M411" si="653">M412+M413</f>
        <v>350</v>
      </c>
      <c r="N411" s="76">
        <f t="shared" ref="N411" si="654">N412+N413</f>
        <v>350</v>
      </c>
      <c r="O411" s="76">
        <f t="shared" ref="O411:P411" si="655">O412+O413</f>
        <v>350</v>
      </c>
      <c r="P411" s="76">
        <f t="shared" si="655"/>
        <v>250</v>
      </c>
      <c r="Q411" s="76">
        <f t="shared" si="652"/>
        <v>1100</v>
      </c>
      <c r="R411" s="76">
        <f t="shared" si="652"/>
        <v>900</v>
      </c>
      <c r="S411" s="76">
        <f t="shared" si="652"/>
        <v>625</v>
      </c>
    </row>
    <row r="412" spans="1:19" ht="15.75" customHeight="1">
      <c r="A412" s="41"/>
      <c r="B412" s="40" t="s">
        <v>246</v>
      </c>
      <c r="C412" s="92" t="s">
        <v>247</v>
      </c>
      <c r="D412" s="75">
        <v>1500</v>
      </c>
      <c r="E412" s="75">
        <v>523</v>
      </c>
      <c r="F412" s="75">
        <v>1500</v>
      </c>
      <c r="G412" s="75">
        <v>1500</v>
      </c>
      <c r="H412" s="75">
        <v>1129</v>
      </c>
      <c r="I412" s="329">
        <v>1300</v>
      </c>
      <c r="J412" s="75">
        <v>1300</v>
      </c>
      <c r="K412" s="72">
        <f t="shared" si="637"/>
        <v>0</v>
      </c>
      <c r="L412" s="72">
        <f t="shared" si="638"/>
        <v>1300</v>
      </c>
      <c r="M412" s="75">
        <v>350</v>
      </c>
      <c r="N412" s="75">
        <v>350</v>
      </c>
      <c r="O412" s="75">
        <v>350</v>
      </c>
      <c r="P412" s="75">
        <v>250</v>
      </c>
      <c r="Q412" s="73">
        <v>1100</v>
      </c>
      <c r="R412" s="73">
        <v>900</v>
      </c>
      <c r="S412" s="73">
        <v>625</v>
      </c>
    </row>
    <row r="413" spans="1:19" ht="0.75" customHeight="1">
      <c r="A413" s="41"/>
      <c r="B413" s="40" t="s">
        <v>248</v>
      </c>
      <c r="C413" s="92" t="s">
        <v>50</v>
      </c>
      <c r="D413" s="75"/>
      <c r="E413" s="75">
        <v>697</v>
      </c>
      <c r="F413" s="75"/>
      <c r="G413" s="75"/>
      <c r="H413" s="75"/>
      <c r="I413" s="329"/>
      <c r="J413" s="75"/>
      <c r="K413" s="72">
        <f t="shared" si="637"/>
        <v>0</v>
      </c>
      <c r="L413" s="72">
        <f t="shared" si="638"/>
        <v>0</v>
      </c>
      <c r="M413" s="75"/>
      <c r="N413" s="75"/>
      <c r="O413" s="75"/>
      <c r="P413" s="75"/>
      <c r="Q413" s="73"/>
      <c r="R413" s="73"/>
      <c r="S413" s="73"/>
    </row>
    <row r="414" spans="1:19" ht="33.75" customHeight="1">
      <c r="A414" s="49" t="s">
        <v>5</v>
      </c>
      <c r="B414" s="50" t="s">
        <v>891</v>
      </c>
      <c r="C414" s="96">
        <v>59.02</v>
      </c>
      <c r="D414" s="84">
        <f t="shared" ref="D414:S414" si="656">D422+D438</f>
        <v>1932</v>
      </c>
      <c r="E414" s="84">
        <f t="shared" si="656"/>
        <v>1029</v>
      </c>
      <c r="F414" s="84">
        <f t="shared" si="656"/>
        <v>1957</v>
      </c>
      <c r="G414" s="84">
        <f t="shared" si="656"/>
        <v>1957</v>
      </c>
      <c r="H414" s="84">
        <f t="shared" si="656"/>
        <v>1656</v>
      </c>
      <c r="I414" s="349">
        <f t="shared" si="656"/>
        <v>2555</v>
      </c>
      <c r="J414" s="84">
        <f t="shared" si="656"/>
        <v>1525</v>
      </c>
      <c r="K414" s="72">
        <f t="shared" si="637"/>
        <v>0</v>
      </c>
      <c r="L414" s="72">
        <f t="shared" si="638"/>
        <v>1525</v>
      </c>
      <c r="M414" s="84">
        <f t="shared" ref="M414" si="657">M422+M438</f>
        <v>420</v>
      </c>
      <c r="N414" s="84">
        <f t="shared" ref="N414" si="658">N422+N438</f>
        <v>395</v>
      </c>
      <c r="O414" s="84">
        <f t="shared" ref="O414:P414" si="659">O422+O438</f>
        <v>375</v>
      </c>
      <c r="P414" s="84">
        <f t="shared" si="659"/>
        <v>335</v>
      </c>
      <c r="Q414" s="84">
        <f t="shared" si="656"/>
        <v>1540</v>
      </c>
      <c r="R414" s="84">
        <f t="shared" si="656"/>
        <v>1545</v>
      </c>
      <c r="S414" s="84">
        <f t="shared" si="656"/>
        <v>1545</v>
      </c>
    </row>
    <row r="415" spans="1:19" ht="16.5" customHeight="1">
      <c r="A415" s="51"/>
      <c r="B415" s="31" t="s">
        <v>160</v>
      </c>
      <c r="C415" s="97"/>
      <c r="D415" s="84">
        <f>D424+D433+D440</f>
        <v>1720</v>
      </c>
      <c r="E415" s="84">
        <f t="shared" ref="E415:S416" si="660">E424+E433+E440</f>
        <v>901</v>
      </c>
      <c r="F415" s="84">
        <f t="shared" si="660"/>
        <v>1715</v>
      </c>
      <c r="G415" s="84">
        <f t="shared" si="660"/>
        <v>1710</v>
      </c>
      <c r="H415" s="84">
        <f t="shared" si="660"/>
        <v>1441</v>
      </c>
      <c r="I415" s="349">
        <f t="shared" si="660"/>
        <v>1758</v>
      </c>
      <c r="J415" s="84">
        <f t="shared" si="660"/>
        <v>1500</v>
      </c>
      <c r="K415" s="72">
        <f t="shared" si="637"/>
        <v>0</v>
      </c>
      <c r="L415" s="72">
        <f t="shared" si="638"/>
        <v>1500</v>
      </c>
      <c r="M415" s="84">
        <f t="shared" ref="M415" si="661">M424+M433+M440</f>
        <v>395</v>
      </c>
      <c r="N415" s="84">
        <f t="shared" ref="N415" si="662">N424+N433+N440</f>
        <v>395</v>
      </c>
      <c r="O415" s="84">
        <f t="shared" ref="O415:P415" si="663">O424+O433+O440</f>
        <v>375</v>
      </c>
      <c r="P415" s="84">
        <f t="shared" si="663"/>
        <v>335</v>
      </c>
      <c r="Q415" s="84">
        <f t="shared" si="660"/>
        <v>1540</v>
      </c>
      <c r="R415" s="84">
        <f t="shared" si="660"/>
        <v>1545</v>
      </c>
      <c r="S415" s="84">
        <f t="shared" si="660"/>
        <v>1545</v>
      </c>
    </row>
    <row r="416" spans="1:19" ht="15">
      <c r="A416" s="41"/>
      <c r="B416" s="40" t="s">
        <v>161</v>
      </c>
      <c r="C416" s="92">
        <v>0.01</v>
      </c>
      <c r="D416" s="76">
        <f>D425+D434+D441</f>
        <v>1720</v>
      </c>
      <c r="E416" s="76">
        <f t="shared" si="660"/>
        <v>901</v>
      </c>
      <c r="F416" s="76">
        <f t="shared" si="660"/>
        <v>1715</v>
      </c>
      <c r="G416" s="76">
        <f t="shared" si="660"/>
        <v>1710</v>
      </c>
      <c r="H416" s="76">
        <f t="shared" si="660"/>
        <v>1441</v>
      </c>
      <c r="I416" s="330">
        <f t="shared" si="660"/>
        <v>1758</v>
      </c>
      <c r="J416" s="76">
        <f t="shared" si="660"/>
        <v>1500</v>
      </c>
      <c r="K416" s="72">
        <f t="shared" si="637"/>
        <v>0</v>
      </c>
      <c r="L416" s="72">
        <f t="shared" si="638"/>
        <v>1500</v>
      </c>
      <c r="M416" s="76">
        <f t="shared" ref="M416" si="664">M425+M434+M441</f>
        <v>395</v>
      </c>
      <c r="N416" s="76">
        <f t="shared" ref="N416" si="665">N425+N434+N441</f>
        <v>395</v>
      </c>
      <c r="O416" s="76">
        <f t="shared" ref="O416:P416" si="666">O425+O434+O441</f>
        <v>375</v>
      </c>
      <c r="P416" s="76">
        <f t="shared" si="666"/>
        <v>335</v>
      </c>
      <c r="Q416" s="76">
        <f t="shared" si="660"/>
        <v>1540</v>
      </c>
      <c r="R416" s="76">
        <f t="shared" si="660"/>
        <v>1545</v>
      </c>
      <c r="S416" s="76">
        <f t="shared" si="660"/>
        <v>1545</v>
      </c>
    </row>
    <row r="417" spans="1:19" ht="15">
      <c r="A417" s="41"/>
      <c r="B417" s="40" t="s">
        <v>162</v>
      </c>
      <c r="C417" s="19">
        <v>10</v>
      </c>
      <c r="D417" s="76">
        <f t="shared" ref="D417:S417" si="667">D442</f>
        <v>0</v>
      </c>
      <c r="E417" s="76">
        <f t="shared" si="667"/>
        <v>0</v>
      </c>
      <c r="F417" s="76">
        <f t="shared" si="667"/>
        <v>0</v>
      </c>
      <c r="G417" s="76">
        <f t="shared" si="667"/>
        <v>0</v>
      </c>
      <c r="H417" s="76">
        <f t="shared" si="667"/>
        <v>0</v>
      </c>
      <c r="I417" s="330">
        <f t="shared" si="667"/>
        <v>0</v>
      </c>
      <c r="J417" s="76">
        <f t="shared" si="667"/>
        <v>0</v>
      </c>
      <c r="K417" s="72">
        <f t="shared" si="637"/>
        <v>0</v>
      </c>
      <c r="L417" s="72">
        <f t="shared" si="638"/>
        <v>0</v>
      </c>
      <c r="M417" s="76">
        <f t="shared" ref="M417" si="668">M442</f>
        <v>0</v>
      </c>
      <c r="N417" s="76">
        <f t="shared" ref="N417" si="669">N442</f>
        <v>0</v>
      </c>
      <c r="O417" s="76">
        <f t="shared" ref="O417:P417" si="670">O442</f>
        <v>0</v>
      </c>
      <c r="P417" s="76">
        <f t="shared" si="670"/>
        <v>0</v>
      </c>
      <c r="Q417" s="76">
        <f t="shared" si="667"/>
        <v>0</v>
      </c>
      <c r="R417" s="76">
        <f t="shared" si="667"/>
        <v>0</v>
      </c>
      <c r="S417" s="76">
        <f t="shared" si="667"/>
        <v>0</v>
      </c>
    </row>
    <row r="418" spans="1:19" ht="15">
      <c r="A418" s="41"/>
      <c r="B418" s="40" t="s">
        <v>886</v>
      </c>
      <c r="C418" s="19">
        <v>20</v>
      </c>
      <c r="D418" s="76">
        <f t="shared" ref="D418:S418" si="671">D426+D435+D443</f>
        <v>1720</v>
      </c>
      <c r="E418" s="76">
        <f t="shared" si="671"/>
        <v>901</v>
      </c>
      <c r="F418" s="76">
        <f t="shared" si="671"/>
        <v>1715</v>
      </c>
      <c r="G418" s="76">
        <f t="shared" si="671"/>
        <v>1710</v>
      </c>
      <c r="H418" s="76">
        <f t="shared" si="671"/>
        <v>1441</v>
      </c>
      <c r="I418" s="330">
        <f t="shared" si="671"/>
        <v>1743</v>
      </c>
      <c r="J418" s="76">
        <f t="shared" si="671"/>
        <v>1500</v>
      </c>
      <c r="K418" s="72">
        <f t="shared" si="637"/>
        <v>0</v>
      </c>
      <c r="L418" s="72">
        <f t="shared" si="638"/>
        <v>1500</v>
      </c>
      <c r="M418" s="76">
        <f t="shared" ref="M418" si="672">M426+M435+M443</f>
        <v>395</v>
      </c>
      <c r="N418" s="76">
        <f t="shared" ref="N418" si="673">N426+N435+N443</f>
        <v>395</v>
      </c>
      <c r="O418" s="76">
        <f t="shared" ref="O418:P418" si="674">O426+O435+O443</f>
        <v>375</v>
      </c>
      <c r="P418" s="76">
        <f t="shared" si="674"/>
        <v>335</v>
      </c>
      <c r="Q418" s="76">
        <f t="shared" si="671"/>
        <v>1520</v>
      </c>
      <c r="R418" s="76">
        <f t="shared" si="671"/>
        <v>1520</v>
      </c>
      <c r="S418" s="76">
        <f t="shared" si="671"/>
        <v>1520</v>
      </c>
    </row>
    <row r="419" spans="1:19" ht="15">
      <c r="A419" s="41"/>
      <c r="B419" s="40" t="s">
        <v>249</v>
      </c>
      <c r="C419" s="19" t="s">
        <v>250</v>
      </c>
      <c r="D419" s="76">
        <f t="shared" ref="D419:S419" si="675">D444</f>
        <v>0</v>
      </c>
      <c r="E419" s="76">
        <f t="shared" si="675"/>
        <v>0</v>
      </c>
      <c r="F419" s="76">
        <f t="shared" si="675"/>
        <v>0</v>
      </c>
      <c r="G419" s="76">
        <f t="shared" si="675"/>
        <v>0</v>
      </c>
      <c r="H419" s="76">
        <f t="shared" si="675"/>
        <v>0</v>
      </c>
      <c r="I419" s="330">
        <f t="shared" si="675"/>
        <v>15</v>
      </c>
      <c r="J419" s="76">
        <f t="shared" si="675"/>
        <v>0</v>
      </c>
      <c r="K419" s="72">
        <f t="shared" si="637"/>
        <v>0</v>
      </c>
      <c r="L419" s="72">
        <f t="shared" si="638"/>
        <v>0</v>
      </c>
      <c r="M419" s="76">
        <f t="shared" ref="M419" si="676">M444</f>
        <v>0</v>
      </c>
      <c r="N419" s="76">
        <f t="shared" ref="N419" si="677">N444</f>
        <v>0</v>
      </c>
      <c r="O419" s="76">
        <f t="shared" ref="O419:P419" si="678">O444</f>
        <v>0</v>
      </c>
      <c r="P419" s="76">
        <f t="shared" si="678"/>
        <v>0</v>
      </c>
      <c r="Q419" s="76">
        <f t="shared" si="675"/>
        <v>20</v>
      </c>
      <c r="R419" s="76">
        <f t="shared" si="675"/>
        <v>25</v>
      </c>
      <c r="S419" s="76">
        <f t="shared" si="675"/>
        <v>25</v>
      </c>
    </row>
    <row r="420" spans="1:19" ht="14.25">
      <c r="A420" s="41"/>
      <c r="B420" s="33" t="s">
        <v>172</v>
      </c>
      <c r="C420" s="19"/>
      <c r="D420" s="81">
        <f>D427+D445</f>
        <v>212</v>
      </c>
      <c r="E420" s="81">
        <f t="shared" ref="E420:S421" si="679">E427+E445</f>
        <v>128</v>
      </c>
      <c r="F420" s="81">
        <f t="shared" si="679"/>
        <v>242</v>
      </c>
      <c r="G420" s="81">
        <f t="shared" si="679"/>
        <v>247</v>
      </c>
      <c r="H420" s="81">
        <f t="shared" si="679"/>
        <v>215</v>
      </c>
      <c r="I420" s="339">
        <f t="shared" si="679"/>
        <v>731</v>
      </c>
      <c r="J420" s="81">
        <f t="shared" si="679"/>
        <v>25</v>
      </c>
      <c r="K420" s="72">
        <f t="shared" si="637"/>
        <v>0</v>
      </c>
      <c r="L420" s="72">
        <f t="shared" si="638"/>
        <v>25</v>
      </c>
      <c r="M420" s="81">
        <f t="shared" ref="M420" si="680">M427+M445</f>
        <v>25</v>
      </c>
      <c r="N420" s="81">
        <f t="shared" ref="N420" si="681">N427+N445</f>
        <v>0</v>
      </c>
      <c r="O420" s="81">
        <f t="shared" ref="O420:P420" si="682">O427+O445</f>
        <v>0</v>
      </c>
      <c r="P420" s="81">
        <f t="shared" si="682"/>
        <v>0</v>
      </c>
      <c r="Q420" s="81">
        <f t="shared" si="679"/>
        <v>0</v>
      </c>
      <c r="R420" s="81">
        <f t="shared" si="679"/>
        <v>0</v>
      </c>
      <c r="S420" s="81">
        <f t="shared" si="679"/>
        <v>0</v>
      </c>
    </row>
    <row r="421" spans="1:19" ht="15">
      <c r="A421" s="41"/>
      <c r="B421" s="40" t="s">
        <v>201</v>
      </c>
      <c r="C421" s="19">
        <v>70</v>
      </c>
      <c r="D421" s="81">
        <f>D428+D446</f>
        <v>212</v>
      </c>
      <c r="E421" s="81">
        <f t="shared" si="679"/>
        <v>128</v>
      </c>
      <c r="F421" s="81">
        <f t="shared" si="679"/>
        <v>242</v>
      </c>
      <c r="G421" s="81">
        <f t="shared" si="679"/>
        <v>247</v>
      </c>
      <c r="H421" s="81">
        <f t="shared" si="679"/>
        <v>215</v>
      </c>
      <c r="I421" s="339">
        <f t="shared" si="679"/>
        <v>731</v>
      </c>
      <c r="J421" s="81">
        <f t="shared" si="679"/>
        <v>25</v>
      </c>
      <c r="K421" s="72">
        <f t="shared" si="637"/>
        <v>0</v>
      </c>
      <c r="L421" s="72">
        <f t="shared" si="638"/>
        <v>25</v>
      </c>
      <c r="M421" s="81">
        <f t="shared" ref="M421" si="683">M428+M446</f>
        <v>25</v>
      </c>
      <c r="N421" s="81">
        <f t="shared" ref="N421" si="684">N428+N446</f>
        <v>0</v>
      </c>
      <c r="O421" s="81">
        <f t="shared" ref="O421:P421" si="685">O428+O446</f>
        <v>0</v>
      </c>
      <c r="P421" s="81">
        <f t="shared" si="685"/>
        <v>0</v>
      </c>
      <c r="Q421" s="81">
        <f t="shared" si="679"/>
        <v>0</v>
      </c>
      <c r="R421" s="81">
        <f t="shared" si="679"/>
        <v>0</v>
      </c>
      <c r="S421" s="81">
        <f t="shared" si="679"/>
        <v>0</v>
      </c>
    </row>
    <row r="422" spans="1:19" ht="14.25">
      <c r="A422" s="41">
        <v>1</v>
      </c>
      <c r="B422" s="464" t="s">
        <v>892</v>
      </c>
      <c r="C422" s="461">
        <v>60.02</v>
      </c>
      <c r="D422" s="462">
        <f t="shared" ref="D422:S422" si="686">D423+D432</f>
        <v>720</v>
      </c>
      <c r="E422" s="462">
        <f t="shared" si="686"/>
        <v>395</v>
      </c>
      <c r="F422" s="462">
        <f t="shared" si="686"/>
        <v>720</v>
      </c>
      <c r="G422" s="462">
        <f t="shared" si="686"/>
        <v>720</v>
      </c>
      <c r="H422" s="462">
        <f t="shared" si="686"/>
        <v>527</v>
      </c>
      <c r="I422" s="463">
        <f t="shared" si="686"/>
        <v>1016</v>
      </c>
      <c r="J422" s="462">
        <f t="shared" si="686"/>
        <v>550</v>
      </c>
      <c r="K422" s="462">
        <f t="shared" si="637"/>
        <v>0</v>
      </c>
      <c r="L422" s="462">
        <f t="shared" si="638"/>
        <v>550</v>
      </c>
      <c r="M422" s="462">
        <f t="shared" ref="M422" si="687">M423+M432</f>
        <v>155</v>
      </c>
      <c r="N422" s="462">
        <f t="shared" ref="N422" si="688">N423+N432</f>
        <v>155</v>
      </c>
      <c r="O422" s="462">
        <f t="shared" ref="O422:P422" si="689">O423+O432</f>
        <v>135</v>
      </c>
      <c r="P422" s="462">
        <f t="shared" si="689"/>
        <v>105</v>
      </c>
      <c r="Q422" s="462">
        <f t="shared" si="686"/>
        <v>570</v>
      </c>
      <c r="R422" s="462">
        <f t="shared" si="686"/>
        <v>570</v>
      </c>
      <c r="S422" s="462">
        <f t="shared" si="686"/>
        <v>570</v>
      </c>
    </row>
    <row r="423" spans="1:19" ht="14.25">
      <c r="A423" s="41" t="s">
        <v>251</v>
      </c>
      <c r="B423" s="59" t="s">
        <v>252</v>
      </c>
      <c r="C423" s="92" t="s">
        <v>253</v>
      </c>
      <c r="D423" s="81">
        <f t="shared" ref="D423:S423" si="690">D424+D427</f>
        <v>700</v>
      </c>
      <c r="E423" s="81">
        <f t="shared" si="690"/>
        <v>375</v>
      </c>
      <c r="F423" s="81">
        <f t="shared" si="690"/>
        <v>700</v>
      </c>
      <c r="G423" s="81">
        <f t="shared" si="690"/>
        <v>700</v>
      </c>
      <c r="H423" s="81">
        <f t="shared" si="690"/>
        <v>508</v>
      </c>
      <c r="I423" s="339">
        <f t="shared" si="690"/>
        <v>930</v>
      </c>
      <c r="J423" s="81">
        <f t="shared" si="690"/>
        <v>530</v>
      </c>
      <c r="K423" s="72">
        <f t="shared" si="637"/>
        <v>0</v>
      </c>
      <c r="L423" s="72">
        <f t="shared" si="638"/>
        <v>530</v>
      </c>
      <c r="M423" s="81">
        <f t="shared" ref="M423" si="691">M424+M427</f>
        <v>150</v>
      </c>
      <c r="N423" s="81">
        <f t="shared" ref="N423" si="692">N424+N427</f>
        <v>150</v>
      </c>
      <c r="O423" s="81">
        <f t="shared" ref="O423:P423" si="693">O424+O427</f>
        <v>130</v>
      </c>
      <c r="P423" s="81">
        <f t="shared" si="693"/>
        <v>100</v>
      </c>
      <c r="Q423" s="81">
        <f t="shared" si="690"/>
        <v>550</v>
      </c>
      <c r="R423" s="81">
        <f t="shared" si="690"/>
        <v>550</v>
      </c>
      <c r="S423" s="81">
        <f t="shared" si="690"/>
        <v>550</v>
      </c>
    </row>
    <row r="424" spans="1:19" ht="14.25">
      <c r="A424" s="41"/>
      <c r="B424" s="31" t="s">
        <v>160</v>
      </c>
      <c r="C424" s="92"/>
      <c r="D424" s="81">
        <f t="shared" ref="D424:S425" si="694">D425</f>
        <v>700</v>
      </c>
      <c r="E424" s="81">
        <f t="shared" si="694"/>
        <v>332</v>
      </c>
      <c r="F424" s="81">
        <f t="shared" si="694"/>
        <v>695</v>
      </c>
      <c r="G424" s="81">
        <f t="shared" si="694"/>
        <v>695</v>
      </c>
      <c r="H424" s="81">
        <f t="shared" si="694"/>
        <v>504</v>
      </c>
      <c r="I424" s="339">
        <f t="shared" si="694"/>
        <v>630</v>
      </c>
      <c r="J424" s="81">
        <f t="shared" si="694"/>
        <v>530</v>
      </c>
      <c r="K424" s="72">
        <f t="shared" si="637"/>
        <v>0</v>
      </c>
      <c r="L424" s="72">
        <f t="shared" si="638"/>
        <v>530</v>
      </c>
      <c r="M424" s="81">
        <f t="shared" si="694"/>
        <v>150</v>
      </c>
      <c r="N424" s="81">
        <f t="shared" si="694"/>
        <v>150</v>
      </c>
      <c r="O424" s="81">
        <f t="shared" si="694"/>
        <v>130</v>
      </c>
      <c r="P424" s="81">
        <f t="shared" si="694"/>
        <v>100</v>
      </c>
      <c r="Q424" s="81">
        <f t="shared" si="694"/>
        <v>550</v>
      </c>
      <c r="R424" s="81">
        <f t="shared" si="694"/>
        <v>550</v>
      </c>
      <c r="S424" s="81">
        <f t="shared" si="694"/>
        <v>550</v>
      </c>
    </row>
    <row r="425" spans="1:19" ht="13.5" customHeight="1">
      <c r="A425" s="41"/>
      <c r="B425" s="40" t="s">
        <v>161</v>
      </c>
      <c r="C425" s="19">
        <v>1</v>
      </c>
      <c r="D425" s="76">
        <f t="shared" si="694"/>
        <v>700</v>
      </c>
      <c r="E425" s="76">
        <f t="shared" si="694"/>
        <v>332</v>
      </c>
      <c r="F425" s="76">
        <f t="shared" si="694"/>
        <v>695</v>
      </c>
      <c r="G425" s="76">
        <f t="shared" si="694"/>
        <v>695</v>
      </c>
      <c r="H425" s="76">
        <f t="shared" si="694"/>
        <v>504</v>
      </c>
      <c r="I425" s="330">
        <f t="shared" si="694"/>
        <v>630</v>
      </c>
      <c r="J425" s="76">
        <f t="shared" si="694"/>
        <v>530</v>
      </c>
      <c r="K425" s="72">
        <f t="shared" si="637"/>
        <v>0</v>
      </c>
      <c r="L425" s="72">
        <f t="shared" si="638"/>
        <v>530</v>
      </c>
      <c r="M425" s="76">
        <f t="shared" si="694"/>
        <v>150</v>
      </c>
      <c r="N425" s="76">
        <f t="shared" si="694"/>
        <v>150</v>
      </c>
      <c r="O425" s="76">
        <f t="shared" si="694"/>
        <v>130</v>
      </c>
      <c r="P425" s="76">
        <f t="shared" si="694"/>
        <v>100</v>
      </c>
      <c r="Q425" s="76">
        <f t="shared" si="694"/>
        <v>550</v>
      </c>
      <c r="R425" s="76">
        <f t="shared" si="694"/>
        <v>550</v>
      </c>
      <c r="S425" s="76">
        <f t="shared" si="694"/>
        <v>550</v>
      </c>
    </row>
    <row r="426" spans="1:19" ht="14.25" customHeight="1">
      <c r="A426" s="41"/>
      <c r="B426" s="40" t="s">
        <v>886</v>
      </c>
      <c r="C426" s="19">
        <v>20</v>
      </c>
      <c r="D426" s="75">
        <f>500+200</f>
        <v>700</v>
      </c>
      <c r="E426" s="75">
        <v>332</v>
      </c>
      <c r="F426" s="75">
        <v>695</v>
      </c>
      <c r="G426" s="75">
        <v>695</v>
      </c>
      <c r="H426" s="75">
        <v>504</v>
      </c>
      <c r="I426" s="329">
        <v>630</v>
      </c>
      <c r="J426" s="75">
        <v>530</v>
      </c>
      <c r="K426" s="72">
        <f t="shared" si="637"/>
        <v>0</v>
      </c>
      <c r="L426" s="72">
        <f t="shared" si="638"/>
        <v>530</v>
      </c>
      <c r="M426" s="75">
        <v>150</v>
      </c>
      <c r="N426" s="75">
        <v>150</v>
      </c>
      <c r="O426" s="75">
        <v>130</v>
      </c>
      <c r="P426" s="75">
        <v>100</v>
      </c>
      <c r="Q426" s="73">
        <v>550</v>
      </c>
      <c r="R426" s="73">
        <v>550</v>
      </c>
      <c r="S426" s="73">
        <v>550</v>
      </c>
    </row>
    <row r="427" spans="1:19" ht="0.75" customHeight="1">
      <c r="A427" s="41"/>
      <c r="B427" s="33" t="s">
        <v>172</v>
      </c>
      <c r="C427" s="19"/>
      <c r="D427" s="81">
        <f t="shared" ref="D427:S427" si="695">D428</f>
        <v>0</v>
      </c>
      <c r="E427" s="81">
        <f t="shared" si="695"/>
        <v>43</v>
      </c>
      <c r="F427" s="81">
        <f t="shared" si="695"/>
        <v>5</v>
      </c>
      <c r="G427" s="81">
        <f t="shared" si="695"/>
        <v>5</v>
      </c>
      <c r="H427" s="81">
        <f t="shared" si="695"/>
        <v>4</v>
      </c>
      <c r="I427" s="339">
        <f t="shared" si="695"/>
        <v>300</v>
      </c>
      <c r="J427" s="81">
        <f t="shared" si="695"/>
        <v>0</v>
      </c>
      <c r="K427" s="72">
        <f t="shared" si="637"/>
        <v>0</v>
      </c>
      <c r="L427" s="72">
        <f t="shared" si="638"/>
        <v>0</v>
      </c>
      <c r="M427" s="81">
        <f t="shared" si="695"/>
        <v>0</v>
      </c>
      <c r="N427" s="81">
        <f t="shared" si="695"/>
        <v>0</v>
      </c>
      <c r="O427" s="81">
        <f t="shared" si="695"/>
        <v>0</v>
      </c>
      <c r="P427" s="81">
        <f t="shared" si="695"/>
        <v>0</v>
      </c>
      <c r="Q427" s="81">
        <f t="shared" si="695"/>
        <v>0</v>
      </c>
      <c r="R427" s="81">
        <f t="shared" si="695"/>
        <v>0</v>
      </c>
      <c r="S427" s="81">
        <f t="shared" si="695"/>
        <v>0</v>
      </c>
    </row>
    <row r="428" spans="1:19" ht="12.75" hidden="1" customHeight="1">
      <c r="A428" s="41"/>
      <c r="B428" s="40" t="s">
        <v>201</v>
      </c>
      <c r="C428" s="19">
        <v>70</v>
      </c>
      <c r="D428" s="76">
        <f t="shared" ref="D428:S428" si="696">D429+D430+D431</f>
        <v>0</v>
      </c>
      <c r="E428" s="76">
        <f t="shared" si="696"/>
        <v>43</v>
      </c>
      <c r="F428" s="76">
        <f t="shared" si="696"/>
        <v>5</v>
      </c>
      <c r="G428" s="76">
        <f t="shared" si="696"/>
        <v>5</v>
      </c>
      <c r="H428" s="76">
        <f t="shared" si="696"/>
        <v>4</v>
      </c>
      <c r="I428" s="330">
        <f t="shared" si="696"/>
        <v>300</v>
      </c>
      <c r="J428" s="76">
        <f t="shared" si="696"/>
        <v>0</v>
      </c>
      <c r="K428" s="72">
        <f t="shared" si="637"/>
        <v>0</v>
      </c>
      <c r="L428" s="72">
        <f t="shared" si="638"/>
        <v>0</v>
      </c>
      <c r="M428" s="76">
        <f t="shared" ref="M428" si="697">M429+M430+M431</f>
        <v>0</v>
      </c>
      <c r="N428" s="76">
        <f t="shared" ref="N428" si="698">N429+N430+N431</f>
        <v>0</v>
      </c>
      <c r="O428" s="76">
        <f t="shared" ref="O428:P428" si="699">O429+O430+O431</f>
        <v>0</v>
      </c>
      <c r="P428" s="76">
        <f t="shared" si="699"/>
        <v>0</v>
      </c>
      <c r="Q428" s="76">
        <f t="shared" si="696"/>
        <v>0</v>
      </c>
      <c r="R428" s="76">
        <f t="shared" si="696"/>
        <v>0</v>
      </c>
      <c r="S428" s="76">
        <f t="shared" si="696"/>
        <v>0</v>
      </c>
    </row>
    <row r="429" spans="1:19" ht="17.25" hidden="1" customHeight="1">
      <c r="A429" s="41"/>
      <c r="B429" s="40" t="s">
        <v>254</v>
      </c>
      <c r="C429" s="19" t="s">
        <v>205</v>
      </c>
      <c r="D429" s="75"/>
      <c r="E429" s="75">
        <v>43</v>
      </c>
      <c r="F429" s="75"/>
      <c r="G429" s="75"/>
      <c r="H429" s="75"/>
      <c r="I429" s="329">
        <v>50</v>
      </c>
      <c r="J429" s="75"/>
      <c r="K429" s="72">
        <f t="shared" si="637"/>
        <v>0</v>
      </c>
      <c r="L429" s="72">
        <f t="shared" si="638"/>
        <v>0</v>
      </c>
      <c r="M429" s="75"/>
      <c r="N429" s="75"/>
      <c r="O429" s="75"/>
      <c r="P429" s="75"/>
      <c r="Q429" s="73"/>
      <c r="R429" s="73"/>
      <c r="S429" s="73"/>
    </row>
    <row r="430" spans="1:19" ht="12" hidden="1" customHeight="1">
      <c r="A430" s="41"/>
      <c r="B430" s="40" t="s">
        <v>208</v>
      </c>
      <c r="C430" s="19" t="s">
        <v>209</v>
      </c>
      <c r="D430" s="75"/>
      <c r="E430" s="75"/>
      <c r="F430" s="75">
        <v>5</v>
      </c>
      <c r="G430" s="75">
        <v>5</v>
      </c>
      <c r="H430" s="75">
        <v>4</v>
      </c>
      <c r="I430" s="329"/>
      <c r="J430" s="75"/>
      <c r="K430" s="72">
        <f t="shared" si="637"/>
        <v>0</v>
      </c>
      <c r="L430" s="72">
        <f t="shared" si="638"/>
        <v>0</v>
      </c>
      <c r="M430" s="75"/>
      <c r="N430" s="75"/>
      <c r="O430" s="75"/>
      <c r="P430" s="75"/>
      <c r="Q430" s="73"/>
      <c r="R430" s="73"/>
      <c r="S430" s="73"/>
    </row>
    <row r="431" spans="1:19" ht="12" hidden="1" customHeight="1">
      <c r="A431" s="41"/>
      <c r="B431" s="40" t="s">
        <v>210</v>
      </c>
      <c r="C431" s="19" t="s">
        <v>211</v>
      </c>
      <c r="D431" s="75"/>
      <c r="E431" s="75"/>
      <c r="F431" s="75"/>
      <c r="G431" s="75"/>
      <c r="H431" s="75"/>
      <c r="I431" s="329">
        <v>250</v>
      </c>
      <c r="J431" s="75"/>
      <c r="K431" s="72">
        <f t="shared" si="637"/>
        <v>0</v>
      </c>
      <c r="L431" s="72">
        <f t="shared" si="638"/>
        <v>0</v>
      </c>
      <c r="M431" s="75"/>
      <c r="N431" s="75"/>
      <c r="O431" s="75"/>
      <c r="P431" s="75"/>
      <c r="Q431" s="73"/>
      <c r="R431" s="73"/>
      <c r="S431" s="73"/>
    </row>
    <row r="432" spans="1:19" ht="28.5">
      <c r="A432" s="41" t="s">
        <v>255</v>
      </c>
      <c r="B432" s="57" t="s">
        <v>256</v>
      </c>
      <c r="C432" s="92" t="s">
        <v>253</v>
      </c>
      <c r="D432" s="81">
        <f t="shared" ref="D432" si="700">D434</f>
        <v>20</v>
      </c>
      <c r="E432" s="81">
        <f>E434</f>
        <v>20</v>
      </c>
      <c r="F432" s="81">
        <f t="shared" ref="F432:H432" si="701">F434</f>
        <v>20</v>
      </c>
      <c r="G432" s="81">
        <f t="shared" si="701"/>
        <v>20</v>
      </c>
      <c r="H432" s="81">
        <f t="shared" si="701"/>
        <v>19</v>
      </c>
      <c r="I432" s="339">
        <f>I434+I436</f>
        <v>86</v>
      </c>
      <c r="J432" s="81">
        <f>J434+J436</f>
        <v>20</v>
      </c>
      <c r="K432" s="72">
        <f t="shared" si="637"/>
        <v>0</v>
      </c>
      <c r="L432" s="72">
        <f t="shared" si="638"/>
        <v>20</v>
      </c>
      <c r="M432" s="81">
        <f>M434+M436</f>
        <v>5</v>
      </c>
      <c r="N432" s="81">
        <f>N434+N436</f>
        <v>5</v>
      </c>
      <c r="O432" s="81">
        <f>O434+O436</f>
        <v>5</v>
      </c>
      <c r="P432" s="81">
        <f>P434+P436</f>
        <v>5</v>
      </c>
      <c r="Q432" s="81">
        <f t="shared" ref="Q432:S432" si="702">Q434+Q436</f>
        <v>20</v>
      </c>
      <c r="R432" s="81">
        <f t="shared" si="702"/>
        <v>20</v>
      </c>
      <c r="S432" s="81">
        <f t="shared" si="702"/>
        <v>20</v>
      </c>
    </row>
    <row r="433" spans="1:19" ht="14.25">
      <c r="A433" s="41"/>
      <c r="B433" s="31" t="s">
        <v>160</v>
      </c>
      <c r="C433" s="92"/>
      <c r="D433" s="81">
        <f t="shared" ref="D433:S434" si="703">D434</f>
        <v>20</v>
      </c>
      <c r="E433" s="81">
        <f t="shared" si="703"/>
        <v>20</v>
      </c>
      <c r="F433" s="81">
        <f t="shared" si="703"/>
        <v>20</v>
      </c>
      <c r="G433" s="81">
        <f t="shared" si="703"/>
        <v>20</v>
      </c>
      <c r="H433" s="81">
        <f t="shared" si="703"/>
        <v>19</v>
      </c>
      <c r="I433" s="339">
        <f t="shared" si="703"/>
        <v>20</v>
      </c>
      <c r="J433" s="81">
        <f t="shared" si="703"/>
        <v>20</v>
      </c>
      <c r="K433" s="72">
        <f t="shared" si="637"/>
        <v>0</v>
      </c>
      <c r="L433" s="72">
        <f t="shared" si="638"/>
        <v>20</v>
      </c>
      <c r="M433" s="81">
        <f t="shared" si="703"/>
        <v>5</v>
      </c>
      <c r="N433" s="81">
        <f t="shared" si="703"/>
        <v>5</v>
      </c>
      <c r="O433" s="81">
        <f t="shared" si="703"/>
        <v>5</v>
      </c>
      <c r="P433" s="81">
        <f t="shared" si="703"/>
        <v>5</v>
      </c>
      <c r="Q433" s="81">
        <f t="shared" si="703"/>
        <v>20</v>
      </c>
      <c r="R433" s="81">
        <f t="shared" si="703"/>
        <v>20</v>
      </c>
      <c r="S433" s="81">
        <f t="shared" si="703"/>
        <v>20</v>
      </c>
    </row>
    <row r="434" spans="1:19" ht="15">
      <c r="A434" s="41"/>
      <c r="B434" s="40" t="s">
        <v>161</v>
      </c>
      <c r="C434" s="19">
        <v>1</v>
      </c>
      <c r="D434" s="76">
        <f t="shared" si="703"/>
        <v>20</v>
      </c>
      <c r="E434" s="76">
        <f t="shared" si="703"/>
        <v>20</v>
      </c>
      <c r="F434" s="76">
        <f t="shared" si="703"/>
        <v>20</v>
      </c>
      <c r="G434" s="76">
        <f t="shared" si="703"/>
        <v>20</v>
      </c>
      <c r="H434" s="76">
        <f t="shared" si="703"/>
        <v>19</v>
      </c>
      <c r="I434" s="330">
        <f t="shared" si="703"/>
        <v>20</v>
      </c>
      <c r="J434" s="76">
        <f t="shared" si="703"/>
        <v>20</v>
      </c>
      <c r="K434" s="72">
        <f t="shared" si="637"/>
        <v>0</v>
      </c>
      <c r="L434" s="72">
        <f t="shared" si="638"/>
        <v>20</v>
      </c>
      <c r="M434" s="76">
        <f t="shared" si="703"/>
        <v>5</v>
      </c>
      <c r="N434" s="76">
        <f t="shared" si="703"/>
        <v>5</v>
      </c>
      <c r="O434" s="76">
        <f t="shared" si="703"/>
        <v>5</v>
      </c>
      <c r="P434" s="76">
        <f t="shared" si="703"/>
        <v>5</v>
      </c>
      <c r="Q434" s="76">
        <f t="shared" si="703"/>
        <v>20</v>
      </c>
      <c r="R434" s="76">
        <f t="shared" si="703"/>
        <v>20</v>
      </c>
      <c r="S434" s="76">
        <f t="shared" si="703"/>
        <v>20</v>
      </c>
    </row>
    <row r="435" spans="1:19" ht="15">
      <c r="A435" s="41"/>
      <c r="B435" s="40" t="s">
        <v>163</v>
      </c>
      <c r="C435" s="19">
        <v>20</v>
      </c>
      <c r="D435" s="75">
        <v>20</v>
      </c>
      <c r="E435" s="136">
        <v>20</v>
      </c>
      <c r="F435" s="75">
        <v>20</v>
      </c>
      <c r="G435" s="75">
        <v>20</v>
      </c>
      <c r="H435" s="75">
        <v>19</v>
      </c>
      <c r="I435" s="329">
        <v>20</v>
      </c>
      <c r="J435" s="75">
        <v>20</v>
      </c>
      <c r="K435" s="72">
        <f t="shared" si="637"/>
        <v>0</v>
      </c>
      <c r="L435" s="72">
        <f t="shared" si="638"/>
        <v>20</v>
      </c>
      <c r="M435" s="75">
        <v>5</v>
      </c>
      <c r="N435" s="75">
        <v>5</v>
      </c>
      <c r="O435" s="75">
        <v>5</v>
      </c>
      <c r="P435" s="75">
        <v>5</v>
      </c>
      <c r="Q435" s="73">
        <v>20</v>
      </c>
      <c r="R435" s="73">
        <v>20</v>
      </c>
      <c r="S435" s="73">
        <v>20</v>
      </c>
    </row>
    <row r="436" spans="1:19" ht="14.25">
      <c r="A436" s="41"/>
      <c r="B436" s="33" t="s">
        <v>172</v>
      </c>
      <c r="C436" s="19"/>
      <c r="D436" s="75"/>
      <c r="E436" s="136"/>
      <c r="F436" s="75"/>
      <c r="G436" s="75"/>
      <c r="H436" s="75"/>
      <c r="I436" s="329">
        <f>I437</f>
        <v>66</v>
      </c>
      <c r="J436" s="75">
        <f>J437</f>
        <v>0</v>
      </c>
      <c r="K436" s="72">
        <f t="shared" si="637"/>
        <v>0</v>
      </c>
      <c r="L436" s="72">
        <f t="shared" si="638"/>
        <v>0</v>
      </c>
      <c r="M436" s="75">
        <f>M437</f>
        <v>0</v>
      </c>
      <c r="N436" s="75">
        <f>N437</f>
        <v>0</v>
      </c>
      <c r="O436" s="75">
        <f>O437</f>
        <v>0</v>
      </c>
      <c r="P436" s="75">
        <f>P437</f>
        <v>0</v>
      </c>
      <c r="Q436" s="73"/>
      <c r="R436" s="73"/>
      <c r="S436" s="73"/>
    </row>
    <row r="437" spans="1:19" ht="15" hidden="1">
      <c r="A437" s="41"/>
      <c r="B437" s="40" t="s">
        <v>201</v>
      </c>
      <c r="C437" s="19">
        <v>70</v>
      </c>
      <c r="D437" s="75"/>
      <c r="E437" s="136"/>
      <c r="F437" s="75"/>
      <c r="G437" s="75"/>
      <c r="H437" s="75"/>
      <c r="I437" s="329">
        <v>66</v>
      </c>
      <c r="J437" s="75"/>
      <c r="K437" s="72">
        <f t="shared" si="637"/>
        <v>0</v>
      </c>
      <c r="L437" s="72">
        <f t="shared" si="638"/>
        <v>0</v>
      </c>
      <c r="M437" s="75"/>
      <c r="N437" s="75"/>
      <c r="O437" s="75"/>
      <c r="P437" s="75"/>
      <c r="Q437" s="73"/>
      <c r="R437" s="73"/>
      <c r="S437" s="73"/>
    </row>
    <row r="438" spans="1:19" ht="37.5" customHeight="1">
      <c r="A438" s="41">
        <v>2</v>
      </c>
      <c r="B438" s="465" t="s">
        <v>893</v>
      </c>
      <c r="C438" s="461">
        <v>61.02</v>
      </c>
      <c r="D438" s="462">
        <f t="shared" ref="D438:S438" si="704">D439</f>
        <v>1212</v>
      </c>
      <c r="E438" s="462">
        <f t="shared" si="704"/>
        <v>634</v>
      </c>
      <c r="F438" s="462">
        <f t="shared" si="704"/>
        <v>1237</v>
      </c>
      <c r="G438" s="462">
        <f t="shared" si="704"/>
        <v>1237</v>
      </c>
      <c r="H438" s="462">
        <f t="shared" si="704"/>
        <v>1129</v>
      </c>
      <c r="I438" s="463">
        <f t="shared" si="704"/>
        <v>1539</v>
      </c>
      <c r="J438" s="462">
        <f t="shared" si="704"/>
        <v>975</v>
      </c>
      <c r="K438" s="462">
        <f t="shared" si="637"/>
        <v>0</v>
      </c>
      <c r="L438" s="462">
        <f t="shared" si="638"/>
        <v>975</v>
      </c>
      <c r="M438" s="462">
        <f t="shared" si="704"/>
        <v>265</v>
      </c>
      <c r="N438" s="462">
        <f t="shared" si="704"/>
        <v>240</v>
      </c>
      <c r="O438" s="462">
        <f t="shared" si="704"/>
        <v>240</v>
      </c>
      <c r="P438" s="462">
        <f t="shared" si="704"/>
        <v>230</v>
      </c>
      <c r="Q438" s="462">
        <f t="shared" si="704"/>
        <v>970</v>
      </c>
      <c r="R438" s="462">
        <f t="shared" si="704"/>
        <v>975</v>
      </c>
      <c r="S438" s="462">
        <f t="shared" si="704"/>
        <v>975</v>
      </c>
    </row>
    <row r="439" spans="1:19" ht="33.75" customHeight="1">
      <c r="A439" s="41" t="s">
        <v>219</v>
      </c>
      <c r="B439" s="57" t="s">
        <v>257</v>
      </c>
      <c r="C439" s="19" t="s">
        <v>258</v>
      </c>
      <c r="D439" s="81">
        <f t="shared" ref="D439:S439" si="705">D440+D445</f>
        <v>1212</v>
      </c>
      <c r="E439" s="81">
        <f t="shared" si="705"/>
        <v>634</v>
      </c>
      <c r="F439" s="81">
        <f t="shared" si="705"/>
        <v>1237</v>
      </c>
      <c r="G439" s="81">
        <f t="shared" si="705"/>
        <v>1237</v>
      </c>
      <c r="H439" s="81">
        <f t="shared" si="705"/>
        <v>1129</v>
      </c>
      <c r="I439" s="339">
        <f t="shared" si="705"/>
        <v>1539</v>
      </c>
      <c r="J439" s="81">
        <f t="shared" si="705"/>
        <v>975</v>
      </c>
      <c r="K439" s="72">
        <f t="shared" si="637"/>
        <v>0</v>
      </c>
      <c r="L439" s="72">
        <f t="shared" si="638"/>
        <v>975</v>
      </c>
      <c r="M439" s="81">
        <f t="shared" ref="M439" si="706">M440+M445</f>
        <v>265</v>
      </c>
      <c r="N439" s="81">
        <f t="shared" ref="N439" si="707">N440+N445</f>
        <v>240</v>
      </c>
      <c r="O439" s="81">
        <f t="shared" ref="O439:P439" si="708">O440+O445</f>
        <v>240</v>
      </c>
      <c r="P439" s="81">
        <f t="shared" si="708"/>
        <v>230</v>
      </c>
      <c r="Q439" s="81">
        <f t="shared" si="705"/>
        <v>970</v>
      </c>
      <c r="R439" s="81">
        <f t="shared" si="705"/>
        <v>975</v>
      </c>
      <c r="S439" s="81">
        <f t="shared" si="705"/>
        <v>975</v>
      </c>
    </row>
    <row r="440" spans="1:19" ht="14.25">
      <c r="A440" s="41"/>
      <c r="B440" s="31" t="s">
        <v>160</v>
      </c>
      <c r="C440" s="19"/>
      <c r="D440" s="81">
        <f t="shared" ref="D440:S440" si="709">D441</f>
        <v>1000</v>
      </c>
      <c r="E440" s="81">
        <f t="shared" si="709"/>
        <v>549</v>
      </c>
      <c r="F440" s="81">
        <f t="shared" si="709"/>
        <v>1000</v>
      </c>
      <c r="G440" s="81">
        <f t="shared" si="709"/>
        <v>995</v>
      </c>
      <c r="H440" s="81">
        <f t="shared" si="709"/>
        <v>918</v>
      </c>
      <c r="I440" s="339">
        <f t="shared" si="709"/>
        <v>1108</v>
      </c>
      <c r="J440" s="81">
        <f t="shared" si="709"/>
        <v>950</v>
      </c>
      <c r="K440" s="72">
        <f t="shared" si="637"/>
        <v>0</v>
      </c>
      <c r="L440" s="72">
        <f t="shared" si="638"/>
        <v>950</v>
      </c>
      <c r="M440" s="81">
        <f t="shared" si="709"/>
        <v>240</v>
      </c>
      <c r="N440" s="81">
        <f t="shared" si="709"/>
        <v>240</v>
      </c>
      <c r="O440" s="81">
        <f t="shared" si="709"/>
        <v>240</v>
      </c>
      <c r="P440" s="81">
        <f t="shared" si="709"/>
        <v>230</v>
      </c>
      <c r="Q440" s="81">
        <f t="shared" si="709"/>
        <v>970</v>
      </c>
      <c r="R440" s="81">
        <f t="shared" si="709"/>
        <v>975</v>
      </c>
      <c r="S440" s="81">
        <f t="shared" si="709"/>
        <v>975</v>
      </c>
    </row>
    <row r="441" spans="1:19" ht="15">
      <c r="A441" s="41"/>
      <c r="B441" s="40" t="s">
        <v>161</v>
      </c>
      <c r="C441" s="19">
        <v>1</v>
      </c>
      <c r="D441" s="76">
        <f t="shared" ref="D441:S441" si="710">D442+D443+D444</f>
        <v>1000</v>
      </c>
      <c r="E441" s="76">
        <f t="shared" si="710"/>
        <v>549</v>
      </c>
      <c r="F441" s="76">
        <f t="shared" si="710"/>
        <v>1000</v>
      </c>
      <c r="G441" s="76">
        <f t="shared" si="710"/>
        <v>995</v>
      </c>
      <c r="H441" s="76">
        <f t="shared" si="710"/>
        <v>918</v>
      </c>
      <c r="I441" s="330">
        <f t="shared" si="710"/>
        <v>1108</v>
      </c>
      <c r="J441" s="76">
        <f t="shared" si="710"/>
        <v>950</v>
      </c>
      <c r="K441" s="72">
        <f t="shared" si="637"/>
        <v>0</v>
      </c>
      <c r="L441" s="72">
        <f t="shared" si="638"/>
        <v>950</v>
      </c>
      <c r="M441" s="76">
        <f t="shared" ref="M441" si="711">M442+M443+M444</f>
        <v>240</v>
      </c>
      <c r="N441" s="76">
        <f t="shared" ref="N441" si="712">N442+N443+N444</f>
        <v>240</v>
      </c>
      <c r="O441" s="76">
        <f t="shared" ref="O441:P441" si="713">O442+O443+O444</f>
        <v>240</v>
      </c>
      <c r="P441" s="76">
        <f t="shared" si="713"/>
        <v>230</v>
      </c>
      <c r="Q441" s="76">
        <f t="shared" si="710"/>
        <v>970</v>
      </c>
      <c r="R441" s="76">
        <f t="shared" si="710"/>
        <v>975</v>
      </c>
      <c r="S441" s="76">
        <f t="shared" si="710"/>
        <v>975</v>
      </c>
    </row>
    <row r="442" spans="1:19" ht="15" hidden="1">
      <c r="A442" s="41"/>
      <c r="B442" s="40" t="s">
        <v>162</v>
      </c>
      <c r="C442" s="19">
        <v>10</v>
      </c>
      <c r="D442" s="75"/>
      <c r="E442" s="75"/>
      <c r="F442" s="75"/>
      <c r="G442" s="75"/>
      <c r="H442" s="75"/>
      <c r="I442" s="329"/>
      <c r="J442" s="75"/>
      <c r="K442" s="72">
        <f t="shared" si="637"/>
        <v>0</v>
      </c>
      <c r="L442" s="72">
        <f t="shared" si="638"/>
        <v>0</v>
      </c>
      <c r="M442" s="75"/>
      <c r="N442" s="75"/>
      <c r="O442" s="75"/>
      <c r="P442" s="75"/>
      <c r="Q442" s="73"/>
      <c r="R442" s="73"/>
      <c r="S442" s="73"/>
    </row>
    <row r="443" spans="1:19" ht="15">
      <c r="A443" s="41"/>
      <c r="B443" s="40" t="s">
        <v>886</v>
      </c>
      <c r="C443" s="19">
        <v>20</v>
      </c>
      <c r="D443" s="75">
        <f>900+100</f>
        <v>1000</v>
      </c>
      <c r="E443" s="75">
        <v>549</v>
      </c>
      <c r="F443" s="75">
        <v>1000</v>
      </c>
      <c r="G443" s="75">
        <v>995</v>
      </c>
      <c r="H443" s="75">
        <v>918</v>
      </c>
      <c r="I443" s="329">
        <v>1093</v>
      </c>
      <c r="J443" s="75">
        <v>950</v>
      </c>
      <c r="K443" s="72">
        <f t="shared" si="637"/>
        <v>0</v>
      </c>
      <c r="L443" s="72">
        <f t="shared" si="638"/>
        <v>950</v>
      </c>
      <c r="M443" s="75">
        <v>240</v>
      </c>
      <c r="N443" s="75">
        <v>240</v>
      </c>
      <c r="O443" s="75">
        <v>240</v>
      </c>
      <c r="P443" s="75">
        <v>230</v>
      </c>
      <c r="Q443" s="73">
        <v>950</v>
      </c>
      <c r="R443" s="73">
        <v>950</v>
      </c>
      <c r="S443" s="73">
        <v>950</v>
      </c>
    </row>
    <row r="444" spans="1:19" ht="15">
      <c r="A444" s="41"/>
      <c r="B444" s="40" t="s">
        <v>249</v>
      </c>
      <c r="C444" s="19">
        <v>59.02</v>
      </c>
      <c r="D444" s="75"/>
      <c r="E444" s="75"/>
      <c r="F444" s="75"/>
      <c r="G444" s="75"/>
      <c r="H444" s="75"/>
      <c r="I444" s="329">
        <v>15</v>
      </c>
      <c r="J444" s="75">
        <v>0</v>
      </c>
      <c r="K444" s="72">
        <f t="shared" si="637"/>
        <v>0</v>
      </c>
      <c r="L444" s="72">
        <f t="shared" si="638"/>
        <v>0</v>
      </c>
      <c r="M444" s="75">
        <v>0</v>
      </c>
      <c r="N444" s="75">
        <v>0</v>
      </c>
      <c r="O444" s="75">
        <v>0</v>
      </c>
      <c r="P444" s="75">
        <v>0</v>
      </c>
      <c r="Q444" s="73">
        <v>20</v>
      </c>
      <c r="R444" s="73">
        <v>25</v>
      </c>
      <c r="S444" s="73">
        <v>25</v>
      </c>
    </row>
    <row r="445" spans="1:19" ht="14.25">
      <c r="A445" s="41"/>
      <c r="B445" s="33" t="s">
        <v>172</v>
      </c>
      <c r="C445" s="19"/>
      <c r="D445" s="81">
        <f t="shared" ref="D445:S445" si="714">D446</f>
        <v>212</v>
      </c>
      <c r="E445" s="81">
        <f t="shared" si="714"/>
        <v>85</v>
      </c>
      <c r="F445" s="81">
        <f t="shared" si="714"/>
        <v>237</v>
      </c>
      <c r="G445" s="81">
        <f t="shared" si="714"/>
        <v>242</v>
      </c>
      <c r="H445" s="81">
        <f t="shared" si="714"/>
        <v>211</v>
      </c>
      <c r="I445" s="339">
        <f t="shared" si="714"/>
        <v>431</v>
      </c>
      <c r="J445" s="81">
        <f t="shared" si="714"/>
        <v>25</v>
      </c>
      <c r="K445" s="72">
        <f t="shared" si="637"/>
        <v>0</v>
      </c>
      <c r="L445" s="72">
        <f t="shared" si="638"/>
        <v>25</v>
      </c>
      <c r="M445" s="81">
        <f t="shared" si="714"/>
        <v>25</v>
      </c>
      <c r="N445" s="81">
        <f t="shared" si="714"/>
        <v>0</v>
      </c>
      <c r="O445" s="81">
        <f t="shared" si="714"/>
        <v>0</v>
      </c>
      <c r="P445" s="81">
        <f t="shared" si="714"/>
        <v>0</v>
      </c>
      <c r="Q445" s="81">
        <f t="shared" si="714"/>
        <v>0</v>
      </c>
      <c r="R445" s="81">
        <f t="shared" si="714"/>
        <v>0</v>
      </c>
      <c r="S445" s="81">
        <f t="shared" si="714"/>
        <v>0</v>
      </c>
    </row>
    <row r="446" spans="1:19" ht="14.25" customHeight="1">
      <c r="A446" s="41"/>
      <c r="B446" s="40" t="s">
        <v>201</v>
      </c>
      <c r="C446" s="19">
        <v>70</v>
      </c>
      <c r="D446" s="75">
        <v>212</v>
      </c>
      <c r="E446" s="75">
        <v>85</v>
      </c>
      <c r="F446" s="75">
        <v>237</v>
      </c>
      <c r="G446" s="75">
        <v>242</v>
      </c>
      <c r="H446" s="75">
        <v>211</v>
      </c>
      <c r="I446" s="329">
        <v>431</v>
      </c>
      <c r="J446" s="75">
        <v>25</v>
      </c>
      <c r="K446" s="72">
        <f t="shared" si="637"/>
        <v>0</v>
      </c>
      <c r="L446" s="72">
        <f t="shared" si="638"/>
        <v>25</v>
      </c>
      <c r="M446" s="75">
        <v>25</v>
      </c>
      <c r="N446" s="75"/>
      <c r="O446" s="75"/>
      <c r="P446" s="75"/>
      <c r="Q446" s="75"/>
      <c r="R446" s="75"/>
      <c r="S446" s="75"/>
    </row>
    <row r="447" spans="1:19" ht="15" hidden="1">
      <c r="A447" s="41"/>
      <c r="B447" s="40" t="s">
        <v>254</v>
      </c>
      <c r="C447" s="19" t="s">
        <v>496</v>
      </c>
      <c r="D447" s="75"/>
      <c r="E447" s="75"/>
      <c r="F447" s="75"/>
      <c r="G447" s="75"/>
      <c r="H447" s="75"/>
      <c r="I447" s="329"/>
      <c r="J447" s="75"/>
      <c r="K447" s="72">
        <f t="shared" si="637"/>
        <v>0</v>
      </c>
      <c r="L447" s="72">
        <f t="shared" si="638"/>
        <v>0</v>
      </c>
      <c r="M447" s="75"/>
      <c r="N447" s="75"/>
      <c r="O447" s="75"/>
      <c r="P447" s="75"/>
      <c r="Q447" s="73"/>
      <c r="R447" s="73"/>
      <c r="S447" s="73"/>
    </row>
    <row r="448" spans="1:19" ht="15" hidden="1">
      <c r="A448" s="41"/>
      <c r="B448" s="40" t="s">
        <v>208</v>
      </c>
      <c r="C448" s="19" t="s">
        <v>209</v>
      </c>
      <c r="D448" s="75"/>
      <c r="E448" s="75"/>
      <c r="F448" s="75"/>
      <c r="G448" s="75"/>
      <c r="H448" s="75"/>
      <c r="I448" s="329"/>
      <c r="J448" s="75"/>
      <c r="K448" s="72">
        <f t="shared" si="637"/>
        <v>0</v>
      </c>
      <c r="L448" s="72">
        <f t="shared" si="638"/>
        <v>0</v>
      </c>
      <c r="M448" s="75"/>
      <c r="N448" s="75"/>
      <c r="O448" s="75"/>
      <c r="P448" s="75"/>
      <c r="Q448" s="73"/>
      <c r="R448" s="73"/>
      <c r="S448" s="73"/>
    </row>
    <row r="449" spans="1:19" ht="28.5" customHeight="1">
      <c r="A449" s="48" t="s">
        <v>6</v>
      </c>
      <c r="B449" s="50" t="s">
        <v>894</v>
      </c>
      <c r="C449" s="102">
        <v>64.02</v>
      </c>
      <c r="D449" s="84">
        <f t="shared" ref="D449:S449" si="715">D466+D558+D620+D720</f>
        <v>277375.88</v>
      </c>
      <c r="E449" s="84">
        <f t="shared" si="715"/>
        <v>331925</v>
      </c>
      <c r="F449" s="84">
        <f t="shared" si="715"/>
        <v>285166</v>
      </c>
      <c r="G449" s="84">
        <f t="shared" si="715"/>
        <v>295026.82</v>
      </c>
      <c r="H449" s="84">
        <f t="shared" si="715"/>
        <v>271387.74</v>
      </c>
      <c r="I449" s="349">
        <f t="shared" si="715"/>
        <v>266834.32</v>
      </c>
      <c r="J449" s="84">
        <f t="shared" si="715"/>
        <v>266155</v>
      </c>
      <c r="K449" s="72">
        <f t="shared" si="637"/>
        <v>0</v>
      </c>
      <c r="L449" s="72">
        <f t="shared" si="638"/>
        <v>266155</v>
      </c>
      <c r="M449" s="84">
        <f t="shared" ref="M449" si="716">M466+M558+M620+M720</f>
        <v>120726</v>
      </c>
      <c r="N449" s="84">
        <f t="shared" ref="N449" si="717">N466+N558+N620+N720</f>
        <v>57959</v>
      </c>
      <c r="O449" s="84">
        <f t="shared" ref="O449:P449" si="718">O466+O558+O620+O720</f>
        <v>52651</v>
      </c>
      <c r="P449" s="84">
        <f t="shared" si="718"/>
        <v>34819</v>
      </c>
      <c r="Q449" s="84">
        <f t="shared" si="715"/>
        <v>208147</v>
      </c>
      <c r="R449" s="84">
        <f t="shared" si="715"/>
        <v>193399</v>
      </c>
      <c r="S449" s="84">
        <f t="shared" si="715"/>
        <v>199311</v>
      </c>
    </row>
    <row r="450" spans="1:19" ht="19.5" customHeight="1">
      <c r="A450" s="41"/>
      <c r="B450" s="31" t="s">
        <v>160</v>
      </c>
      <c r="C450" s="103"/>
      <c r="D450" s="81">
        <f t="shared" ref="D450:S451" si="719">D467+D560+D568+D621+D721</f>
        <v>230780.88</v>
      </c>
      <c r="E450" s="81">
        <f t="shared" si="719"/>
        <v>313834</v>
      </c>
      <c r="F450" s="81">
        <f t="shared" si="719"/>
        <v>230520</v>
      </c>
      <c r="G450" s="81">
        <f t="shared" si="719"/>
        <v>237651.82</v>
      </c>
      <c r="H450" s="81">
        <f t="shared" si="719"/>
        <v>216962.58000000002</v>
      </c>
      <c r="I450" s="339">
        <f t="shared" si="719"/>
        <v>248312</v>
      </c>
      <c r="J450" s="81">
        <f t="shared" si="719"/>
        <v>225149</v>
      </c>
      <c r="K450" s="72">
        <f t="shared" si="637"/>
        <v>0</v>
      </c>
      <c r="L450" s="72">
        <f t="shared" si="638"/>
        <v>225149</v>
      </c>
      <c r="M450" s="81">
        <f t="shared" ref="M450" si="720">M467+M560+M568+M621+M721</f>
        <v>88011</v>
      </c>
      <c r="N450" s="81">
        <f t="shared" ref="N450" si="721">N467+N560+N568+N621+N721</f>
        <v>53262</v>
      </c>
      <c r="O450" s="81">
        <f t="shared" ref="O450:P450" si="722">O467+O560+O568+O621+O721</f>
        <v>49655</v>
      </c>
      <c r="P450" s="81">
        <f t="shared" si="722"/>
        <v>34221</v>
      </c>
      <c r="Q450" s="81">
        <f t="shared" si="719"/>
        <v>195123</v>
      </c>
      <c r="R450" s="81">
        <f t="shared" si="719"/>
        <v>189254</v>
      </c>
      <c r="S450" s="81">
        <f t="shared" si="719"/>
        <v>195701</v>
      </c>
    </row>
    <row r="451" spans="1:19" ht="15">
      <c r="A451" s="41"/>
      <c r="B451" s="40" t="s">
        <v>161</v>
      </c>
      <c r="C451" s="19">
        <v>1</v>
      </c>
      <c r="D451" s="76">
        <f t="shared" si="719"/>
        <v>230780.88</v>
      </c>
      <c r="E451" s="76">
        <f t="shared" si="719"/>
        <v>313910</v>
      </c>
      <c r="F451" s="76">
        <f t="shared" si="719"/>
        <v>230066</v>
      </c>
      <c r="G451" s="76">
        <f t="shared" si="719"/>
        <v>237151.82</v>
      </c>
      <c r="H451" s="76">
        <f t="shared" si="719"/>
        <v>216508.58000000002</v>
      </c>
      <c r="I451" s="330">
        <f t="shared" si="719"/>
        <v>248012</v>
      </c>
      <c r="J451" s="76">
        <f t="shared" si="719"/>
        <v>224849</v>
      </c>
      <c r="K451" s="72">
        <f t="shared" si="637"/>
        <v>0</v>
      </c>
      <c r="L451" s="72">
        <f t="shared" si="638"/>
        <v>224849</v>
      </c>
      <c r="M451" s="76">
        <f t="shared" ref="M451" si="723">M468+M561+M569+M622+M722</f>
        <v>88011</v>
      </c>
      <c r="N451" s="76">
        <f t="shared" ref="N451" si="724">N468+N561+N569+N622+N722</f>
        <v>53112</v>
      </c>
      <c r="O451" s="76">
        <f t="shared" ref="O451:P451" si="725">O468+O561+O569+O622+O722</f>
        <v>49505</v>
      </c>
      <c r="P451" s="76">
        <f t="shared" si="725"/>
        <v>34221</v>
      </c>
      <c r="Q451" s="76">
        <f t="shared" si="719"/>
        <v>194823</v>
      </c>
      <c r="R451" s="76">
        <f t="shared" si="719"/>
        <v>188954</v>
      </c>
      <c r="S451" s="76">
        <f t="shared" si="719"/>
        <v>195401</v>
      </c>
    </row>
    <row r="452" spans="1:19" ht="15">
      <c r="A452" s="41"/>
      <c r="B452" s="40" t="s">
        <v>162</v>
      </c>
      <c r="C452" s="19">
        <v>10</v>
      </c>
      <c r="D452" s="76">
        <f t="shared" ref="D452:S452" si="726">D469+D723</f>
        <v>108276.88</v>
      </c>
      <c r="E452" s="76">
        <f t="shared" si="726"/>
        <v>87481</v>
      </c>
      <c r="F452" s="76">
        <f t="shared" si="726"/>
        <v>108285</v>
      </c>
      <c r="G452" s="76">
        <f t="shared" si="726"/>
        <v>104968.88</v>
      </c>
      <c r="H452" s="76">
        <f t="shared" si="726"/>
        <v>100868.41</v>
      </c>
      <c r="I452" s="330">
        <f t="shared" si="726"/>
        <v>118603</v>
      </c>
      <c r="J452" s="76">
        <f t="shared" si="726"/>
        <v>97536</v>
      </c>
      <c r="K452" s="72">
        <f t="shared" si="637"/>
        <v>0</v>
      </c>
      <c r="L452" s="72">
        <f t="shared" si="638"/>
        <v>97536</v>
      </c>
      <c r="M452" s="76">
        <f t="shared" ref="M452" si="727">M469+M723</f>
        <v>47333</v>
      </c>
      <c r="N452" s="76">
        <f t="shared" ref="N452" si="728">N469+N723</f>
        <v>21325</v>
      </c>
      <c r="O452" s="76">
        <f t="shared" ref="O452:P452" si="729">O469+O723</f>
        <v>21287</v>
      </c>
      <c r="P452" s="76">
        <f t="shared" si="729"/>
        <v>7591</v>
      </c>
      <c r="Q452" s="76">
        <f t="shared" si="726"/>
        <v>72878</v>
      </c>
      <c r="R452" s="76">
        <f t="shared" si="726"/>
        <v>66957</v>
      </c>
      <c r="S452" s="76">
        <f t="shared" si="726"/>
        <v>73404</v>
      </c>
    </row>
    <row r="453" spans="1:19" ht="15">
      <c r="A453" s="41"/>
      <c r="B453" s="40" t="s">
        <v>886</v>
      </c>
      <c r="C453" s="19">
        <v>20</v>
      </c>
      <c r="D453" s="76">
        <f t="shared" ref="D453:S453" si="730">D470+D623+D724</f>
        <v>22875</v>
      </c>
      <c r="E453" s="76">
        <f t="shared" si="730"/>
        <v>17784</v>
      </c>
      <c r="F453" s="76">
        <f t="shared" si="730"/>
        <v>22638</v>
      </c>
      <c r="G453" s="76">
        <f t="shared" si="730"/>
        <v>23276.25</v>
      </c>
      <c r="H453" s="76">
        <f t="shared" si="730"/>
        <v>20280.53</v>
      </c>
      <c r="I453" s="330">
        <f t="shared" si="730"/>
        <v>27674</v>
      </c>
      <c r="J453" s="76">
        <f t="shared" si="730"/>
        <v>20182</v>
      </c>
      <c r="K453" s="72">
        <f t="shared" si="637"/>
        <v>0</v>
      </c>
      <c r="L453" s="72">
        <f t="shared" si="638"/>
        <v>20182</v>
      </c>
      <c r="M453" s="76">
        <f t="shared" ref="M453" si="731">M470+M623+M724</f>
        <v>7724</v>
      </c>
      <c r="N453" s="76">
        <f t="shared" ref="N453" si="732">N470+N623+N724</f>
        <v>5129</v>
      </c>
      <c r="O453" s="76">
        <f t="shared" ref="O453:P453" si="733">O470+O623+O724</f>
        <v>4295</v>
      </c>
      <c r="P453" s="76">
        <f t="shared" si="733"/>
        <v>3034</v>
      </c>
      <c r="Q453" s="76">
        <f t="shared" si="730"/>
        <v>20735</v>
      </c>
      <c r="R453" s="76">
        <f t="shared" si="730"/>
        <v>20735</v>
      </c>
      <c r="S453" s="76">
        <f t="shared" si="730"/>
        <v>20735</v>
      </c>
    </row>
    <row r="454" spans="1:19" ht="15">
      <c r="A454" s="41"/>
      <c r="B454" s="40" t="s">
        <v>259</v>
      </c>
      <c r="C454" s="19">
        <v>51</v>
      </c>
      <c r="D454" s="76">
        <f t="shared" ref="D454:S454" si="734">D562+D570+D624+D725+D471</f>
        <v>70726</v>
      </c>
      <c r="E454" s="76">
        <f t="shared" si="734"/>
        <v>49908</v>
      </c>
      <c r="F454" s="76">
        <f t="shared" si="734"/>
        <v>71484</v>
      </c>
      <c r="G454" s="76">
        <f t="shared" si="734"/>
        <v>73525</v>
      </c>
      <c r="H454" s="76">
        <f t="shared" si="734"/>
        <v>69128</v>
      </c>
      <c r="I454" s="330">
        <f t="shared" si="734"/>
        <v>70880</v>
      </c>
      <c r="J454" s="76">
        <f t="shared" si="734"/>
        <v>76239</v>
      </c>
      <c r="K454" s="72">
        <f t="shared" si="637"/>
        <v>0</v>
      </c>
      <c r="L454" s="72">
        <f t="shared" si="638"/>
        <v>76239</v>
      </c>
      <c r="M454" s="76">
        <f t="shared" ref="M454" si="735">M562+M570+M624+M725+M471</f>
        <v>20994</v>
      </c>
      <c r="N454" s="76">
        <f t="shared" ref="N454" si="736">N562+N570+N624+N725+N471</f>
        <v>18618</v>
      </c>
      <c r="O454" s="76">
        <f t="shared" ref="O454:P454" si="737">O562+O570+O624+O725+O471</f>
        <v>18353</v>
      </c>
      <c r="P454" s="76">
        <f t="shared" si="737"/>
        <v>18274</v>
      </c>
      <c r="Q454" s="76">
        <f t="shared" si="734"/>
        <v>69737</v>
      </c>
      <c r="R454" s="76">
        <f t="shared" si="734"/>
        <v>69739</v>
      </c>
      <c r="S454" s="76">
        <f t="shared" si="734"/>
        <v>69739</v>
      </c>
    </row>
    <row r="455" spans="1:19" ht="15">
      <c r="A455" s="41"/>
      <c r="B455" s="40" t="s">
        <v>168</v>
      </c>
      <c r="C455" s="19">
        <v>57</v>
      </c>
      <c r="D455" s="76">
        <f t="shared" ref="D455:S455" si="738">D472+D726</f>
        <v>14763</v>
      </c>
      <c r="E455" s="76">
        <f t="shared" si="738"/>
        <v>145194</v>
      </c>
      <c r="F455" s="76">
        <f t="shared" si="738"/>
        <v>13519</v>
      </c>
      <c r="G455" s="76">
        <f t="shared" si="738"/>
        <v>21241.69</v>
      </c>
      <c r="H455" s="76">
        <f t="shared" si="738"/>
        <v>12930</v>
      </c>
      <c r="I455" s="330">
        <f t="shared" si="738"/>
        <v>16620</v>
      </c>
      <c r="J455" s="76">
        <f t="shared" si="738"/>
        <v>15840</v>
      </c>
      <c r="K455" s="72">
        <f t="shared" si="637"/>
        <v>0</v>
      </c>
      <c r="L455" s="72">
        <f t="shared" si="638"/>
        <v>15840</v>
      </c>
      <c r="M455" s="76">
        <f t="shared" ref="M455" si="739">M472+M726</f>
        <v>6590</v>
      </c>
      <c r="N455" s="76">
        <f t="shared" ref="N455" si="740">N472+N726</f>
        <v>3170</v>
      </c>
      <c r="O455" s="76">
        <f t="shared" ref="O455:P455" si="741">O472+O726</f>
        <v>3357</v>
      </c>
      <c r="P455" s="76">
        <f t="shared" si="741"/>
        <v>2723</v>
      </c>
      <c r="Q455" s="76">
        <f t="shared" si="738"/>
        <v>17238</v>
      </c>
      <c r="R455" s="76">
        <f t="shared" si="738"/>
        <v>17288</v>
      </c>
      <c r="S455" s="76">
        <f t="shared" si="738"/>
        <v>17288</v>
      </c>
    </row>
    <row r="456" spans="1:19" ht="15">
      <c r="A456" s="41"/>
      <c r="B456" s="40" t="s">
        <v>169</v>
      </c>
      <c r="C456" s="19">
        <v>59</v>
      </c>
      <c r="D456" s="76">
        <f t="shared" ref="D456:S456" si="742">D625+D727+D494</f>
        <v>14140</v>
      </c>
      <c r="E456" s="76">
        <f t="shared" si="742"/>
        <v>13731</v>
      </c>
      <c r="F456" s="76">
        <f t="shared" si="742"/>
        <v>14594</v>
      </c>
      <c r="G456" s="76">
        <f t="shared" si="742"/>
        <v>14640</v>
      </c>
      <c r="H456" s="76">
        <f t="shared" si="742"/>
        <v>14428.64</v>
      </c>
      <c r="I456" s="330">
        <f t="shared" si="742"/>
        <v>14535</v>
      </c>
      <c r="J456" s="76">
        <f t="shared" si="742"/>
        <v>15352</v>
      </c>
      <c r="K456" s="72">
        <f t="shared" si="637"/>
        <v>0</v>
      </c>
      <c r="L456" s="72">
        <f t="shared" si="638"/>
        <v>15352</v>
      </c>
      <c r="M456" s="76">
        <f t="shared" ref="M456" si="743">M625+M727+M494</f>
        <v>5370</v>
      </c>
      <c r="N456" s="76">
        <f t="shared" ref="N456" si="744">N625+N727+N494</f>
        <v>5020</v>
      </c>
      <c r="O456" s="76">
        <f t="shared" ref="O456:P456" si="745">O625+O727+O494</f>
        <v>2363</v>
      </c>
      <c r="P456" s="76">
        <f t="shared" si="745"/>
        <v>2599</v>
      </c>
      <c r="Q456" s="76">
        <f t="shared" si="742"/>
        <v>14535</v>
      </c>
      <c r="R456" s="76">
        <f t="shared" si="742"/>
        <v>14535</v>
      </c>
      <c r="S456" s="76">
        <f t="shared" si="742"/>
        <v>14535</v>
      </c>
    </row>
    <row r="457" spans="1:19" ht="0.75" customHeight="1">
      <c r="A457" s="41"/>
      <c r="B457" s="40" t="s">
        <v>171</v>
      </c>
      <c r="C457" s="92" t="s">
        <v>260</v>
      </c>
      <c r="D457" s="76">
        <f t="shared" ref="D457:S457" si="746">D473</f>
        <v>0</v>
      </c>
      <c r="E457" s="76">
        <f t="shared" si="746"/>
        <v>-72</v>
      </c>
      <c r="F457" s="76">
        <f t="shared" si="746"/>
        <v>0</v>
      </c>
      <c r="G457" s="76">
        <f t="shared" si="746"/>
        <v>0</v>
      </c>
      <c r="H457" s="76">
        <f t="shared" si="746"/>
        <v>0</v>
      </c>
      <c r="I457" s="330">
        <f t="shared" si="746"/>
        <v>0</v>
      </c>
      <c r="J457" s="76">
        <f t="shared" si="746"/>
        <v>0</v>
      </c>
      <c r="K457" s="72">
        <f t="shared" si="637"/>
        <v>0</v>
      </c>
      <c r="L457" s="72">
        <f t="shared" si="638"/>
        <v>0</v>
      </c>
      <c r="M457" s="76">
        <f t="shared" ref="M457" si="747">M473</f>
        <v>0</v>
      </c>
      <c r="N457" s="76">
        <f t="shared" ref="N457" si="748">N473</f>
        <v>0</v>
      </c>
      <c r="O457" s="76">
        <f t="shared" ref="O457:P457" si="749">O473</f>
        <v>0</v>
      </c>
      <c r="P457" s="76">
        <f t="shared" si="749"/>
        <v>0</v>
      </c>
      <c r="Q457" s="76">
        <f t="shared" si="746"/>
        <v>0</v>
      </c>
      <c r="R457" s="76">
        <f t="shared" si="746"/>
        <v>0</v>
      </c>
      <c r="S457" s="76">
        <f t="shared" si="746"/>
        <v>0</v>
      </c>
    </row>
    <row r="458" spans="1:19" ht="14.25">
      <c r="A458" s="41"/>
      <c r="B458" s="33" t="s">
        <v>172</v>
      </c>
      <c r="C458" s="19"/>
      <c r="D458" s="81">
        <f>D474+D564+D627+D729</f>
        <v>46595</v>
      </c>
      <c r="E458" s="81">
        <f>E474+E564+E627+E729+E603+E606+E609+E612+E615+E618</f>
        <v>18091</v>
      </c>
      <c r="F458" s="81">
        <f t="shared" ref="F458:S458" si="750">F474+F564+F627+F729+F603+F606+F609+F612+F615+F618</f>
        <v>54646</v>
      </c>
      <c r="G458" s="81">
        <f t="shared" si="750"/>
        <v>57375</v>
      </c>
      <c r="H458" s="81">
        <f t="shared" si="750"/>
        <v>54425.16</v>
      </c>
      <c r="I458" s="339">
        <f t="shared" si="750"/>
        <v>18522.32</v>
      </c>
      <c r="J458" s="81">
        <f t="shared" si="750"/>
        <v>41006</v>
      </c>
      <c r="K458" s="72">
        <f t="shared" si="637"/>
        <v>0</v>
      </c>
      <c r="L458" s="72">
        <f t="shared" si="638"/>
        <v>41006</v>
      </c>
      <c r="M458" s="81">
        <f t="shared" ref="M458" si="751">M474+M564+M627+M729+M603+M606+M609+M612+M615+M618</f>
        <v>32715</v>
      </c>
      <c r="N458" s="81">
        <f t="shared" ref="N458" si="752">N474+N564+N627+N729+N603+N606+N609+N612+N615+N618</f>
        <v>4697</v>
      </c>
      <c r="O458" s="81">
        <f t="shared" ref="O458:P458" si="753">O474+O564+O627+O729+O603+O606+O609+O612+O615+O618</f>
        <v>2996</v>
      </c>
      <c r="P458" s="81">
        <f t="shared" si="753"/>
        <v>598</v>
      </c>
      <c r="Q458" s="81">
        <f t="shared" si="750"/>
        <v>13024</v>
      </c>
      <c r="R458" s="81">
        <f t="shared" si="750"/>
        <v>4145</v>
      </c>
      <c r="S458" s="81">
        <f t="shared" si="750"/>
        <v>3610</v>
      </c>
    </row>
    <row r="459" spans="1:19" ht="15">
      <c r="A459" s="41"/>
      <c r="B459" s="40" t="s">
        <v>261</v>
      </c>
      <c r="C459" s="19" t="s">
        <v>175</v>
      </c>
      <c r="D459" s="76">
        <f t="shared" ref="D459:S460" si="754">D565</f>
        <v>41439</v>
      </c>
      <c r="E459" s="76">
        <f t="shared" si="754"/>
        <v>10614</v>
      </c>
      <c r="F459" s="76">
        <f t="shared" si="754"/>
        <v>42199</v>
      </c>
      <c r="G459" s="76">
        <f t="shared" si="754"/>
        <v>42615</v>
      </c>
      <c r="H459" s="76">
        <f t="shared" si="754"/>
        <v>42199</v>
      </c>
      <c r="I459" s="330">
        <f t="shared" si="754"/>
        <v>0</v>
      </c>
      <c r="J459" s="76">
        <f t="shared" si="754"/>
        <v>29209</v>
      </c>
      <c r="K459" s="72">
        <f t="shared" si="637"/>
        <v>0</v>
      </c>
      <c r="L459" s="72">
        <f t="shared" si="638"/>
        <v>29209</v>
      </c>
      <c r="M459" s="76">
        <f t="shared" ref="M459" si="755">M565</f>
        <v>29209</v>
      </c>
      <c r="N459" s="76">
        <f t="shared" ref="N459" si="756">N565</f>
        <v>0</v>
      </c>
      <c r="O459" s="76">
        <f t="shared" ref="O459:P459" si="757">O565</f>
        <v>0</v>
      </c>
      <c r="P459" s="76">
        <f t="shared" si="757"/>
        <v>0</v>
      </c>
      <c r="Q459" s="76">
        <f t="shared" si="754"/>
        <v>0</v>
      </c>
      <c r="R459" s="76">
        <f t="shared" si="754"/>
        <v>0</v>
      </c>
      <c r="S459" s="76">
        <f t="shared" si="754"/>
        <v>0</v>
      </c>
    </row>
    <row r="460" spans="1:19" ht="14.25" customHeight="1">
      <c r="A460" s="41"/>
      <c r="B460" s="40" t="s">
        <v>176</v>
      </c>
      <c r="C460" s="19" t="s">
        <v>177</v>
      </c>
      <c r="D460" s="76">
        <f t="shared" si="754"/>
        <v>0</v>
      </c>
      <c r="E460" s="76">
        <f>E566+E604+E607+E610+E613+E616+E619</f>
        <v>0</v>
      </c>
      <c r="F460" s="76">
        <f t="shared" ref="F460:S460" si="758">F566+F604+F607+F610+F613+F616+F619</f>
        <v>5536</v>
      </c>
      <c r="G460" s="76">
        <f t="shared" si="758"/>
        <v>5536</v>
      </c>
      <c r="H460" s="76">
        <f t="shared" si="758"/>
        <v>5536</v>
      </c>
      <c r="I460" s="330">
        <f t="shared" si="758"/>
        <v>0</v>
      </c>
      <c r="J460" s="76">
        <f t="shared" si="758"/>
        <v>0</v>
      </c>
      <c r="K460" s="72">
        <f t="shared" ref="K460:K523" si="759">J460-L460</f>
        <v>0</v>
      </c>
      <c r="L460" s="72">
        <f t="shared" ref="L460:L523" si="760">M460+N460+O460+P460</f>
        <v>0</v>
      </c>
      <c r="M460" s="76">
        <f t="shared" ref="M460" si="761">M566+M604+M607+M610+M613+M616+M619</f>
        <v>0</v>
      </c>
      <c r="N460" s="76">
        <f t="shared" ref="N460" si="762">N566+N604+N607+N610+N613+N616+N619</f>
        <v>0</v>
      </c>
      <c r="O460" s="76">
        <f t="shared" ref="O460:P460" si="763">O566+O604+O607+O610+O613+O616+O619</f>
        <v>0</v>
      </c>
      <c r="P460" s="76">
        <f t="shared" si="763"/>
        <v>0</v>
      </c>
      <c r="Q460" s="76">
        <f t="shared" si="758"/>
        <v>0</v>
      </c>
      <c r="R460" s="76">
        <f t="shared" si="758"/>
        <v>0</v>
      </c>
      <c r="S460" s="76">
        <f t="shared" si="758"/>
        <v>0</v>
      </c>
    </row>
    <row r="461" spans="1:19" ht="15">
      <c r="A461" s="41"/>
      <c r="B461" s="40" t="s">
        <v>178</v>
      </c>
      <c r="C461" s="19" t="s">
        <v>179</v>
      </c>
      <c r="D461" s="76">
        <f t="shared" ref="D461:S461" si="764">D628+D730</f>
        <v>2262</v>
      </c>
      <c r="E461" s="76">
        <f t="shared" si="764"/>
        <v>5359</v>
      </c>
      <c r="F461" s="76">
        <f t="shared" si="764"/>
        <v>3306</v>
      </c>
      <c r="G461" s="76">
        <f t="shared" si="764"/>
        <v>4428</v>
      </c>
      <c r="H461" s="76">
        <f t="shared" si="764"/>
        <v>4038</v>
      </c>
      <c r="I461" s="330">
        <f t="shared" si="764"/>
        <v>5382</v>
      </c>
      <c r="J461" s="76">
        <f t="shared" si="764"/>
        <v>468</v>
      </c>
      <c r="K461" s="72">
        <f t="shared" si="759"/>
        <v>0</v>
      </c>
      <c r="L461" s="72">
        <f t="shared" si="760"/>
        <v>468</v>
      </c>
      <c r="M461" s="76">
        <f t="shared" ref="M461" si="765">M628+M730</f>
        <v>468</v>
      </c>
      <c r="N461" s="76">
        <f t="shared" ref="N461" si="766">N628+N730</f>
        <v>0</v>
      </c>
      <c r="O461" s="76">
        <f t="shared" ref="O461:P461" si="767">O628+O730</f>
        <v>0</v>
      </c>
      <c r="P461" s="76">
        <f t="shared" si="767"/>
        <v>0</v>
      </c>
      <c r="Q461" s="76">
        <f t="shared" si="764"/>
        <v>0</v>
      </c>
      <c r="R461" s="76">
        <f t="shared" si="764"/>
        <v>0</v>
      </c>
      <c r="S461" s="76">
        <f t="shared" si="764"/>
        <v>0</v>
      </c>
    </row>
    <row r="462" spans="1:19" ht="15" hidden="1">
      <c r="A462" s="41"/>
      <c r="B462" s="40" t="s">
        <v>262</v>
      </c>
      <c r="C462" s="19">
        <v>55</v>
      </c>
      <c r="D462" s="76">
        <f t="shared" ref="D462:S462" si="768">D711</f>
        <v>0</v>
      </c>
      <c r="E462" s="76">
        <f t="shared" si="768"/>
        <v>0</v>
      </c>
      <c r="F462" s="76">
        <f t="shared" si="768"/>
        <v>0</v>
      </c>
      <c r="G462" s="76">
        <f t="shared" si="768"/>
        <v>0</v>
      </c>
      <c r="H462" s="76">
        <f t="shared" si="768"/>
        <v>0</v>
      </c>
      <c r="I462" s="330">
        <f t="shared" si="768"/>
        <v>0</v>
      </c>
      <c r="J462" s="76">
        <f t="shared" si="768"/>
        <v>0</v>
      </c>
      <c r="K462" s="72">
        <f t="shared" si="759"/>
        <v>0</v>
      </c>
      <c r="L462" s="72">
        <f t="shared" si="760"/>
        <v>0</v>
      </c>
      <c r="M462" s="76">
        <f t="shared" ref="M462" si="769">M711</f>
        <v>0</v>
      </c>
      <c r="N462" s="76">
        <f t="shared" ref="N462" si="770">N711</f>
        <v>0</v>
      </c>
      <c r="O462" s="76">
        <f t="shared" ref="O462:P462" si="771">O711</f>
        <v>0</v>
      </c>
      <c r="P462" s="76">
        <f t="shared" si="771"/>
        <v>0</v>
      </c>
      <c r="Q462" s="76">
        <f t="shared" si="768"/>
        <v>0</v>
      </c>
      <c r="R462" s="76">
        <f t="shared" si="768"/>
        <v>0</v>
      </c>
      <c r="S462" s="76">
        <f t="shared" si="768"/>
        <v>0</v>
      </c>
    </row>
    <row r="463" spans="1:19" ht="14.25">
      <c r="A463" s="41"/>
      <c r="B463" s="33" t="s">
        <v>181</v>
      </c>
      <c r="C463" s="19">
        <v>56</v>
      </c>
      <c r="D463" s="76">
        <f t="shared" ref="D463:S463" si="772">D475+D630+D731</f>
        <v>160</v>
      </c>
      <c r="E463" s="76">
        <f t="shared" si="772"/>
        <v>345</v>
      </c>
      <c r="F463" s="76">
        <f t="shared" si="772"/>
        <v>160</v>
      </c>
      <c r="G463" s="76">
        <f t="shared" si="772"/>
        <v>160</v>
      </c>
      <c r="H463" s="76">
        <f t="shared" si="772"/>
        <v>160</v>
      </c>
      <c r="I463" s="330">
        <f t="shared" si="772"/>
        <v>160</v>
      </c>
      <c r="J463" s="76">
        <f t="shared" si="772"/>
        <v>160</v>
      </c>
      <c r="K463" s="72">
        <f t="shared" si="759"/>
        <v>0</v>
      </c>
      <c r="L463" s="72">
        <f t="shared" si="760"/>
        <v>160</v>
      </c>
      <c r="M463" s="76">
        <f t="shared" ref="M463" si="773">M475+M630+M731</f>
        <v>160</v>
      </c>
      <c r="N463" s="76">
        <f t="shared" ref="N463" si="774">N475+N630+N731</f>
        <v>0</v>
      </c>
      <c r="O463" s="76">
        <f t="shared" ref="O463:P463" si="775">O475+O630+O731</f>
        <v>0</v>
      </c>
      <c r="P463" s="76">
        <f t="shared" si="775"/>
        <v>0</v>
      </c>
      <c r="Q463" s="76">
        <f t="shared" si="772"/>
        <v>0</v>
      </c>
      <c r="R463" s="76">
        <f t="shared" si="772"/>
        <v>0</v>
      </c>
      <c r="S463" s="76">
        <f t="shared" si="772"/>
        <v>0</v>
      </c>
    </row>
    <row r="464" spans="1:19" ht="14.25">
      <c r="A464" s="41"/>
      <c r="B464" s="33" t="s">
        <v>181</v>
      </c>
      <c r="C464" s="19">
        <v>58</v>
      </c>
      <c r="D464" s="76">
        <f t="shared" ref="D464:S464" si="776">D732</f>
        <v>1981</v>
      </c>
      <c r="E464" s="76">
        <f t="shared" si="776"/>
        <v>107</v>
      </c>
      <c r="F464" s="76">
        <f t="shared" si="776"/>
        <v>2020</v>
      </c>
      <c r="G464" s="76">
        <f t="shared" si="776"/>
        <v>2020</v>
      </c>
      <c r="H464" s="76">
        <f t="shared" si="776"/>
        <v>919</v>
      </c>
      <c r="I464" s="330">
        <f t="shared" si="776"/>
        <v>11723</v>
      </c>
      <c r="J464" s="76">
        <f t="shared" si="776"/>
        <v>10388</v>
      </c>
      <c r="K464" s="72">
        <f t="shared" si="759"/>
        <v>0</v>
      </c>
      <c r="L464" s="72">
        <f t="shared" si="760"/>
        <v>10388</v>
      </c>
      <c r="M464" s="76">
        <f t="shared" ref="M464" si="777">M732</f>
        <v>2097</v>
      </c>
      <c r="N464" s="76">
        <f t="shared" ref="N464" si="778">N732</f>
        <v>4697</v>
      </c>
      <c r="O464" s="76">
        <f t="shared" ref="O464:P464" si="779">O732</f>
        <v>2996</v>
      </c>
      <c r="P464" s="76">
        <f t="shared" si="779"/>
        <v>598</v>
      </c>
      <c r="Q464" s="76">
        <f t="shared" si="776"/>
        <v>13024</v>
      </c>
      <c r="R464" s="76">
        <f t="shared" si="776"/>
        <v>4145</v>
      </c>
      <c r="S464" s="76">
        <f t="shared" si="776"/>
        <v>3610</v>
      </c>
    </row>
    <row r="465" spans="1:19" ht="15">
      <c r="A465" s="41"/>
      <c r="B465" s="40" t="s">
        <v>201</v>
      </c>
      <c r="C465" s="19">
        <v>70</v>
      </c>
      <c r="D465" s="76">
        <f t="shared" ref="D465:S465" si="780">D476+D733</f>
        <v>753</v>
      </c>
      <c r="E465" s="76">
        <f t="shared" si="780"/>
        <v>1666</v>
      </c>
      <c r="F465" s="76">
        <f t="shared" si="780"/>
        <v>1425</v>
      </c>
      <c r="G465" s="76">
        <f t="shared" si="780"/>
        <v>2616</v>
      </c>
      <c r="H465" s="76">
        <f t="shared" si="780"/>
        <v>1573.1599999999999</v>
      </c>
      <c r="I465" s="330">
        <f t="shared" si="780"/>
        <v>1257.32</v>
      </c>
      <c r="J465" s="76">
        <f t="shared" si="780"/>
        <v>781</v>
      </c>
      <c r="K465" s="72">
        <f t="shared" si="759"/>
        <v>0</v>
      </c>
      <c r="L465" s="72">
        <f t="shared" si="760"/>
        <v>781</v>
      </c>
      <c r="M465" s="76">
        <f t="shared" ref="M465" si="781">M476+M733</f>
        <v>781</v>
      </c>
      <c r="N465" s="76">
        <f t="shared" ref="N465" si="782">N476+N733</f>
        <v>0</v>
      </c>
      <c r="O465" s="76">
        <f t="shared" ref="O465:P465" si="783">O476+O733</f>
        <v>0</v>
      </c>
      <c r="P465" s="76">
        <f t="shared" si="783"/>
        <v>0</v>
      </c>
      <c r="Q465" s="76">
        <f t="shared" si="780"/>
        <v>0</v>
      </c>
      <c r="R465" s="76">
        <f t="shared" si="780"/>
        <v>0</v>
      </c>
      <c r="S465" s="76">
        <f t="shared" si="780"/>
        <v>0</v>
      </c>
    </row>
    <row r="466" spans="1:19" ht="14.25">
      <c r="A466" s="48">
        <v>1</v>
      </c>
      <c r="B466" s="464" t="s">
        <v>895</v>
      </c>
      <c r="C466" s="461" t="s">
        <v>263</v>
      </c>
      <c r="D466" s="462">
        <f>D477+D542</f>
        <v>14793</v>
      </c>
      <c r="E466" s="462">
        <f t="shared" ref="E466:S468" si="784">E477+E542</f>
        <v>10968</v>
      </c>
      <c r="F466" s="462">
        <f t="shared" si="784"/>
        <v>14115</v>
      </c>
      <c r="G466" s="462">
        <f t="shared" si="784"/>
        <v>21829.5</v>
      </c>
      <c r="H466" s="462">
        <f t="shared" si="784"/>
        <v>13705</v>
      </c>
      <c r="I466" s="463">
        <f t="shared" si="784"/>
        <v>16589</v>
      </c>
      <c r="J466" s="462">
        <f t="shared" si="784"/>
        <v>15938</v>
      </c>
      <c r="K466" s="462">
        <f t="shared" si="759"/>
        <v>0</v>
      </c>
      <c r="L466" s="462">
        <f t="shared" si="760"/>
        <v>15938</v>
      </c>
      <c r="M466" s="462">
        <f t="shared" ref="M466" si="785">M477+M542</f>
        <v>6854</v>
      </c>
      <c r="N466" s="462">
        <f t="shared" ref="N466" si="786">N477+N542</f>
        <v>3024</v>
      </c>
      <c r="O466" s="462">
        <f t="shared" ref="O466:P466" si="787">O477+O542</f>
        <v>3250</v>
      </c>
      <c r="P466" s="462">
        <f t="shared" si="787"/>
        <v>2810</v>
      </c>
      <c r="Q466" s="462">
        <f t="shared" si="784"/>
        <v>15840</v>
      </c>
      <c r="R466" s="462">
        <f t="shared" si="784"/>
        <v>15842</v>
      </c>
      <c r="S466" s="462">
        <f t="shared" si="784"/>
        <v>15839</v>
      </c>
    </row>
    <row r="467" spans="1:19" ht="14.25">
      <c r="A467" s="41"/>
      <c r="B467" s="31" t="s">
        <v>160</v>
      </c>
      <c r="C467" s="92"/>
      <c r="D467" s="81">
        <f>D478+D543</f>
        <v>14563</v>
      </c>
      <c r="E467" s="81">
        <f t="shared" si="784"/>
        <v>10968</v>
      </c>
      <c r="F467" s="81">
        <f t="shared" si="784"/>
        <v>13885</v>
      </c>
      <c r="G467" s="81">
        <f t="shared" si="784"/>
        <v>21599.5</v>
      </c>
      <c r="H467" s="81">
        <f t="shared" si="784"/>
        <v>13545</v>
      </c>
      <c r="I467" s="339">
        <f t="shared" si="784"/>
        <v>16104</v>
      </c>
      <c r="J467" s="81">
        <f t="shared" si="784"/>
        <v>15723</v>
      </c>
      <c r="K467" s="72">
        <f t="shared" si="759"/>
        <v>0</v>
      </c>
      <c r="L467" s="72">
        <f t="shared" si="760"/>
        <v>15723</v>
      </c>
      <c r="M467" s="81">
        <f t="shared" ref="M467" si="788">M478+M543</f>
        <v>6639</v>
      </c>
      <c r="N467" s="81">
        <f t="shared" ref="N467" si="789">N478+N543</f>
        <v>3024</v>
      </c>
      <c r="O467" s="81">
        <f t="shared" ref="O467:P467" si="790">O478+O543</f>
        <v>3250</v>
      </c>
      <c r="P467" s="81">
        <f t="shared" si="790"/>
        <v>2810</v>
      </c>
      <c r="Q467" s="81">
        <f t="shared" si="784"/>
        <v>15840</v>
      </c>
      <c r="R467" s="81">
        <f t="shared" si="784"/>
        <v>15842</v>
      </c>
      <c r="S467" s="81">
        <f t="shared" si="784"/>
        <v>15839</v>
      </c>
    </row>
    <row r="468" spans="1:19" ht="15">
      <c r="A468" s="41"/>
      <c r="B468" s="40" t="s">
        <v>161</v>
      </c>
      <c r="C468" s="19">
        <v>1</v>
      </c>
      <c r="D468" s="81">
        <f>D479+D544</f>
        <v>14563</v>
      </c>
      <c r="E468" s="81">
        <f t="shared" si="784"/>
        <v>11026</v>
      </c>
      <c r="F468" s="81">
        <f t="shared" si="784"/>
        <v>13885</v>
      </c>
      <c r="G468" s="81">
        <f t="shared" si="784"/>
        <v>21599.5</v>
      </c>
      <c r="H468" s="81">
        <f t="shared" si="784"/>
        <v>13545</v>
      </c>
      <c r="I468" s="339">
        <f t="shared" si="784"/>
        <v>16104</v>
      </c>
      <c r="J468" s="81">
        <f t="shared" si="784"/>
        <v>15723</v>
      </c>
      <c r="K468" s="72">
        <f t="shared" si="759"/>
        <v>0</v>
      </c>
      <c r="L468" s="72">
        <f t="shared" si="760"/>
        <v>15723</v>
      </c>
      <c r="M468" s="81">
        <f t="shared" ref="M468" si="791">M479+M544</f>
        <v>6639</v>
      </c>
      <c r="N468" s="81">
        <f t="shared" ref="N468" si="792">N479+N544</f>
        <v>3024</v>
      </c>
      <c r="O468" s="81">
        <f t="shared" ref="O468:P468" si="793">O479+O544</f>
        <v>3250</v>
      </c>
      <c r="P468" s="81">
        <f t="shared" si="793"/>
        <v>2810</v>
      </c>
      <c r="Q468" s="81">
        <f t="shared" si="784"/>
        <v>15840</v>
      </c>
      <c r="R468" s="81">
        <f t="shared" si="784"/>
        <v>15842</v>
      </c>
      <c r="S468" s="81">
        <f t="shared" si="784"/>
        <v>15839</v>
      </c>
    </row>
    <row r="469" spans="1:19" ht="15">
      <c r="A469" s="41"/>
      <c r="B469" s="40" t="s">
        <v>162</v>
      </c>
      <c r="C469" s="19">
        <v>10</v>
      </c>
      <c r="D469" s="81">
        <f t="shared" ref="D469:S469" si="794">D480</f>
        <v>370</v>
      </c>
      <c r="E469" s="81">
        <f t="shared" si="794"/>
        <v>322</v>
      </c>
      <c r="F469" s="81">
        <f t="shared" si="794"/>
        <v>370</v>
      </c>
      <c r="G469" s="81">
        <f t="shared" si="794"/>
        <v>388.5</v>
      </c>
      <c r="H469" s="81">
        <f t="shared" si="794"/>
        <v>377</v>
      </c>
      <c r="I469" s="339">
        <f t="shared" si="794"/>
        <v>450</v>
      </c>
      <c r="J469" s="81">
        <f t="shared" si="794"/>
        <v>450</v>
      </c>
      <c r="K469" s="72">
        <f t="shared" si="759"/>
        <v>0</v>
      </c>
      <c r="L469" s="72">
        <f t="shared" si="760"/>
        <v>450</v>
      </c>
      <c r="M469" s="81">
        <f t="shared" ref="M469" si="795">M480</f>
        <v>115</v>
      </c>
      <c r="N469" s="81">
        <f t="shared" ref="N469" si="796">N480</f>
        <v>115</v>
      </c>
      <c r="O469" s="81">
        <f t="shared" ref="O469:P469" si="797">O480</f>
        <v>105</v>
      </c>
      <c r="P469" s="81">
        <f t="shared" si="797"/>
        <v>115</v>
      </c>
      <c r="Q469" s="81">
        <f t="shared" si="794"/>
        <v>462</v>
      </c>
      <c r="R469" s="81">
        <f t="shared" si="794"/>
        <v>464</v>
      </c>
      <c r="S469" s="81">
        <f t="shared" si="794"/>
        <v>461</v>
      </c>
    </row>
    <row r="470" spans="1:19" ht="15">
      <c r="A470" s="41"/>
      <c r="B470" s="40" t="s">
        <v>886</v>
      </c>
      <c r="C470" s="19">
        <v>20</v>
      </c>
      <c r="D470" s="81">
        <f t="shared" ref="D470:J470" si="798">D482</f>
        <v>2725</v>
      </c>
      <c r="E470" s="81">
        <f t="shared" si="798"/>
        <v>2297</v>
      </c>
      <c r="F470" s="81">
        <f t="shared" si="798"/>
        <v>2795</v>
      </c>
      <c r="G470" s="81">
        <f t="shared" si="798"/>
        <v>2835</v>
      </c>
      <c r="H470" s="81">
        <f t="shared" si="798"/>
        <v>2625</v>
      </c>
      <c r="I470" s="339">
        <f t="shared" si="798"/>
        <v>3041</v>
      </c>
      <c r="J470" s="81">
        <f t="shared" si="798"/>
        <v>2207</v>
      </c>
      <c r="K470" s="72">
        <f t="shared" si="759"/>
        <v>0</v>
      </c>
      <c r="L470" s="72">
        <f t="shared" si="760"/>
        <v>2207</v>
      </c>
      <c r="M470" s="81">
        <f t="shared" ref="M470" si="799">M482</f>
        <v>824</v>
      </c>
      <c r="N470" s="81">
        <f t="shared" ref="N470" si="800">N482</f>
        <v>609</v>
      </c>
      <c r="O470" s="81">
        <f t="shared" ref="O470:P470" si="801">O482</f>
        <v>445</v>
      </c>
      <c r="P470" s="81">
        <f t="shared" si="801"/>
        <v>329</v>
      </c>
      <c r="Q470" s="81">
        <f>Q482</f>
        <v>2760</v>
      </c>
      <c r="R470" s="81">
        <f>R482</f>
        <v>2760</v>
      </c>
      <c r="S470" s="81">
        <f>S482</f>
        <v>2760</v>
      </c>
    </row>
    <row r="471" spans="1:19" ht="15">
      <c r="A471" s="41"/>
      <c r="B471" s="40" t="s">
        <v>166</v>
      </c>
      <c r="C471" s="19">
        <v>51</v>
      </c>
      <c r="D471" s="81">
        <f t="shared" ref="D471:S471" si="802">D545</f>
        <v>0</v>
      </c>
      <c r="E471" s="81">
        <f t="shared" si="802"/>
        <v>0</v>
      </c>
      <c r="F471" s="81">
        <f t="shared" si="802"/>
        <v>0</v>
      </c>
      <c r="G471" s="81">
        <f t="shared" si="802"/>
        <v>0</v>
      </c>
      <c r="H471" s="81">
        <f t="shared" si="802"/>
        <v>0</v>
      </c>
      <c r="I471" s="339">
        <f t="shared" si="802"/>
        <v>0</v>
      </c>
      <c r="J471" s="81">
        <f t="shared" si="802"/>
        <v>0</v>
      </c>
      <c r="K471" s="72">
        <f t="shared" si="759"/>
        <v>0</v>
      </c>
      <c r="L471" s="72">
        <f t="shared" si="760"/>
        <v>0</v>
      </c>
      <c r="M471" s="81">
        <f t="shared" ref="M471" si="803">M545</f>
        <v>0</v>
      </c>
      <c r="N471" s="81">
        <f t="shared" ref="N471" si="804">N545</f>
        <v>0</v>
      </c>
      <c r="O471" s="81">
        <f t="shared" ref="O471:P471" si="805">O545</f>
        <v>0</v>
      </c>
      <c r="P471" s="81">
        <f t="shared" si="805"/>
        <v>0</v>
      </c>
      <c r="Q471" s="81">
        <f t="shared" si="802"/>
        <v>0</v>
      </c>
      <c r="R471" s="81">
        <f t="shared" si="802"/>
        <v>0</v>
      </c>
      <c r="S471" s="81">
        <f t="shared" si="802"/>
        <v>0</v>
      </c>
    </row>
    <row r="472" spans="1:19" ht="14.25" customHeight="1">
      <c r="A472" s="41"/>
      <c r="B472" s="40" t="s">
        <v>168</v>
      </c>
      <c r="C472" s="19">
        <v>57</v>
      </c>
      <c r="D472" s="81">
        <f t="shared" ref="D472:S472" si="806">D483+D546</f>
        <v>11468</v>
      </c>
      <c r="E472" s="81">
        <f t="shared" si="806"/>
        <v>8421</v>
      </c>
      <c r="F472" s="81">
        <f t="shared" si="806"/>
        <v>10720</v>
      </c>
      <c r="G472" s="81">
        <f t="shared" si="806"/>
        <v>18376</v>
      </c>
      <c r="H472" s="81">
        <f t="shared" si="806"/>
        <v>10543</v>
      </c>
      <c r="I472" s="339">
        <f t="shared" si="806"/>
        <v>12613</v>
      </c>
      <c r="J472" s="81">
        <f t="shared" si="806"/>
        <v>13066</v>
      </c>
      <c r="K472" s="72">
        <f t="shared" si="759"/>
        <v>0</v>
      </c>
      <c r="L472" s="72">
        <f t="shared" si="760"/>
        <v>13066</v>
      </c>
      <c r="M472" s="81">
        <f t="shared" ref="M472" si="807">M483+M546</f>
        <v>5700</v>
      </c>
      <c r="N472" s="81">
        <f t="shared" ref="N472" si="808">N483+N546</f>
        <v>2300</v>
      </c>
      <c r="O472" s="81">
        <f t="shared" ref="O472:P472" si="809">O483+O546</f>
        <v>2700</v>
      </c>
      <c r="P472" s="81">
        <f t="shared" si="809"/>
        <v>2366</v>
      </c>
      <c r="Q472" s="81">
        <f t="shared" si="806"/>
        <v>12618</v>
      </c>
      <c r="R472" s="81">
        <f t="shared" si="806"/>
        <v>12618</v>
      </c>
      <c r="S472" s="81">
        <f t="shared" si="806"/>
        <v>12618</v>
      </c>
    </row>
    <row r="473" spans="1:19" ht="15">
      <c r="A473" s="41"/>
      <c r="B473" s="40" t="s">
        <v>171</v>
      </c>
      <c r="C473" s="19">
        <v>85.01</v>
      </c>
      <c r="D473" s="81">
        <f t="shared" ref="D473:S473" si="810">D495+D519+D539+D529+D547+D554</f>
        <v>0</v>
      </c>
      <c r="E473" s="81">
        <f>E495+E509+E519+E539+E529+E547+E554</f>
        <v>-72</v>
      </c>
      <c r="F473" s="81">
        <f t="shared" ref="F473:J473" si="811">F495+F519+F539+F529+F547+F554</f>
        <v>0</v>
      </c>
      <c r="G473" s="81">
        <f t="shared" si="811"/>
        <v>0</v>
      </c>
      <c r="H473" s="81">
        <f t="shared" si="811"/>
        <v>0</v>
      </c>
      <c r="I473" s="339">
        <f t="shared" si="811"/>
        <v>0</v>
      </c>
      <c r="J473" s="81">
        <f t="shared" si="811"/>
        <v>0</v>
      </c>
      <c r="K473" s="72">
        <f t="shared" si="759"/>
        <v>0</v>
      </c>
      <c r="L473" s="72">
        <f t="shared" si="760"/>
        <v>0</v>
      </c>
      <c r="M473" s="81">
        <f t="shared" ref="M473" si="812">M495+M519+M539+M529+M547+M554</f>
        <v>0</v>
      </c>
      <c r="N473" s="81">
        <f t="shared" ref="N473" si="813">N495+N519+N539+N529+N547+N554</f>
        <v>0</v>
      </c>
      <c r="O473" s="81">
        <f t="shared" ref="O473:P473" si="814">O495+O519+O539+O529+O547+O554</f>
        <v>0</v>
      </c>
      <c r="P473" s="81">
        <f t="shared" si="814"/>
        <v>0</v>
      </c>
      <c r="Q473" s="81">
        <f t="shared" si="810"/>
        <v>0</v>
      </c>
      <c r="R473" s="81">
        <f t="shared" si="810"/>
        <v>0</v>
      </c>
      <c r="S473" s="81">
        <f t="shared" si="810"/>
        <v>0</v>
      </c>
    </row>
    <row r="474" spans="1:19" ht="14.25">
      <c r="A474" s="41"/>
      <c r="B474" s="33" t="s">
        <v>172</v>
      </c>
      <c r="C474" s="19"/>
      <c r="D474" s="81">
        <f t="shared" ref="D474:S476" si="815">D484</f>
        <v>230</v>
      </c>
      <c r="E474" s="81">
        <f t="shared" si="815"/>
        <v>0</v>
      </c>
      <c r="F474" s="81">
        <f t="shared" si="815"/>
        <v>230</v>
      </c>
      <c r="G474" s="81">
        <f t="shared" si="815"/>
        <v>230</v>
      </c>
      <c r="H474" s="81">
        <f t="shared" si="815"/>
        <v>160</v>
      </c>
      <c r="I474" s="339">
        <f t="shared" si="815"/>
        <v>485</v>
      </c>
      <c r="J474" s="81">
        <f t="shared" si="815"/>
        <v>215</v>
      </c>
      <c r="K474" s="72">
        <f t="shared" si="759"/>
        <v>0</v>
      </c>
      <c r="L474" s="72">
        <f t="shared" si="760"/>
        <v>215</v>
      </c>
      <c r="M474" s="81">
        <f t="shared" ref="M474" si="816">M484</f>
        <v>215</v>
      </c>
      <c r="N474" s="81">
        <f t="shared" ref="N474" si="817">N484</f>
        <v>0</v>
      </c>
      <c r="O474" s="81">
        <f t="shared" ref="O474:P474" si="818">O484</f>
        <v>0</v>
      </c>
      <c r="P474" s="81">
        <f t="shared" si="818"/>
        <v>0</v>
      </c>
      <c r="Q474" s="81">
        <f t="shared" si="815"/>
        <v>0</v>
      </c>
      <c r="R474" s="81">
        <f t="shared" si="815"/>
        <v>0</v>
      </c>
      <c r="S474" s="81">
        <f t="shared" si="815"/>
        <v>0</v>
      </c>
    </row>
    <row r="475" spans="1:19" ht="0.75" customHeight="1">
      <c r="A475" s="41"/>
      <c r="B475" s="33" t="s">
        <v>181</v>
      </c>
      <c r="C475" s="19">
        <v>56</v>
      </c>
      <c r="D475" s="81">
        <f t="shared" si="815"/>
        <v>0</v>
      </c>
      <c r="E475" s="81">
        <f t="shared" si="815"/>
        <v>0</v>
      </c>
      <c r="F475" s="81">
        <f t="shared" si="815"/>
        <v>0</v>
      </c>
      <c r="G475" s="81">
        <f t="shared" si="815"/>
        <v>0</v>
      </c>
      <c r="H475" s="81">
        <f t="shared" si="815"/>
        <v>0</v>
      </c>
      <c r="I475" s="339">
        <f t="shared" si="815"/>
        <v>0</v>
      </c>
      <c r="J475" s="81">
        <f t="shared" si="815"/>
        <v>0</v>
      </c>
      <c r="K475" s="72">
        <f t="shared" si="759"/>
        <v>0</v>
      </c>
      <c r="L475" s="72">
        <f t="shared" si="760"/>
        <v>0</v>
      </c>
      <c r="M475" s="81">
        <f t="shared" ref="M475" si="819">M485</f>
        <v>0</v>
      </c>
      <c r="N475" s="81">
        <f t="shared" ref="N475" si="820">N485</f>
        <v>0</v>
      </c>
      <c r="O475" s="81">
        <f t="shared" ref="O475:P475" si="821">O485</f>
        <v>0</v>
      </c>
      <c r="P475" s="81">
        <f t="shared" si="821"/>
        <v>0</v>
      </c>
      <c r="Q475" s="81">
        <f t="shared" si="815"/>
        <v>0</v>
      </c>
      <c r="R475" s="81">
        <f t="shared" si="815"/>
        <v>0</v>
      </c>
      <c r="S475" s="81">
        <f t="shared" si="815"/>
        <v>0</v>
      </c>
    </row>
    <row r="476" spans="1:19" ht="15">
      <c r="A476" s="41"/>
      <c r="B476" s="40" t="s">
        <v>201</v>
      </c>
      <c r="C476" s="19">
        <v>70</v>
      </c>
      <c r="D476" s="81">
        <f t="shared" si="815"/>
        <v>230</v>
      </c>
      <c r="E476" s="81">
        <f t="shared" si="815"/>
        <v>0</v>
      </c>
      <c r="F476" s="81">
        <f t="shared" si="815"/>
        <v>230</v>
      </c>
      <c r="G476" s="81">
        <f t="shared" si="815"/>
        <v>230</v>
      </c>
      <c r="H476" s="81">
        <f t="shared" si="815"/>
        <v>160</v>
      </c>
      <c r="I476" s="339">
        <f t="shared" si="815"/>
        <v>485</v>
      </c>
      <c r="J476" s="81">
        <f t="shared" si="815"/>
        <v>215</v>
      </c>
      <c r="K476" s="72">
        <f t="shared" si="759"/>
        <v>0</v>
      </c>
      <c r="L476" s="72">
        <f t="shared" si="760"/>
        <v>215</v>
      </c>
      <c r="M476" s="81">
        <f t="shared" ref="M476" si="822">M486</f>
        <v>215</v>
      </c>
      <c r="N476" s="81">
        <f t="shared" ref="N476" si="823">N486</f>
        <v>0</v>
      </c>
      <c r="O476" s="81">
        <f t="shared" ref="O476:P476" si="824">O486</f>
        <v>0</v>
      </c>
      <c r="P476" s="81">
        <f t="shared" si="824"/>
        <v>0</v>
      </c>
      <c r="Q476" s="81">
        <f t="shared" si="815"/>
        <v>0</v>
      </c>
      <c r="R476" s="81">
        <f t="shared" si="815"/>
        <v>0</v>
      </c>
      <c r="S476" s="81">
        <f t="shared" si="815"/>
        <v>0</v>
      </c>
    </row>
    <row r="477" spans="1:19" ht="14.25">
      <c r="A477" s="41" t="s">
        <v>264</v>
      </c>
      <c r="B477" s="38" t="s">
        <v>896</v>
      </c>
      <c r="C477" s="19" t="s">
        <v>265</v>
      </c>
      <c r="D477" s="81">
        <f>D487+D502+D512+D522+D532+D548</f>
        <v>4049</v>
      </c>
      <c r="E477" s="81">
        <f t="shared" ref="E477:S478" si="825">E487+E502+E512+E522+E532+E548</f>
        <v>3096</v>
      </c>
      <c r="F477" s="81">
        <f t="shared" si="825"/>
        <v>4119</v>
      </c>
      <c r="G477" s="81">
        <f t="shared" si="825"/>
        <v>4137.5</v>
      </c>
      <c r="H477" s="81">
        <f t="shared" si="825"/>
        <v>3709</v>
      </c>
      <c r="I477" s="339">
        <f t="shared" si="825"/>
        <v>4632</v>
      </c>
      <c r="J477" s="81">
        <f t="shared" si="825"/>
        <v>3981</v>
      </c>
      <c r="K477" s="72">
        <f t="shared" si="759"/>
        <v>0</v>
      </c>
      <c r="L477" s="72">
        <f t="shared" si="760"/>
        <v>3981</v>
      </c>
      <c r="M477" s="81">
        <f t="shared" ref="M477" si="826">M487+M502+M512+M522+M532+M548</f>
        <v>1854</v>
      </c>
      <c r="N477" s="81">
        <f t="shared" ref="N477" si="827">N487+N502+N512+N522+N532+N548</f>
        <v>1024</v>
      </c>
      <c r="O477" s="81">
        <f t="shared" ref="O477:P477" si="828">O487+O502+O512+O522+O532+O548</f>
        <v>650</v>
      </c>
      <c r="P477" s="81">
        <f t="shared" si="828"/>
        <v>453</v>
      </c>
      <c r="Q477" s="81">
        <f t="shared" si="825"/>
        <v>3883</v>
      </c>
      <c r="R477" s="81">
        <f t="shared" si="825"/>
        <v>3885</v>
      </c>
      <c r="S477" s="81">
        <f t="shared" si="825"/>
        <v>3882</v>
      </c>
    </row>
    <row r="478" spans="1:19" ht="14.25">
      <c r="A478" s="41"/>
      <c r="B478" s="31" t="s">
        <v>160</v>
      </c>
      <c r="C478" s="19"/>
      <c r="D478" s="81">
        <f>D488+D503+D513+D523+D533+D549</f>
        <v>3819</v>
      </c>
      <c r="E478" s="81">
        <f t="shared" si="825"/>
        <v>3096</v>
      </c>
      <c r="F478" s="81">
        <f t="shared" si="825"/>
        <v>3889</v>
      </c>
      <c r="G478" s="81">
        <f t="shared" si="825"/>
        <v>3907.5</v>
      </c>
      <c r="H478" s="81">
        <f t="shared" si="825"/>
        <v>3549</v>
      </c>
      <c r="I478" s="339">
        <f t="shared" si="825"/>
        <v>4147</v>
      </c>
      <c r="J478" s="81">
        <f t="shared" si="825"/>
        <v>3766</v>
      </c>
      <c r="K478" s="72">
        <f t="shared" si="759"/>
        <v>0</v>
      </c>
      <c r="L478" s="72">
        <f t="shared" si="760"/>
        <v>3766</v>
      </c>
      <c r="M478" s="81">
        <f t="shared" ref="M478" si="829">M488+M503+M513+M523+M533+M549</f>
        <v>1639</v>
      </c>
      <c r="N478" s="81">
        <f t="shared" ref="N478" si="830">N488+N503+N513+N523+N533+N549</f>
        <v>1024</v>
      </c>
      <c r="O478" s="81">
        <f t="shared" ref="O478:P478" si="831">O488+O503+O513+O523+O533+O549</f>
        <v>650</v>
      </c>
      <c r="P478" s="81">
        <f t="shared" si="831"/>
        <v>453</v>
      </c>
      <c r="Q478" s="81">
        <f t="shared" si="825"/>
        <v>3883</v>
      </c>
      <c r="R478" s="81">
        <f t="shared" si="825"/>
        <v>3885</v>
      </c>
      <c r="S478" s="81">
        <f t="shared" si="825"/>
        <v>3882</v>
      </c>
    </row>
    <row r="479" spans="1:19" ht="15">
      <c r="A479" s="41"/>
      <c r="B479" s="40" t="s">
        <v>161</v>
      </c>
      <c r="C479" s="19">
        <v>1</v>
      </c>
      <c r="D479" s="76">
        <f t="shared" ref="D479:S479" si="832">D489+D504+D513+D523+D533+D549</f>
        <v>3819</v>
      </c>
      <c r="E479" s="76">
        <f t="shared" si="832"/>
        <v>3154</v>
      </c>
      <c r="F479" s="76">
        <f t="shared" si="832"/>
        <v>3889</v>
      </c>
      <c r="G479" s="76">
        <f t="shared" si="832"/>
        <v>3907.5</v>
      </c>
      <c r="H479" s="76">
        <f t="shared" si="832"/>
        <v>3549</v>
      </c>
      <c r="I479" s="330">
        <f t="shared" si="832"/>
        <v>4147</v>
      </c>
      <c r="J479" s="76">
        <f t="shared" si="832"/>
        <v>3766</v>
      </c>
      <c r="K479" s="72">
        <f t="shared" si="759"/>
        <v>0</v>
      </c>
      <c r="L479" s="72">
        <f t="shared" si="760"/>
        <v>3766</v>
      </c>
      <c r="M479" s="76">
        <f t="shared" ref="M479" si="833">M489+M504+M513+M523+M533+M549</f>
        <v>1639</v>
      </c>
      <c r="N479" s="76">
        <f t="shared" ref="N479" si="834">N489+N504+N513+N523+N533+N549</f>
        <v>1024</v>
      </c>
      <c r="O479" s="76">
        <f t="shared" ref="O479:P479" si="835">O489+O504+O513+O523+O533+O549</f>
        <v>650</v>
      </c>
      <c r="P479" s="76">
        <f t="shared" si="835"/>
        <v>453</v>
      </c>
      <c r="Q479" s="76">
        <f t="shared" si="832"/>
        <v>3883</v>
      </c>
      <c r="R479" s="76">
        <f t="shared" si="832"/>
        <v>3885</v>
      </c>
      <c r="S479" s="76">
        <f t="shared" si="832"/>
        <v>3882</v>
      </c>
    </row>
    <row r="480" spans="1:19" ht="15">
      <c r="A480" s="41"/>
      <c r="B480" s="40" t="s">
        <v>814</v>
      </c>
      <c r="C480" s="19">
        <v>10</v>
      </c>
      <c r="D480" s="76">
        <f>D490+D505+D515+D525+D535+D551</f>
        <v>370</v>
      </c>
      <c r="E480" s="76">
        <f t="shared" ref="E480:S482" si="836">E490+E505+E515+E525+E535+E551</f>
        <v>322</v>
      </c>
      <c r="F480" s="76">
        <f t="shared" si="836"/>
        <v>370</v>
      </c>
      <c r="G480" s="76">
        <f t="shared" si="836"/>
        <v>388.5</v>
      </c>
      <c r="H480" s="76">
        <f t="shared" si="836"/>
        <v>377</v>
      </c>
      <c r="I480" s="330">
        <f t="shared" si="836"/>
        <v>450</v>
      </c>
      <c r="J480" s="76">
        <f t="shared" si="836"/>
        <v>450</v>
      </c>
      <c r="K480" s="72">
        <f t="shared" si="759"/>
        <v>0</v>
      </c>
      <c r="L480" s="72">
        <f t="shared" si="760"/>
        <v>450</v>
      </c>
      <c r="M480" s="76">
        <f t="shared" ref="M480" si="837">M490+M505+M515+M525+M535+M551</f>
        <v>115</v>
      </c>
      <c r="N480" s="76">
        <f t="shared" ref="N480" si="838">N490+N505+N515+N525+N535+N551</f>
        <v>115</v>
      </c>
      <c r="O480" s="76">
        <f t="shared" ref="O480:P480" si="839">O490+O505+O515+O525+O535+O551</f>
        <v>105</v>
      </c>
      <c r="P480" s="76">
        <f t="shared" si="839"/>
        <v>115</v>
      </c>
      <c r="Q480" s="76">
        <f t="shared" si="836"/>
        <v>462</v>
      </c>
      <c r="R480" s="76">
        <f t="shared" si="836"/>
        <v>464</v>
      </c>
      <c r="S480" s="76">
        <f t="shared" si="836"/>
        <v>461</v>
      </c>
    </row>
    <row r="481" spans="1:19" ht="15" hidden="1">
      <c r="A481" s="41"/>
      <c r="B481" s="40" t="s">
        <v>489</v>
      </c>
      <c r="C481" s="19"/>
      <c r="D481" s="76">
        <f>D491+D506+D516+D526+D536+D552</f>
        <v>0</v>
      </c>
      <c r="E481" s="76">
        <f t="shared" si="836"/>
        <v>0</v>
      </c>
      <c r="F481" s="76">
        <f t="shared" si="836"/>
        <v>0</v>
      </c>
      <c r="G481" s="76">
        <f t="shared" si="836"/>
        <v>0</v>
      </c>
      <c r="H481" s="76">
        <f t="shared" si="836"/>
        <v>0</v>
      </c>
      <c r="I481" s="330">
        <f t="shared" si="836"/>
        <v>0</v>
      </c>
      <c r="J481" s="76">
        <f t="shared" si="836"/>
        <v>0</v>
      </c>
      <c r="K481" s="72">
        <f t="shared" si="759"/>
        <v>0</v>
      </c>
      <c r="L481" s="72">
        <f t="shared" si="760"/>
        <v>0</v>
      </c>
      <c r="M481" s="76">
        <f t="shared" ref="M481" si="840">M491+M506+M516+M526+M536+M552</f>
        <v>0</v>
      </c>
      <c r="N481" s="76">
        <f t="shared" ref="N481" si="841">N491+N506+N516+N526+N536+N552</f>
        <v>0</v>
      </c>
      <c r="O481" s="76">
        <f t="shared" ref="O481:P481" si="842">O491+O506+O516+O526+O536+O552</f>
        <v>0</v>
      </c>
      <c r="P481" s="76">
        <f t="shared" si="842"/>
        <v>0</v>
      </c>
      <c r="Q481" s="76">
        <f t="shared" si="836"/>
        <v>0</v>
      </c>
      <c r="R481" s="76">
        <f t="shared" si="836"/>
        <v>0</v>
      </c>
      <c r="S481" s="76">
        <f t="shared" si="836"/>
        <v>0</v>
      </c>
    </row>
    <row r="482" spans="1:19" ht="15">
      <c r="A482" s="41"/>
      <c r="B482" s="40" t="s">
        <v>886</v>
      </c>
      <c r="C482" s="19">
        <v>20</v>
      </c>
      <c r="D482" s="76">
        <f t="shared" ref="D482:J482" si="843">D492+D507+D517+D527+D537+D553</f>
        <v>2725</v>
      </c>
      <c r="E482" s="76">
        <f t="shared" si="843"/>
        <v>2297</v>
      </c>
      <c r="F482" s="76">
        <f t="shared" si="843"/>
        <v>2795</v>
      </c>
      <c r="G482" s="76">
        <f t="shared" si="843"/>
        <v>2835</v>
      </c>
      <c r="H482" s="76">
        <f t="shared" si="836"/>
        <v>2625</v>
      </c>
      <c r="I482" s="330">
        <f t="shared" si="836"/>
        <v>3041</v>
      </c>
      <c r="J482" s="76">
        <f t="shared" si="843"/>
        <v>2207</v>
      </c>
      <c r="K482" s="72">
        <f t="shared" si="759"/>
        <v>0</v>
      </c>
      <c r="L482" s="72">
        <f t="shared" si="760"/>
        <v>2207</v>
      </c>
      <c r="M482" s="76">
        <f t="shared" ref="M482" si="844">M492+M507+M517+M527+M537+M553</f>
        <v>824</v>
      </c>
      <c r="N482" s="76">
        <f t="shared" ref="N482" si="845">N492+N507+N517+N527+N537+N553</f>
        <v>609</v>
      </c>
      <c r="O482" s="76">
        <f t="shared" ref="O482:P482" si="846">O492+O507+O517+O527+O537+O553</f>
        <v>445</v>
      </c>
      <c r="P482" s="76">
        <f t="shared" si="846"/>
        <v>329</v>
      </c>
      <c r="Q482" s="76">
        <f t="shared" si="836"/>
        <v>2760</v>
      </c>
      <c r="R482" s="76">
        <f t="shared" si="836"/>
        <v>2760</v>
      </c>
      <c r="S482" s="76">
        <f t="shared" si="836"/>
        <v>2760</v>
      </c>
    </row>
    <row r="483" spans="1:19" ht="15">
      <c r="A483" s="41"/>
      <c r="B483" s="40" t="s">
        <v>266</v>
      </c>
      <c r="C483" s="19" t="s">
        <v>278</v>
      </c>
      <c r="D483" s="76">
        <f t="shared" ref="D483:S483" si="847">D493+D508+D518+D528+D538</f>
        <v>724</v>
      </c>
      <c r="E483" s="76">
        <f t="shared" si="847"/>
        <v>549</v>
      </c>
      <c r="F483" s="76">
        <f t="shared" si="847"/>
        <v>724</v>
      </c>
      <c r="G483" s="76">
        <f t="shared" si="847"/>
        <v>684</v>
      </c>
      <c r="H483" s="76">
        <f t="shared" si="847"/>
        <v>547</v>
      </c>
      <c r="I483" s="330">
        <f t="shared" si="847"/>
        <v>656</v>
      </c>
      <c r="J483" s="76">
        <f t="shared" si="847"/>
        <v>1109</v>
      </c>
      <c r="K483" s="72">
        <f t="shared" si="759"/>
        <v>0</v>
      </c>
      <c r="L483" s="72">
        <f t="shared" si="760"/>
        <v>1109</v>
      </c>
      <c r="M483" s="76">
        <f t="shared" ref="M483" si="848">M493+M508+M518+M528+M538</f>
        <v>700</v>
      </c>
      <c r="N483" s="76">
        <f t="shared" ref="N483" si="849">N493+N508+N518+N528+N538</f>
        <v>300</v>
      </c>
      <c r="O483" s="76">
        <f t="shared" ref="O483:P483" si="850">O493+O508+O518+O528+O538</f>
        <v>100</v>
      </c>
      <c r="P483" s="76">
        <f t="shared" si="850"/>
        <v>9</v>
      </c>
      <c r="Q483" s="76">
        <f t="shared" si="847"/>
        <v>661</v>
      </c>
      <c r="R483" s="76">
        <f t="shared" si="847"/>
        <v>661</v>
      </c>
      <c r="S483" s="76">
        <f t="shared" si="847"/>
        <v>661</v>
      </c>
    </row>
    <row r="484" spans="1:19" ht="16.5" hidden="1" customHeight="1">
      <c r="A484" s="41"/>
      <c r="B484" s="33" t="s">
        <v>172</v>
      </c>
      <c r="C484" s="19"/>
      <c r="D484" s="76">
        <f t="shared" ref="D484:S484" si="851">D496+D510+D520+D530+D540+D556</f>
        <v>230</v>
      </c>
      <c r="E484" s="76">
        <f t="shared" si="851"/>
        <v>0</v>
      </c>
      <c r="F484" s="76">
        <f t="shared" si="851"/>
        <v>230</v>
      </c>
      <c r="G484" s="76">
        <f t="shared" si="851"/>
        <v>230</v>
      </c>
      <c r="H484" s="76">
        <f t="shared" si="851"/>
        <v>160</v>
      </c>
      <c r="I484" s="330">
        <f t="shared" si="851"/>
        <v>485</v>
      </c>
      <c r="J484" s="76">
        <f t="shared" si="851"/>
        <v>215</v>
      </c>
      <c r="K484" s="72">
        <f t="shared" si="759"/>
        <v>0</v>
      </c>
      <c r="L484" s="72">
        <f t="shared" si="760"/>
        <v>215</v>
      </c>
      <c r="M484" s="76">
        <f t="shared" ref="M484" si="852">M496+M510+M520+M530+M540+M556</f>
        <v>215</v>
      </c>
      <c r="N484" s="76">
        <f t="shared" ref="N484" si="853">N496+N510+N520+N530+N540+N556</f>
        <v>0</v>
      </c>
      <c r="O484" s="76">
        <f t="shared" ref="O484:P484" si="854">O496+O510+O520+O530+O540+O556</f>
        <v>0</v>
      </c>
      <c r="P484" s="76">
        <f t="shared" si="854"/>
        <v>0</v>
      </c>
      <c r="Q484" s="76">
        <f t="shared" si="851"/>
        <v>0</v>
      </c>
      <c r="R484" s="76">
        <f t="shared" si="851"/>
        <v>0</v>
      </c>
      <c r="S484" s="76">
        <f t="shared" si="851"/>
        <v>0</v>
      </c>
    </row>
    <row r="485" spans="1:19" ht="16.5" hidden="1" customHeight="1">
      <c r="A485" s="41"/>
      <c r="B485" s="23" t="s">
        <v>181</v>
      </c>
      <c r="C485" s="104">
        <v>56</v>
      </c>
      <c r="D485" s="76">
        <f t="shared" ref="D485:S485" si="855">D497</f>
        <v>0</v>
      </c>
      <c r="E485" s="76">
        <f t="shared" si="855"/>
        <v>0</v>
      </c>
      <c r="F485" s="76">
        <f t="shared" si="855"/>
        <v>0</v>
      </c>
      <c r="G485" s="76">
        <f t="shared" si="855"/>
        <v>0</v>
      </c>
      <c r="H485" s="76">
        <f t="shared" si="855"/>
        <v>0</v>
      </c>
      <c r="I485" s="330">
        <f t="shared" si="855"/>
        <v>0</v>
      </c>
      <c r="J485" s="76">
        <f t="shared" si="855"/>
        <v>0</v>
      </c>
      <c r="K485" s="72">
        <f t="shared" si="759"/>
        <v>0</v>
      </c>
      <c r="L485" s="72">
        <f t="shared" si="760"/>
        <v>0</v>
      </c>
      <c r="M485" s="76">
        <f t="shared" ref="M485" si="856">M497</f>
        <v>0</v>
      </c>
      <c r="N485" s="76">
        <f t="shared" ref="N485" si="857">N497</f>
        <v>0</v>
      </c>
      <c r="O485" s="76">
        <f t="shared" ref="O485:P485" si="858">O497</f>
        <v>0</v>
      </c>
      <c r="P485" s="76">
        <f t="shared" si="858"/>
        <v>0</v>
      </c>
      <c r="Q485" s="76">
        <f t="shared" si="855"/>
        <v>0</v>
      </c>
      <c r="R485" s="76">
        <f t="shared" si="855"/>
        <v>0</v>
      </c>
      <c r="S485" s="76">
        <f t="shared" si="855"/>
        <v>0</v>
      </c>
    </row>
    <row r="486" spans="1:19" ht="12.75" customHeight="1">
      <c r="A486" s="41"/>
      <c r="B486" s="39" t="s">
        <v>201</v>
      </c>
      <c r="C486" s="19">
        <v>70</v>
      </c>
      <c r="D486" s="76">
        <f t="shared" ref="D486:S486" si="859">D501+D511+D521+D531+D541+D557</f>
        <v>230</v>
      </c>
      <c r="E486" s="76">
        <f t="shared" si="859"/>
        <v>0</v>
      </c>
      <c r="F486" s="76">
        <f t="shared" si="859"/>
        <v>230</v>
      </c>
      <c r="G486" s="76">
        <f t="shared" si="859"/>
        <v>230</v>
      </c>
      <c r="H486" s="76">
        <f t="shared" si="859"/>
        <v>160</v>
      </c>
      <c r="I486" s="330">
        <f t="shared" si="859"/>
        <v>485</v>
      </c>
      <c r="J486" s="76">
        <f t="shared" si="859"/>
        <v>215</v>
      </c>
      <c r="K486" s="72">
        <f t="shared" si="759"/>
        <v>0</v>
      </c>
      <c r="L486" s="72">
        <f t="shared" si="760"/>
        <v>215</v>
      </c>
      <c r="M486" s="76">
        <f t="shared" ref="M486" si="860">M501+M511+M521+M531+M541+M557</f>
        <v>215</v>
      </c>
      <c r="N486" s="76">
        <f t="shared" ref="N486" si="861">N501+N511+N521+N531+N541+N557</f>
        <v>0</v>
      </c>
      <c r="O486" s="76">
        <f t="shared" ref="O486:P486" si="862">O501+O511+O521+O531+O541+O557</f>
        <v>0</v>
      </c>
      <c r="P486" s="76">
        <f t="shared" si="862"/>
        <v>0</v>
      </c>
      <c r="Q486" s="76">
        <f t="shared" si="859"/>
        <v>0</v>
      </c>
      <c r="R486" s="76">
        <f t="shared" si="859"/>
        <v>0</v>
      </c>
      <c r="S486" s="76">
        <f t="shared" si="859"/>
        <v>0</v>
      </c>
    </row>
    <row r="487" spans="1:19" ht="28.5" customHeight="1">
      <c r="A487" s="41" t="s">
        <v>267</v>
      </c>
      <c r="B487" s="57" t="s">
        <v>268</v>
      </c>
      <c r="C487" s="92" t="s">
        <v>269</v>
      </c>
      <c r="D487" s="81">
        <f t="shared" ref="D487:S487" si="863">D488+D496</f>
        <v>1555</v>
      </c>
      <c r="E487" s="81">
        <f t="shared" si="863"/>
        <v>1100</v>
      </c>
      <c r="F487" s="81">
        <f t="shared" si="863"/>
        <v>1555</v>
      </c>
      <c r="G487" s="81">
        <f t="shared" si="863"/>
        <v>1555</v>
      </c>
      <c r="H487" s="81">
        <f t="shared" si="863"/>
        <v>1331</v>
      </c>
      <c r="I487" s="339">
        <f t="shared" si="863"/>
        <v>1378</v>
      </c>
      <c r="J487" s="81">
        <f t="shared" si="863"/>
        <v>1287</v>
      </c>
      <c r="K487" s="72">
        <f t="shared" si="759"/>
        <v>0</v>
      </c>
      <c r="L487" s="72">
        <f t="shared" si="760"/>
        <v>1287</v>
      </c>
      <c r="M487" s="81">
        <f t="shared" ref="M487" si="864">M488+M496</f>
        <v>591</v>
      </c>
      <c r="N487" s="81">
        <f t="shared" ref="N487" si="865">N488+N496</f>
        <v>327</v>
      </c>
      <c r="O487" s="81">
        <f t="shared" ref="O487:P487" si="866">O488+O496</f>
        <v>200</v>
      </c>
      <c r="P487" s="81">
        <f t="shared" si="866"/>
        <v>169</v>
      </c>
      <c r="Q487" s="81">
        <f t="shared" si="863"/>
        <v>1295</v>
      </c>
      <c r="R487" s="81">
        <f t="shared" si="863"/>
        <v>1295</v>
      </c>
      <c r="S487" s="81">
        <f t="shared" si="863"/>
        <v>1295</v>
      </c>
    </row>
    <row r="488" spans="1:19" ht="14.25">
      <c r="A488" s="41"/>
      <c r="B488" s="31" t="s">
        <v>160</v>
      </c>
      <c r="C488" s="19"/>
      <c r="D488" s="81">
        <f t="shared" ref="D488:S488" si="867">D489</f>
        <v>1325</v>
      </c>
      <c r="E488" s="81">
        <f>E489+E495</f>
        <v>1100</v>
      </c>
      <c r="F488" s="81">
        <f t="shared" si="867"/>
        <v>1325</v>
      </c>
      <c r="G488" s="81">
        <f t="shared" si="867"/>
        <v>1325</v>
      </c>
      <c r="H488" s="81">
        <f t="shared" si="867"/>
        <v>1171</v>
      </c>
      <c r="I488" s="339">
        <f t="shared" si="867"/>
        <v>1366</v>
      </c>
      <c r="J488" s="81">
        <f t="shared" si="867"/>
        <v>1275</v>
      </c>
      <c r="K488" s="72">
        <f t="shared" si="759"/>
        <v>0</v>
      </c>
      <c r="L488" s="72">
        <f t="shared" si="760"/>
        <v>1275</v>
      </c>
      <c r="M488" s="81">
        <f t="shared" si="867"/>
        <v>579</v>
      </c>
      <c r="N488" s="81">
        <f t="shared" si="867"/>
        <v>327</v>
      </c>
      <c r="O488" s="81">
        <f t="shared" si="867"/>
        <v>200</v>
      </c>
      <c r="P488" s="81">
        <f t="shared" si="867"/>
        <v>169</v>
      </c>
      <c r="Q488" s="81">
        <f t="shared" si="867"/>
        <v>1295</v>
      </c>
      <c r="R488" s="81">
        <f t="shared" si="867"/>
        <v>1295</v>
      </c>
      <c r="S488" s="81">
        <f t="shared" si="867"/>
        <v>1295</v>
      </c>
    </row>
    <row r="489" spans="1:19" ht="15">
      <c r="A489" s="41"/>
      <c r="B489" s="40" t="s">
        <v>161</v>
      </c>
      <c r="C489" s="19">
        <v>1</v>
      </c>
      <c r="D489" s="76">
        <f t="shared" ref="D489:S489" si="868">D490+D492+D493+D494+D495</f>
        <v>1325</v>
      </c>
      <c r="E489" s="76">
        <f>E490+E492+E493+E494</f>
        <v>1156</v>
      </c>
      <c r="F489" s="76">
        <f t="shared" ref="F489:J489" si="869">F490+F492+F493+F494+F495</f>
        <v>1325</v>
      </c>
      <c r="G489" s="76">
        <f t="shared" si="869"/>
        <v>1325</v>
      </c>
      <c r="H489" s="76">
        <f t="shared" si="869"/>
        <v>1171</v>
      </c>
      <c r="I489" s="330">
        <f t="shared" si="869"/>
        <v>1366</v>
      </c>
      <c r="J489" s="76">
        <f t="shared" si="869"/>
        <v>1275</v>
      </c>
      <c r="K489" s="72">
        <f t="shared" si="759"/>
        <v>0</v>
      </c>
      <c r="L489" s="72">
        <f t="shared" si="760"/>
        <v>1275</v>
      </c>
      <c r="M489" s="76">
        <f t="shared" ref="M489" si="870">M490+M492+M493+M494+M495</f>
        <v>579</v>
      </c>
      <c r="N489" s="76">
        <f t="shared" ref="N489" si="871">N490+N492+N493+N494+N495</f>
        <v>327</v>
      </c>
      <c r="O489" s="76">
        <f t="shared" ref="O489:P489" si="872">O490+O492+O493+O494+O495</f>
        <v>200</v>
      </c>
      <c r="P489" s="76">
        <f t="shared" si="872"/>
        <v>169</v>
      </c>
      <c r="Q489" s="76">
        <f t="shared" si="868"/>
        <v>1295</v>
      </c>
      <c r="R489" s="76">
        <f t="shared" si="868"/>
        <v>1295</v>
      </c>
      <c r="S489" s="76">
        <f t="shared" si="868"/>
        <v>1295</v>
      </c>
    </row>
    <row r="490" spans="1:19" ht="15.75" customHeight="1">
      <c r="A490" s="41"/>
      <c r="B490" s="40" t="s">
        <v>814</v>
      </c>
      <c r="C490" s="19">
        <v>10</v>
      </c>
      <c r="D490" s="75">
        <v>100</v>
      </c>
      <c r="E490" s="75">
        <v>98</v>
      </c>
      <c r="F490" s="75">
        <v>100</v>
      </c>
      <c r="G490" s="75">
        <v>100</v>
      </c>
      <c r="H490" s="75">
        <v>100</v>
      </c>
      <c r="I490" s="329">
        <v>120</v>
      </c>
      <c r="J490" s="75">
        <v>120</v>
      </c>
      <c r="K490" s="72">
        <f t="shared" si="759"/>
        <v>0</v>
      </c>
      <c r="L490" s="72">
        <f t="shared" si="760"/>
        <v>120</v>
      </c>
      <c r="M490" s="75">
        <v>30</v>
      </c>
      <c r="N490" s="75">
        <v>30</v>
      </c>
      <c r="O490" s="75">
        <v>30</v>
      </c>
      <c r="P490" s="75">
        <v>30</v>
      </c>
      <c r="Q490" s="73">
        <v>120</v>
      </c>
      <c r="R490" s="73">
        <v>120</v>
      </c>
      <c r="S490" s="73">
        <v>120</v>
      </c>
    </row>
    <row r="491" spans="1:19" ht="15" hidden="1">
      <c r="A491" s="41"/>
      <c r="B491" s="40" t="s">
        <v>489</v>
      </c>
      <c r="C491" s="19"/>
      <c r="D491" s="75"/>
      <c r="E491" s="75"/>
      <c r="F491" s="75"/>
      <c r="G491" s="136"/>
      <c r="H491" s="136"/>
      <c r="I491" s="335"/>
      <c r="J491" s="136"/>
      <c r="K491" s="72">
        <f t="shared" si="759"/>
        <v>0</v>
      </c>
      <c r="L491" s="72">
        <f t="shared" si="760"/>
        <v>0</v>
      </c>
      <c r="M491" s="136"/>
      <c r="N491" s="136"/>
      <c r="O491" s="136"/>
      <c r="P491" s="136"/>
      <c r="Q491" s="135"/>
      <c r="R491" s="135"/>
      <c r="S491" s="135"/>
    </row>
    <row r="492" spans="1:19" ht="15" customHeight="1">
      <c r="A492" s="41"/>
      <c r="B492" s="40" t="s">
        <v>886</v>
      </c>
      <c r="C492" s="19">
        <v>20</v>
      </c>
      <c r="D492" s="75">
        <f>800+40</f>
        <v>840</v>
      </c>
      <c r="E492" s="75">
        <v>755</v>
      </c>
      <c r="F492" s="75">
        <v>840</v>
      </c>
      <c r="G492" s="75">
        <v>840</v>
      </c>
      <c r="H492" s="75">
        <v>780</v>
      </c>
      <c r="I492" s="329">
        <v>871</v>
      </c>
      <c r="J492" s="75">
        <f>780-154</f>
        <v>626</v>
      </c>
      <c r="K492" s="72">
        <f t="shared" si="759"/>
        <v>0</v>
      </c>
      <c r="L492" s="72">
        <f t="shared" si="760"/>
        <v>626</v>
      </c>
      <c r="M492" s="75">
        <f>250-50</f>
        <v>200</v>
      </c>
      <c r="N492" s="75">
        <f>200-50</f>
        <v>150</v>
      </c>
      <c r="O492" s="75">
        <f>200-54</f>
        <v>146</v>
      </c>
      <c r="P492" s="75">
        <v>130</v>
      </c>
      <c r="Q492" s="73">
        <v>800</v>
      </c>
      <c r="R492" s="73">
        <v>800</v>
      </c>
      <c r="S492" s="73">
        <v>800</v>
      </c>
    </row>
    <row r="493" spans="1:19" ht="13.5" customHeight="1">
      <c r="A493" s="41"/>
      <c r="B493" s="40" t="s">
        <v>270</v>
      </c>
      <c r="C493" s="19" t="s">
        <v>278</v>
      </c>
      <c r="D493" s="75">
        <v>385</v>
      </c>
      <c r="E493" s="75">
        <v>303</v>
      </c>
      <c r="F493" s="75">
        <v>385</v>
      </c>
      <c r="G493" s="75">
        <v>385</v>
      </c>
      <c r="H493" s="75">
        <v>291</v>
      </c>
      <c r="I493" s="329">
        <v>375</v>
      </c>
      <c r="J493" s="75">
        <f>375+154</f>
        <v>529</v>
      </c>
      <c r="K493" s="72">
        <f t="shared" si="759"/>
        <v>0</v>
      </c>
      <c r="L493" s="72">
        <f t="shared" si="760"/>
        <v>529</v>
      </c>
      <c r="M493" s="75">
        <f>216+50+83</f>
        <v>349</v>
      </c>
      <c r="N493" s="75">
        <f>100+50-3</f>
        <v>147</v>
      </c>
      <c r="O493" s="75">
        <f>50+54-80</f>
        <v>24</v>
      </c>
      <c r="P493" s="75">
        <v>9</v>
      </c>
      <c r="Q493" s="73">
        <v>375</v>
      </c>
      <c r="R493" s="73">
        <v>375</v>
      </c>
      <c r="S493" s="73">
        <v>375</v>
      </c>
    </row>
    <row r="494" spans="1:19" ht="0.75" hidden="1" customHeight="1">
      <c r="A494" s="41"/>
      <c r="B494" s="40" t="s">
        <v>440</v>
      </c>
      <c r="C494" s="19">
        <v>59</v>
      </c>
      <c r="D494" s="75"/>
      <c r="E494" s="75"/>
      <c r="F494" s="75"/>
      <c r="G494" s="75"/>
      <c r="H494" s="75"/>
      <c r="I494" s="329"/>
      <c r="J494" s="75"/>
      <c r="K494" s="72">
        <f t="shared" si="759"/>
        <v>0</v>
      </c>
      <c r="L494" s="72">
        <f t="shared" si="760"/>
        <v>0</v>
      </c>
      <c r="M494" s="75"/>
      <c r="N494" s="75"/>
      <c r="O494" s="75"/>
      <c r="P494" s="75"/>
      <c r="Q494" s="73"/>
      <c r="R494" s="73"/>
      <c r="S494" s="73"/>
    </row>
    <row r="495" spans="1:19" ht="21" hidden="1" customHeight="1">
      <c r="A495" s="41"/>
      <c r="B495" s="40" t="s">
        <v>171</v>
      </c>
      <c r="C495" s="19">
        <v>85.01</v>
      </c>
      <c r="D495" s="75"/>
      <c r="E495" s="75">
        <v>-56</v>
      </c>
      <c r="F495" s="75"/>
      <c r="G495" s="75"/>
      <c r="H495" s="75"/>
      <c r="I495" s="329"/>
      <c r="J495" s="75"/>
      <c r="K495" s="72">
        <f t="shared" si="759"/>
        <v>0</v>
      </c>
      <c r="L495" s="72">
        <f t="shared" si="760"/>
        <v>0</v>
      </c>
      <c r="M495" s="75"/>
      <c r="N495" s="75"/>
      <c r="O495" s="75"/>
      <c r="P495" s="75"/>
      <c r="Q495" s="73"/>
      <c r="R495" s="73"/>
      <c r="S495" s="73"/>
    </row>
    <row r="496" spans="1:19" ht="15.75" customHeight="1">
      <c r="A496" s="41"/>
      <c r="B496" s="33" t="s">
        <v>172</v>
      </c>
      <c r="C496" s="19"/>
      <c r="D496" s="76">
        <f t="shared" ref="D496:S496" si="873">D497+D501</f>
        <v>230</v>
      </c>
      <c r="E496" s="76">
        <f t="shared" si="873"/>
        <v>0</v>
      </c>
      <c r="F496" s="76">
        <f t="shared" si="873"/>
        <v>230</v>
      </c>
      <c r="G496" s="76">
        <f t="shared" si="873"/>
        <v>230</v>
      </c>
      <c r="H496" s="76">
        <f t="shared" si="873"/>
        <v>160</v>
      </c>
      <c r="I496" s="330">
        <f t="shared" si="873"/>
        <v>12</v>
      </c>
      <c r="J496" s="76">
        <f t="shared" si="873"/>
        <v>12</v>
      </c>
      <c r="K496" s="72">
        <f t="shared" si="759"/>
        <v>0</v>
      </c>
      <c r="L496" s="72">
        <f t="shared" si="760"/>
        <v>12</v>
      </c>
      <c r="M496" s="76">
        <f t="shared" ref="M496" si="874">M497+M501</f>
        <v>12</v>
      </c>
      <c r="N496" s="76">
        <f t="shared" ref="N496" si="875">N497+N501</f>
        <v>0</v>
      </c>
      <c r="O496" s="76">
        <f t="shared" ref="O496:P496" si="876">O497+O501</f>
        <v>0</v>
      </c>
      <c r="P496" s="76">
        <f t="shared" si="876"/>
        <v>0</v>
      </c>
      <c r="Q496" s="76">
        <f t="shared" si="873"/>
        <v>0</v>
      </c>
      <c r="R496" s="76">
        <f t="shared" si="873"/>
        <v>0</v>
      </c>
      <c r="S496" s="76">
        <f t="shared" si="873"/>
        <v>0</v>
      </c>
    </row>
    <row r="497" spans="1:19" ht="9.75" hidden="1" customHeight="1">
      <c r="A497" s="47"/>
      <c r="B497" s="23" t="s">
        <v>181</v>
      </c>
      <c r="C497" s="104">
        <v>56</v>
      </c>
      <c r="D497" s="130">
        <f t="shared" ref="D497:J497" si="877">D498+D499+D500</f>
        <v>0</v>
      </c>
      <c r="E497" s="130">
        <f t="shared" si="877"/>
        <v>0</v>
      </c>
      <c r="F497" s="130">
        <f t="shared" si="877"/>
        <v>0</v>
      </c>
      <c r="G497" s="130">
        <f t="shared" si="877"/>
        <v>0</v>
      </c>
      <c r="H497" s="130">
        <f t="shared" si="877"/>
        <v>0</v>
      </c>
      <c r="I497" s="350">
        <f t="shared" si="877"/>
        <v>0</v>
      </c>
      <c r="J497" s="75">
        <f t="shared" si="877"/>
        <v>0</v>
      </c>
      <c r="K497" s="72">
        <f t="shared" si="759"/>
        <v>0</v>
      </c>
      <c r="L497" s="72">
        <f t="shared" si="760"/>
        <v>0</v>
      </c>
      <c r="M497" s="75">
        <f t="shared" ref="M497" si="878">M498+M499+M500</f>
        <v>0</v>
      </c>
      <c r="N497" s="75">
        <f t="shared" ref="N497" si="879">N498+N499+N500</f>
        <v>0</v>
      </c>
      <c r="O497" s="75">
        <f t="shared" ref="O497:P497" si="880">O498+O499+O500</f>
        <v>0</v>
      </c>
      <c r="P497" s="75">
        <f t="shared" si="880"/>
        <v>0</v>
      </c>
      <c r="Q497" s="73"/>
      <c r="R497" s="73"/>
      <c r="S497" s="73"/>
    </row>
    <row r="498" spans="1:19" ht="15.75" hidden="1" customHeight="1">
      <c r="A498" s="41"/>
      <c r="B498" s="28" t="s">
        <v>212</v>
      </c>
      <c r="C498" s="99" t="s">
        <v>213</v>
      </c>
      <c r="D498" s="75">
        <v>0</v>
      </c>
      <c r="E498" s="75">
        <v>0</v>
      </c>
      <c r="F498" s="75">
        <v>0</v>
      </c>
      <c r="G498" s="75">
        <v>0</v>
      </c>
      <c r="H498" s="75">
        <v>0</v>
      </c>
      <c r="I498" s="329">
        <v>0</v>
      </c>
      <c r="J498" s="75">
        <v>0</v>
      </c>
      <c r="K498" s="72">
        <f t="shared" si="759"/>
        <v>0</v>
      </c>
      <c r="L498" s="72">
        <f t="shared" si="760"/>
        <v>0</v>
      </c>
      <c r="M498" s="75">
        <v>0</v>
      </c>
      <c r="N498" s="75">
        <v>0</v>
      </c>
      <c r="O498" s="75">
        <v>0</v>
      </c>
      <c r="P498" s="75">
        <v>0</v>
      </c>
      <c r="Q498" s="73"/>
      <c r="R498" s="73"/>
      <c r="S498" s="73"/>
    </row>
    <row r="499" spans="1:19" ht="18.75" hidden="1" customHeight="1">
      <c r="A499" s="41"/>
      <c r="B499" s="40" t="s">
        <v>214</v>
      </c>
      <c r="C499" s="99" t="s">
        <v>215</v>
      </c>
      <c r="D499" s="75">
        <v>0</v>
      </c>
      <c r="E499" s="75">
        <v>0</v>
      </c>
      <c r="F499" s="75">
        <v>0</v>
      </c>
      <c r="G499" s="75">
        <v>0</v>
      </c>
      <c r="H499" s="75">
        <v>0</v>
      </c>
      <c r="I499" s="329">
        <v>0</v>
      </c>
      <c r="J499" s="75">
        <v>0</v>
      </c>
      <c r="K499" s="72">
        <f t="shared" si="759"/>
        <v>0</v>
      </c>
      <c r="L499" s="72">
        <f t="shared" si="760"/>
        <v>0</v>
      </c>
      <c r="M499" s="75">
        <v>0</v>
      </c>
      <c r="N499" s="75">
        <v>0</v>
      </c>
      <c r="O499" s="75">
        <v>0</v>
      </c>
      <c r="P499" s="75">
        <v>0</v>
      </c>
      <c r="Q499" s="73"/>
      <c r="R499" s="73"/>
      <c r="S499" s="73"/>
    </row>
    <row r="500" spans="1:19" ht="12" hidden="1" customHeight="1">
      <c r="A500" s="41"/>
      <c r="B500" s="40" t="s">
        <v>217</v>
      </c>
      <c r="C500" s="99" t="s">
        <v>216</v>
      </c>
      <c r="D500" s="75">
        <v>0</v>
      </c>
      <c r="E500" s="75">
        <v>0</v>
      </c>
      <c r="F500" s="75">
        <v>0</v>
      </c>
      <c r="G500" s="75">
        <v>0</v>
      </c>
      <c r="H500" s="75">
        <v>0</v>
      </c>
      <c r="I500" s="329">
        <v>0</v>
      </c>
      <c r="J500" s="75">
        <v>0</v>
      </c>
      <c r="K500" s="72">
        <f t="shared" si="759"/>
        <v>0</v>
      </c>
      <c r="L500" s="72">
        <f t="shared" si="760"/>
        <v>0</v>
      </c>
      <c r="M500" s="75">
        <v>0</v>
      </c>
      <c r="N500" s="75">
        <v>0</v>
      </c>
      <c r="O500" s="75">
        <v>0</v>
      </c>
      <c r="P500" s="75">
        <v>0</v>
      </c>
      <c r="Q500" s="73"/>
      <c r="R500" s="73"/>
      <c r="S500" s="73"/>
    </row>
    <row r="501" spans="1:19" ht="13.5" customHeight="1">
      <c r="A501" s="41"/>
      <c r="B501" s="40" t="s">
        <v>201</v>
      </c>
      <c r="C501" s="19">
        <v>70</v>
      </c>
      <c r="D501" s="75">
        <v>230</v>
      </c>
      <c r="E501" s="75"/>
      <c r="F501" s="75">
        <v>230</v>
      </c>
      <c r="G501" s="75">
        <v>230</v>
      </c>
      <c r="H501" s="75">
        <v>160</v>
      </c>
      <c r="I501" s="329">
        <v>12</v>
      </c>
      <c r="J501" s="75">
        <v>12</v>
      </c>
      <c r="K501" s="72">
        <f t="shared" si="759"/>
        <v>0</v>
      </c>
      <c r="L501" s="72">
        <f t="shared" si="760"/>
        <v>12</v>
      </c>
      <c r="M501" s="75">
        <v>12</v>
      </c>
      <c r="N501" s="75"/>
      <c r="O501" s="75"/>
      <c r="P501" s="75"/>
      <c r="Q501" s="73"/>
      <c r="R501" s="73"/>
      <c r="S501" s="73"/>
    </row>
    <row r="502" spans="1:19" ht="26.25" customHeight="1">
      <c r="A502" s="41" t="s">
        <v>271</v>
      </c>
      <c r="B502" s="57" t="s">
        <v>272</v>
      </c>
      <c r="C502" s="92" t="s">
        <v>273</v>
      </c>
      <c r="D502" s="81">
        <f t="shared" ref="D502:S502" si="881">D503+D510</f>
        <v>935</v>
      </c>
      <c r="E502" s="81">
        <f t="shared" si="881"/>
        <v>703</v>
      </c>
      <c r="F502" s="81">
        <f t="shared" si="881"/>
        <v>935</v>
      </c>
      <c r="G502" s="81">
        <f t="shared" si="881"/>
        <v>935</v>
      </c>
      <c r="H502" s="81">
        <f t="shared" si="881"/>
        <v>834</v>
      </c>
      <c r="I502" s="339">
        <f t="shared" si="881"/>
        <v>1061</v>
      </c>
      <c r="J502" s="81">
        <f t="shared" si="881"/>
        <v>950</v>
      </c>
      <c r="K502" s="72">
        <f t="shared" si="759"/>
        <v>0</v>
      </c>
      <c r="L502" s="72">
        <f t="shared" si="760"/>
        <v>950</v>
      </c>
      <c r="M502" s="81">
        <f t="shared" ref="M502" si="882">M503+M510</f>
        <v>486</v>
      </c>
      <c r="N502" s="81">
        <f t="shared" ref="N502" si="883">N503+N510</f>
        <v>233</v>
      </c>
      <c r="O502" s="81">
        <f t="shared" ref="O502:P502" si="884">O503+O510</f>
        <v>131</v>
      </c>
      <c r="P502" s="81">
        <f t="shared" si="884"/>
        <v>100</v>
      </c>
      <c r="Q502" s="81">
        <f t="shared" si="881"/>
        <v>940</v>
      </c>
      <c r="R502" s="81">
        <f t="shared" si="881"/>
        <v>940</v>
      </c>
      <c r="S502" s="81">
        <f t="shared" si="881"/>
        <v>940</v>
      </c>
    </row>
    <row r="503" spans="1:19" ht="14.25">
      <c r="A503" s="41"/>
      <c r="B503" s="31" t="s">
        <v>160</v>
      </c>
      <c r="C503" s="19"/>
      <c r="D503" s="81">
        <f t="shared" ref="D503:S503" si="885">D504</f>
        <v>935</v>
      </c>
      <c r="E503" s="81">
        <f>E504+E509</f>
        <v>703</v>
      </c>
      <c r="F503" s="81">
        <f t="shared" si="885"/>
        <v>935</v>
      </c>
      <c r="G503" s="81">
        <f t="shared" si="885"/>
        <v>935</v>
      </c>
      <c r="H503" s="81">
        <f t="shared" si="885"/>
        <v>834</v>
      </c>
      <c r="I503" s="339">
        <f t="shared" si="885"/>
        <v>1001</v>
      </c>
      <c r="J503" s="81">
        <f t="shared" si="885"/>
        <v>890</v>
      </c>
      <c r="K503" s="72">
        <f t="shared" si="759"/>
        <v>0</v>
      </c>
      <c r="L503" s="72">
        <f t="shared" si="760"/>
        <v>890</v>
      </c>
      <c r="M503" s="81">
        <f t="shared" si="885"/>
        <v>426</v>
      </c>
      <c r="N503" s="81">
        <f t="shared" si="885"/>
        <v>233</v>
      </c>
      <c r="O503" s="81">
        <f t="shared" si="885"/>
        <v>131</v>
      </c>
      <c r="P503" s="81">
        <f t="shared" si="885"/>
        <v>100</v>
      </c>
      <c r="Q503" s="81">
        <f t="shared" si="885"/>
        <v>940</v>
      </c>
      <c r="R503" s="81">
        <f t="shared" si="885"/>
        <v>940</v>
      </c>
      <c r="S503" s="81">
        <f t="shared" si="885"/>
        <v>940</v>
      </c>
    </row>
    <row r="504" spans="1:19" ht="15">
      <c r="A504" s="41"/>
      <c r="B504" s="40" t="s">
        <v>161</v>
      </c>
      <c r="C504" s="19">
        <v>1</v>
      </c>
      <c r="D504" s="76">
        <f t="shared" ref="D504:S504" si="886">D505+D507+D508</f>
        <v>935</v>
      </c>
      <c r="E504" s="76">
        <f t="shared" si="886"/>
        <v>705</v>
      </c>
      <c r="F504" s="76">
        <f t="shared" si="886"/>
        <v>935</v>
      </c>
      <c r="G504" s="76">
        <f t="shared" si="886"/>
        <v>935</v>
      </c>
      <c r="H504" s="76">
        <f t="shared" si="886"/>
        <v>834</v>
      </c>
      <c r="I504" s="330">
        <f t="shared" si="886"/>
        <v>1001</v>
      </c>
      <c r="J504" s="76">
        <f t="shared" si="886"/>
        <v>890</v>
      </c>
      <c r="K504" s="72">
        <f t="shared" si="759"/>
        <v>0</v>
      </c>
      <c r="L504" s="72">
        <f t="shared" si="760"/>
        <v>890</v>
      </c>
      <c r="M504" s="76">
        <f t="shared" ref="M504" si="887">M505+M507+M508</f>
        <v>426</v>
      </c>
      <c r="N504" s="76">
        <f t="shared" ref="N504" si="888">N505+N507+N508</f>
        <v>233</v>
      </c>
      <c r="O504" s="76">
        <f t="shared" ref="O504:P504" si="889">O505+O507+O508</f>
        <v>131</v>
      </c>
      <c r="P504" s="76">
        <f t="shared" si="889"/>
        <v>100</v>
      </c>
      <c r="Q504" s="76">
        <f t="shared" si="886"/>
        <v>940</v>
      </c>
      <c r="R504" s="76">
        <f t="shared" si="886"/>
        <v>940</v>
      </c>
      <c r="S504" s="76">
        <f t="shared" si="886"/>
        <v>940</v>
      </c>
    </row>
    <row r="505" spans="1:19" ht="14.25" customHeight="1">
      <c r="A505" s="41"/>
      <c r="B505" s="40" t="s">
        <v>162</v>
      </c>
      <c r="C505" s="19">
        <v>10</v>
      </c>
      <c r="D505" s="75">
        <v>55</v>
      </c>
      <c r="E505" s="75">
        <v>57</v>
      </c>
      <c r="F505" s="75">
        <v>55</v>
      </c>
      <c r="G505" s="75">
        <v>55</v>
      </c>
      <c r="H505" s="75">
        <v>55</v>
      </c>
      <c r="I505" s="329">
        <v>70</v>
      </c>
      <c r="J505" s="75">
        <v>70</v>
      </c>
      <c r="K505" s="72">
        <f t="shared" si="759"/>
        <v>0</v>
      </c>
      <c r="L505" s="72">
        <f t="shared" si="760"/>
        <v>70</v>
      </c>
      <c r="M505" s="75">
        <v>20</v>
      </c>
      <c r="N505" s="75">
        <v>20</v>
      </c>
      <c r="O505" s="75">
        <v>10</v>
      </c>
      <c r="P505" s="75">
        <v>20</v>
      </c>
      <c r="Q505" s="73">
        <v>70</v>
      </c>
      <c r="R505" s="73">
        <v>70</v>
      </c>
      <c r="S505" s="73">
        <v>70</v>
      </c>
    </row>
    <row r="506" spans="1:19" ht="15" hidden="1" customHeight="1">
      <c r="A506" s="41"/>
      <c r="B506" s="40" t="s">
        <v>489</v>
      </c>
      <c r="C506" s="19"/>
      <c r="D506" s="75"/>
      <c r="E506" s="75"/>
      <c r="F506" s="75"/>
      <c r="G506" s="75"/>
      <c r="H506" s="75"/>
      <c r="I506" s="329"/>
      <c r="J506" s="75"/>
      <c r="K506" s="72">
        <f t="shared" si="759"/>
        <v>0</v>
      </c>
      <c r="L506" s="72">
        <f t="shared" si="760"/>
        <v>0</v>
      </c>
      <c r="M506" s="75"/>
      <c r="N506" s="75"/>
      <c r="O506" s="75"/>
      <c r="P506" s="75"/>
      <c r="Q506" s="73"/>
      <c r="R506" s="73"/>
      <c r="S506" s="73"/>
    </row>
    <row r="507" spans="1:19" ht="15">
      <c r="A507" s="41"/>
      <c r="B507" s="40" t="s">
        <v>886</v>
      </c>
      <c r="C507" s="19">
        <v>20</v>
      </c>
      <c r="D507" s="75">
        <v>700</v>
      </c>
      <c r="E507" s="75">
        <v>549</v>
      </c>
      <c r="F507" s="75">
        <v>700</v>
      </c>
      <c r="G507" s="75">
        <v>740</v>
      </c>
      <c r="H507" s="75">
        <v>673</v>
      </c>
      <c r="I507" s="329">
        <v>811</v>
      </c>
      <c r="J507" s="75">
        <f>700-101+1</f>
        <v>600</v>
      </c>
      <c r="K507" s="72">
        <f t="shared" si="759"/>
        <v>0</v>
      </c>
      <c r="L507" s="72">
        <f t="shared" si="760"/>
        <v>600</v>
      </c>
      <c r="M507" s="75">
        <f>270-33</f>
        <v>237</v>
      </c>
      <c r="N507" s="75">
        <f>200-33</f>
        <v>167</v>
      </c>
      <c r="O507" s="75">
        <f>150-34</f>
        <v>116</v>
      </c>
      <c r="P507" s="75">
        <v>80</v>
      </c>
      <c r="Q507" s="73">
        <v>750</v>
      </c>
      <c r="R507" s="73">
        <v>750</v>
      </c>
      <c r="S507" s="73">
        <v>750</v>
      </c>
    </row>
    <row r="508" spans="1:19" ht="15" customHeight="1">
      <c r="A508" s="41"/>
      <c r="B508" s="40" t="s">
        <v>270</v>
      </c>
      <c r="C508" s="19" t="s">
        <v>278</v>
      </c>
      <c r="D508" s="75">
        <v>180</v>
      </c>
      <c r="E508" s="75">
        <v>99</v>
      </c>
      <c r="F508" s="75">
        <v>180</v>
      </c>
      <c r="G508" s="75">
        <v>140</v>
      </c>
      <c r="H508" s="75">
        <v>106</v>
      </c>
      <c r="I508" s="329">
        <v>120</v>
      </c>
      <c r="J508" s="75">
        <f>120+100</f>
        <v>220</v>
      </c>
      <c r="K508" s="72">
        <f t="shared" si="759"/>
        <v>0</v>
      </c>
      <c r="L508" s="72">
        <f t="shared" si="760"/>
        <v>220</v>
      </c>
      <c r="M508" s="75">
        <f>90+33+33+13</f>
        <v>169</v>
      </c>
      <c r="N508" s="75">
        <f>20+33-3-4</f>
        <v>46</v>
      </c>
      <c r="O508" s="75">
        <f>10+34-30-9</f>
        <v>5</v>
      </c>
      <c r="P508" s="75"/>
      <c r="Q508" s="73">
        <v>120</v>
      </c>
      <c r="R508" s="73">
        <v>120</v>
      </c>
      <c r="S508" s="73">
        <v>120</v>
      </c>
    </row>
    <row r="509" spans="1:19" ht="15" hidden="1" customHeight="1">
      <c r="A509" s="41"/>
      <c r="B509" s="40" t="s">
        <v>171</v>
      </c>
      <c r="C509" s="19">
        <v>85.01</v>
      </c>
      <c r="D509" s="75"/>
      <c r="E509" s="75">
        <v>-2</v>
      </c>
      <c r="F509" s="75"/>
      <c r="G509" s="75"/>
      <c r="H509" s="75"/>
      <c r="I509" s="329"/>
      <c r="J509" s="75"/>
      <c r="K509" s="72">
        <f t="shared" si="759"/>
        <v>0</v>
      </c>
      <c r="L509" s="72">
        <f t="shared" si="760"/>
        <v>0</v>
      </c>
      <c r="M509" s="75"/>
      <c r="N509" s="75"/>
      <c r="O509" s="75"/>
      <c r="P509" s="75"/>
      <c r="Q509" s="73"/>
      <c r="R509" s="73"/>
      <c r="S509" s="73"/>
    </row>
    <row r="510" spans="1:19" ht="17.25" customHeight="1">
      <c r="A510" s="41"/>
      <c r="B510" s="33" t="s">
        <v>172</v>
      </c>
      <c r="C510" s="19"/>
      <c r="D510" s="76">
        <f t="shared" ref="D510:S510" si="890">D511</f>
        <v>0</v>
      </c>
      <c r="E510" s="76">
        <f t="shared" si="890"/>
        <v>0</v>
      </c>
      <c r="F510" s="76">
        <f t="shared" si="890"/>
        <v>0</v>
      </c>
      <c r="G510" s="76">
        <f t="shared" si="890"/>
        <v>0</v>
      </c>
      <c r="H510" s="76">
        <f t="shared" si="890"/>
        <v>0</v>
      </c>
      <c r="I510" s="330">
        <f t="shared" si="890"/>
        <v>60</v>
      </c>
      <c r="J510" s="76">
        <f t="shared" si="890"/>
        <v>60</v>
      </c>
      <c r="K510" s="72">
        <f t="shared" si="759"/>
        <v>0</v>
      </c>
      <c r="L510" s="72">
        <f t="shared" si="760"/>
        <v>60</v>
      </c>
      <c r="M510" s="76">
        <f t="shared" si="890"/>
        <v>60</v>
      </c>
      <c r="N510" s="76">
        <f t="shared" si="890"/>
        <v>0</v>
      </c>
      <c r="O510" s="76">
        <f t="shared" si="890"/>
        <v>0</v>
      </c>
      <c r="P510" s="76">
        <f t="shared" si="890"/>
        <v>0</v>
      </c>
      <c r="Q510" s="76">
        <f t="shared" si="890"/>
        <v>0</v>
      </c>
      <c r="R510" s="76">
        <f t="shared" si="890"/>
        <v>0</v>
      </c>
      <c r="S510" s="76">
        <f t="shared" si="890"/>
        <v>0</v>
      </c>
    </row>
    <row r="511" spans="1:19" ht="16.5" customHeight="1">
      <c r="A511" s="41"/>
      <c r="B511" s="40" t="s">
        <v>201</v>
      </c>
      <c r="C511" s="19">
        <v>70</v>
      </c>
      <c r="D511" s="75"/>
      <c r="E511" s="75"/>
      <c r="F511" s="75"/>
      <c r="G511" s="75"/>
      <c r="H511" s="75"/>
      <c r="I511" s="329">
        <v>60</v>
      </c>
      <c r="J511" s="75">
        <v>60</v>
      </c>
      <c r="K511" s="72">
        <f t="shared" si="759"/>
        <v>0</v>
      </c>
      <c r="L511" s="72">
        <f t="shared" si="760"/>
        <v>60</v>
      </c>
      <c r="M511" s="75">
        <v>60</v>
      </c>
      <c r="N511" s="75"/>
      <c r="O511" s="75"/>
      <c r="P511" s="75"/>
      <c r="Q511" s="73">
        <v>0</v>
      </c>
      <c r="R511" s="73">
        <v>0</v>
      </c>
      <c r="S511" s="73">
        <v>0</v>
      </c>
    </row>
    <row r="512" spans="1:19" ht="42.75">
      <c r="A512" s="41" t="s">
        <v>274</v>
      </c>
      <c r="B512" s="57" t="s">
        <v>275</v>
      </c>
      <c r="C512" s="92" t="s">
        <v>276</v>
      </c>
      <c r="D512" s="81">
        <f t="shared" ref="D512:S512" si="891">D513+D520</f>
        <v>528</v>
      </c>
      <c r="E512" s="81">
        <f t="shared" si="891"/>
        <v>408</v>
      </c>
      <c r="F512" s="81">
        <f t="shared" si="891"/>
        <v>598</v>
      </c>
      <c r="G512" s="81">
        <f t="shared" si="891"/>
        <v>605.5</v>
      </c>
      <c r="H512" s="81">
        <f t="shared" si="891"/>
        <v>592</v>
      </c>
      <c r="I512" s="339">
        <f t="shared" si="891"/>
        <v>994</v>
      </c>
      <c r="J512" s="81">
        <f t="shared" si="891"/>
        <v>692</v>
      </c>
      <c r="K512" s="72">
        <f t="shared" si="759"/>
        <v>0</v>
      </c>
      <c r="L512" s="72">
        <f t="shared" si="760"/>
        <v>692</v>
      </c>
      <c r="M512" s="81">
        <f t="shared" ref="M512" si="892">M513+M520</f>
        <v>364</v>
      </c>
      <c r="N512" s="81">
        <f t="shared" ref="N512" si="893">N513+N520</f>
        <v>157</v>
      </c>
      <c r="O512" s="81">
        <f t="shared" ref="O512:P512" si="894">O513+O520</f>
        <v>109</v>
      </c>
      <c r="P512" s="81">
        <f t="shared" si="894"/>
        <v>62</v>
      </c>
      <c r="Q512" s="81">
        <f t="shared" si="891"/>
        <v>579</v>
      </c>
      <c r="R512" s="81">
        <f t="shared" si="891"/>
        <v>579</v>
      </c>
      <c r="S512" s="81">
        <f t="shared" si="891"/>
        <v>579</v>
      </c>
    </row>
    <row r="513" spans="1:19" ht="14.25">
      <c r="A513" s="41"/>
      <c r="B513" s="31" t="s">
        <v>160</v>
      </c>
      <c r="C513" s="19"/>
      <c r="D513" s="81">
        <f t="shared" ref="D513:S513" si="895">D514</f>
        <v>528</v>
      </c>
      <c r="E513" s="81">
        <f t="shared" si="895"/>
        <v>408</v>
      </c>
      <c r="F513" s="81">
        <f t="shared" si="895"/>
        <v>598</v>
      </c>
      <c r="G513" s="81">
        <f t="shared" si="895"/>
        <v>605.5</v>
      </c>
      <c r="H513" s="81">
        <f t="shared" si="895"/>
        <v>592</v>
      </c>
      <c r="I513" s="339">
        <f t="shared" si="895"/>
        <v>668</v>
      </c>
      <c r="J513" s="81">
        <f t="shared" si="895"/>
        <v>566</v>
      </c>
      <c r="K513" s="72">
        <f t="shared" si="759"/>
        <v>0</v>
      </c>
      <c r="L513" s="72">
        <f t="shared" si="760"/>
        <v>566</v>
      </c>
      <c r="M513" s="81">
        <f t="shared" si="895"/>
        <v>238</v>
      </c>
      <c r="N513" s="81">
        <f t="shared" si="895"/>
        <v>157</v>
      </c>
      <c r="O513" s="81">
        <f t="shared" si="895"/>
        <v>109</v>
      </c>
      <c r="P513" s="81">
        <f t="shared" si="895"/>
        <v>62</v>
      </c>
      <c r="Q513" s="81">
        <f t="shared" si="895"/>
        <v>579</v>
      </c>
      <c r="R513" s="81">
        <f t="shared" si="895"/>
        <v>579</v>
      </c>
      <c r="S513" s="81">
        <f t="shared" si="895"/>
        <v>579</v>
      </c>
    </row>
    <row r="514" spans="1:19" ht="15">
      <c r="A514" s="41"/>
      <c r="B514" s="40" t="s">
        <v>161</v>
      </c>
      <c r="C514" s="19">
        <v>1</v>
      </c>
      <c r="D514" s="76">
        <f t="shared" ref="D514:S514" si="896">D515+D517+D518+D519</f>
        <v>528</v>
      </c>
      <c r="E514" s="76">
        <f t="shared" si="896"/>
        <v>408</v>
      </c>
      <c r="F514" s="76">
        <f t="shared" si="896"/>
        <v>598</v>
      </c>
      <c r="G514" s="76">
        <f t="shared" si="896"/>
        <v>605.5</v>
      </c>
      <c r="H514" s="76">
        <f t="shared" si="896"/>
        <v>592</v>
      </c>
      <c r="I514" s="330">
        <f t="shared" si="896"/>
        <v>668</v>
      </c>
      <c r="J514" s="76">
        <f t="shared" si="896"/>
        <v>566</v>
      </c>
      <c r="K514" s="72">
        <f t="shared" si="759"/>
        <v>0</v>
      </c>
      <c r="L514" s="72">
        <f t="shared" si="760"/>
        <v>566</v>
      </c>
      <c r="M514" s="76">
        <f t="shared" ref="M514" si="897">M515+M517+M518+M519</f>
        <v>238</v>
      </c>
      <c r="N514" s="76">
        <f t="shared" ref="N514" si="898">N515+N517+N518+N519</f>
        <v>157</v>
      </c>
      <c r="O514" s="76">
        <f t="shared" ref="O514:P514" si="899">O515+O517+O518+O519</f>
        <v>109</v>
      </c>
      <c r="P514" s="76">
        <f t="shared" si="899"/>
        <v>62</v>
      </c>
      <c r="Q514" s="76">
        <f t="shared" si="896"/>
        <v>579</v>
      </c>
      <c r="R514" s="76">
        <f t="shared" si="896"/>
        <v>579</v>
      </c>
      <c r="S514" s="76">
        <f t="shared" si="896"/>
        <v>579</v>
      </c>
    </row>
    <row r="515" spans="1:19" ht="15">
      <c r="A515" s="41"/>
      <c r="B515" s="40" t="s">
        <v>814</v>
      </c>
      <c r="C515" s="19">
        <v>10</v>
      </c>
      <c r="D515" s="75">
        <v>40</v>
      </c>
      <c r="E515" s="75">
        <v>42</v>
      </c>
      <c r="F515" s="75">
        <v>40</v>
      </c>
      <c r="G515" s="75">
        <v>47.5</v>
      </c>
      <c r="H515" s="75">
        <v>46</v>
      </c>
      <c r="I515" s="329">
        <v>48</v>
      </c>
      <c r="J515" s="75">
        <v>48</v>
      </c>
      <c r="K515" s="72">
        <f t="shared" si="759"/>
        <v>0</v>
      </c>
      <c r="L515" s="72">
        <f t="shared" si="760"/>
        <v>48</v>
      </c>
      <c r="M515" s="75">
        <v>12</v>
      </c>
      <c r="N515" s="75">
        <v>12</v>
      </c>
      <c r="O515" s="75">
        <v>12</v>
      </c>
      <c r="P515" s="75">
        <v>12</v>
      </c>
      <c r="Q515" s="73">
        <v>49</v>
      </c>
      <c r="R515" s="73">
        <v>49</v>
      </c>
      <c r="S515" s="73">
        <v>49</v>
      </c>
    </row>
    <row r="516" spans="1:19" ht="0.75" customHeight="1">
      <c r="A516" s="41"/>
      <c r="B516" s="40" t="s">
        <v>489</v>
      </c>
      <c r="C516" s="19"/>
      <c r="D516" s="75"/>
      <c r="E516" s="75"/>
      <c r="F516" s="75"/>
      <c r="G516" s="75"/>
      <c r="H516" s="75"/>
      <c r="I516" s="329"/>
      <c r="J516" s="75"/>
      <c r="K516" s="72">
        <f t="shared" si="759"/>
        <v>0</v>
      </c>
      <c r="L516" s="72">
        <f t="shared" si="760"/>
        <v>0</v>
      </c>
      <c r="M516" s="75"/>
      <c r="N516" s="75"/>
      <c r="O516" s="75"/>
      <c r="P516" s="75"/>
      <c r="Q516" s="73"/>
      <c r="R516" s="73"/>
      <c r="S516" s="73"/>
    </row>
    <row r="517" spans="1:19" ht="15">
      <c r="A517" s="41"/>
      <c r="B517" s="40" t="s">
        <v>886</v>
      </c>
      <c r="C517" s="19">
        <v>20</v>
      </c>
      <c r="D517" s="75">
        <v>420</v>
      </c>
      <c r="E517" s="75">
        <v>310</v>
      </c>
      <c r="F517" s="75">
        <v>490</v>
      </c>
      <c r="G517" s="75">
        <v>490</v>
      </c>
      <c r="H517" s="75">
        <v>482</v>
      </c>
      <c r="I517" s="329">
        <v>552</v>
      </c>
      <c r="J517" s="75">
        <f>450-45</f>
        <v>405</v>
      </c>
      <c r="K517" s="72">
        <f t="shared" si="759"/>
        <v>0</v>
      </c>
      <c r="L517" s="72">
        <f t="shared" si="760"/>
        <v>405</v>
      </c>
      <c r="M517" s="75">
        <f>170-15</f>
        <v>155</v>
      </c>
      <c r="N517" s="75">
        <f>130-15</f>
        <v>115</v>
      </c>
      <c r="O517" s="75">
        <f>100-15</f>
        <v>85</v>
      </c>
      <c r="P517" s="75">
        <v>50</v>
      </c>
      <c r="Q517" s="73">
        <v>460</v>
      </c>
      <c r="R517" s="73">
        <v>460</v>
      </c>
      <c r="S517" s="73">
        <v>460</v>
      </c>
    </row>
    <row r="518" spans="1:19" ht="14.25" customHeight="1">
      <c r="A518" s="41"/>
      <c r="B518" s="40" t="s">
        <v>277</v>
      </c>
      <c r="C518" s="19" t="s">
        <v>278</v>
      </c>
      <c r="D518" s="75">
        <v>68</v>
      </c>
      <c r="E518" s="75">
        <v>59</v>
      </c>
      <c r="F518" s="75">
        <v>68</v>
      </c>
      <c r="G518" s="75">
        <v>68</v>
      </c>
      <c r="H518" s="75">
        <v>64</v>
      </c>
      <c r="I518" s="329">
        <v>68</v>
      </c>
      <c r="J518" s="75">
        <f>68+45</f>
        <v>113</v>
      </c>
      <c r="K518" s="72">
        <f t="shared" si="759"/>
        <v>0</v>
      </c>
      <c r="L518" s="72">
        <f t="shared" si="760"/>
        <v>113</v>
      </c>
      <c r="M518" s="75">
        <f>43+15+13</f>
        <v>71</v>
      </c>
      <c r="N518" s="75">
        <f>18+15-3</f>
        <v>30</v>
      </c>
      <c r="O518" s="75">
        <f>7+15-10</f>
        <v>12</v>
      </c>
      <c r="P518" s="75"/>
      <c r="Q518" s="73">
        <v>70</v>
      </c>
      <c r="R518" s="73">
        <v>70</v>
      </c>
      <c r="S518" s="73">
        <v>70</v>
      </c>
    </row>
    <row r="519" spans="1:19" ht="0.75" customHeight="1">
      <c r="A519" s="41"/>
      <c r="B519" s="40" t="s">
        <v>171</v>
      </c>
      <c r="C519" s="19">
        <v>85.01</v>
      </c>
      <c r="D519" s="75"/>
      <c r="E519" s="75">
        <v>-3</v>
      </c>
      <c r="F519" s="75"/>
      <c r="G519" s="75"/>
      <c r="H519" s="75"/>
      <c r="I519" s="329"/>
      <c r="J519" s="75"/>
      <c r="K519" s="72">
        <f t="shared" si="759"/>
        <v>0</v>
      </c>
      <c r="L519" s="72">
        <f t="shared" si="760"/>
        <v>0</v>
      </c>
      <c r="M519" s="75"/>
      <c r="N519" s="75"/>
      <c r="O519" s="75"/>
      <c r="P519" s="75"/>
      <c r="Q519" s="73"/>
      <c r="R519" s="73"/>
      <c r="S519" s="73"/>
    </row>
    <row r="520" spans="1:19" ht="0.75" customHeight="1">
      <c r="A520" s="41"/>
      <c r="B520" s="33" t="s">
        <v>172</v>
      </c>
      <c r="C520" s="19"/>
      <c r="D520" s="81">
        <f t="shared" ref="D520:S520" si="900">D521</f>
        <v>0</v>
      </c>
      <c r="E520" s="81">
        <f t="shared" si="900"/>
        <v>0</v>
      </c>
      <c r="F520" s="81">
        <f t="shared" si="900"/>
        <v>0</v>
      </c>
      <c r="G520" s="81">
        <f t="shared" si="900"/>
        <v>0</v>
      </c>
      <c r="H520" s="81">
        <f t="shared" si="900"/>
        <v>0</v>
      </c>
      <c r="I520" s="339">
        <f t="shared" si="900"/>
        <v>326</v>
      </c>
      <c r="J520" s="81">
        <f t="shared" si="900"/>
        <v>126</v>
      </c>
      <c r="K520" s="72">
        <f t="shared" si="759"/>
        <v>0</v>
      </c>
      <c r="L520" s="72">
        <f t="shared" si="760"/>
        <v>126</v>
      </c>
      <c r="M520" s="81">
        <f t="shared" si="900"/>
        <v>126</v>
      </c>
      <c r="N520" s="81">
        <f t="shared" si="900"/>
        <v>0</v>
      </c>
      <c r="O520" s="81">
        <f t="shared" si="900"/>
        <v>0</v>
      </c>
      <c r="P520" s="81">
        <f t="shared" si="900"/>
        <v>0</v>
      </c>
      <c r="Q520" s="81">
        <f t="shared" si="900"/>
        <v>0</v>
      </c>
      <c r="R520" s="81">
        <f t="shared" si="900"/>
        <v>0</v>
      </c>
      <c r="S520" s="81">
        <f t="shared" si="900"/>
        <v>0</v>
      </c>
    </row>
    <row r="521" spans="1:19" ht="16.5" customHeight="1">
      <c r="A521" s="41"/>
      <c r="B521" s="23" t="s">
        <v>279</v>
      </c>
      <c r="C521" s="104">
        <v>70</v>
      </c>
      <c r="D521" s="75"/>
      <c r="E521" s="75"/>
      <c r="F521" s="75"/>
      <c r="G521" s="75"/>
      <c r="H521" s="75"/>
      <c r="I521" s="329">
        <v>326</v>
      </c>
      <c r="J521" s="75">
        <v>126</v>
      </c>
      <c r="K521" s="72">
        <f t="shared" si="759"/>
        <v>0</v>
      </c>
      <c r="L521" s="72">
        <f t="shared" si="760"/>
        <v>126</v>
      </c>
      <c r="M521" s="75">
        <v>126</v>
      </c>
      <c r="N521" s="75"/>
      <c r="O521" s="75"/>
      <c r="P521" s="75"/>
      <c r="Q521" s="73"/>
      <c r="R521" s="73"/>
      <c r="S521" s="73"/>
    </row>
    <row r="522" spans="1:19" ht="14.25">
      <c r="A522" s="41" t="s">
        <v>280</v>
      </c>
      <c r="B522" s="59" t="s">
        <v>281</v>
      </c>
      <c r="C522" s="92" t="s">
        <v>282</v>
      </c>
      <c r="D522" s="81">
        <f t="shared" ref="D522:S522" si="901">D523+D530</f>
        <v>289</v>
      </c>
      <c r="E522" s="81">
        <f t="shared" si="901"/>
        <v>224</v>
      </c>
      <c r="F522" s="81">
        <f t="shared" si="901"/>
        <v>289</v>
      </c>
      <c r="G522" s="81">
        <f t="shared" si="901"/>
        <v>295</v>
      </c>
      <c r="H522" s="81">
        <f t="shared" si="901"/>
        <v>261</v>
      </c>
      <c r="I522" s="339">
        <f t="shared" si="901"/>
        <v>330</v>
      </c>
      <c r="J522" s="81">
        <f t="shared" si="901"/>
        <v>295</v>
      </c>
      <c r="K522" s="72">
        <f t="shared" si="759"/>
        <v>0</v>
      </c>
      <c r="L522" s="72">
        <f t="shared" si="760"/>
        <v>295</v>
      </c>
      <c r="M522" s="81">
        <f t="shared" ref="M522" si="902">M523+M530</f>
        <v>128</v>
      </c>
      <c r="N522" s="81">
        <f t="shared" ref="N522" si="903">N523+N530</f>
        <v>96</v>
      </c>
      <c r="O522" s="81">
        <f t="shared" ref="O522:P522" si="904">O523+O530</f>
        <v>49</v>
      </c>
      <c r="P522" s="81">
        <f t="shared" si="904"/>
        <v>22</v>
      </c>
      <c r="Q522" s="81">
        <f t="shared" si="901"/>
        <v>296</v>
      </c>
      <c r="R522" s="81">
        <f t="shared" si="901"/>
        <v>296</v>
      </c>
      <c r="S522" s="81">
        <f t="shared" si="901"/>
        <v>296</v>
      </c>
    </row>
    <row r="523" spans="1:19" ht="14.25">
      <c r="A523" s="41"/>
      <c r="B523" s="31" t="s">
        <v>160</v>
      </c>
      <c r="C523" s="19"/>
      <c r="D523" s="81">
        <f t="shared" ref="D523:S523" si="905">D524</f>
        <v>289</v>
      </c>
      <c r="E523" s="81">
        <f>E524+E529</f>
        <v>224</v>
      </c>
      <c r="F523" s="81">
        <f t="shared" si="905"/>
        <v>289</v>
      </c>
      <c r="G523" s="81">
        <f t="shared" si="905"/>
        <v>295</v>
      </c>
      <c r="H523" s="81">
        <f t="shared" si="905"/>
        <v>261</v>
      </c>
      <c r="I523" s="339">
        <f t="shared" si="905"/>
        <v>323</v>
      </c>
      <c r="J523" s="81">
        <f t="shared" si="905"/>
        <v>288</v>
      </c>
      <c r="K523" s="72">
        <f t="shared" si="759"/>
        <v>0</v>
      </c>
      <c r="L523" s="72">
        <f t="shared" si="760"/>
        <v>288</v>
      </c>
      <c r="M523" s="81">
        <f t="shared" si="905"/>
        <v>121</v>
      </c>
      <c r="N523" s="81">
        <f t="shared" si="905"/>
        <v>96</v>
      </c>
      <c r="O523" s="81">
        <f t="shared" si="905"/>
        <v>49</v>
      </c>
      <c r="P523" s="81">
        <f t="shared" si="905"/>
        <v>22</v>
      </c>
      <c r="Q523" s="81">
        <f t="shared" si="905"/>
        <v>296</v>
      </c>
      <c r="R523" s="81">
        <f t="shared" si="905"/>
        <v>296</v>
      </c>
      <c r="S523" s="81">
        <f t="shared" si="905"/>
        <v>296</v>
      </c>
    </row>
    <row r="524" spans="1:19" ht="21.75" customHeight="1">
      <c r="A524" s="41"/>
      <c r="B524" s="40" t="s">
        <v>161</v>
      </c>
      <c r="C524" s="19">
        <v>1</v>
      </c>
      <c r="D524" s="76">
        <f t="shared" ref="D524:S524" si="906">D525+D527+D528+D529</f>
        <v>289</v>
      </c>
      <c r="E524" s="76">
        <f>E525+E527+E528</f>
        <v>225</v>
      </c>
      <c r="F524" s="76">
        <f t="shared" ref="F524:J524" si="907">F525+F527+F528+F529</f>
        <v>289</v>
      </c>
      <c r="G524" s="76">
        <f t="shared" si="907"/>
        <v>295</v>
      </c>
      <c r="H524" s="76">
        <f t="shared" si="907"/>
        <v>261</v>
      </c>
      <c r="I524" s="330">
        <f t="shared" si="907"/>
        <v>323</v>
      </c>
      <c r="J524" s="76">
        <f t="shared" si="907"/>
        <v>288</v>
      </c>
      <c r="K524" s="72">
        <f t="shared" ref="K524:K587" si="908">J524-L524</f>
        <v>0</v>
      </c>
      <c r="L524" s="72">
        <f t="shared" ref="L524:L587" si="909">M524+N524+O524+P524</f>
        <v>288</v>
      </c>
      <c r="M524" s="76">
        <f t="shared" ref="M524" si="910">M525+M527+M528+M529</f>
        <v>121</v>
      </c>
      <c r="N524" s="76">
        <f t="shared" ref="N524" si="911">N525+N527+N528+N529</f>
        <v>96</v>
      </c>
      <c r="O524" s="76">
        <f t="shared" ref="O524:P524" si="912">O525+O527+O528+O529</f>
        <v>49</v>
      </c>
      <c r="P524" s="76">
        <f t="shared" si="912"/>
        <v>22</v>
      </c>
      <c r="Q524" s="76">
        <f t="shared" si="906"/>
        <v>296</v>
      </c>
      <c r="R524" s="76">
        <f t="shared" si="906"/>
        <v>296</v>
      </c>
      <c r="S524" s="76">
        <f t="shared" si="906"/>
        <v>296</v>
      </c>
    </row>
    <row r="525" spans="1:19" ht="18.75" customHeight="1">
      <c r="A525" s="41"/>
      <c r="B525" s="40" t="s">
        <v>814</v>
      </c>
      <c r="C525" s="19">
        <v>10</v>
      </c>
      <c r="D525" s="75">
        <v>25</v>
      </c>
      <c r="E525" s="75">
        <v>26</v>
      </c>
      <c r="F525" s="75">
        <v>25</v>
      </c>
      <c r="G525" s="75">
        <v>31</v>
      </c>
      <c r="H525" s="75">
        <v>31</v>
      </c>
      <c r="I525" s="329">
        <v>32</v>
      </c>
      <c r="J525" s="75">
        <v>32</v>
      </c>
      <c r="K525" s="72">
        <f t="shared" si="908"/>
        <v>0</v>
      </c>
      <c r="L525" s="72">
        <f t="shared" si="909"/>
        <v>32</v>
      </c>
      <c r="M525" s="75">
        <v>8</v>
      </c>
      <c r="N525" s="75">
        <v>8</v>
      </c>
      <c r="O525" s="75">
        <v>8</v>
      </c>
      <c r="P525" s="75">
        <v>8</v>
      </c>
      <c r="Q525" s="73">
        <v>30</v>
      </c>
      <c r="R525" s="73">
        <v>30</v>
      </c>
      <c r="S525" s="73">
        <v>30</v>
      </c>
    </row>
    <row r="526" spans="1:19" ht="0.75" customHeight="1">
      <c r="A526" s="41"/>
      <c r="B526" s="40" t="s">
        <v>489</v>
      </c>
      <c r="C526" s="19"/>
      <c r="D526" s="75"/>
      <c r="E526" s="75"/>
      <c r="F526" s="75"/>
      <c r="G526" s="75"/>
      <c r="H526" s="75"/>
      <c r="I526" s="329"/>
      <c r="J526" s="75"/>
      <c r="K526" s="72">
        <f t="shared" si="908"/>
        <v>0</v>
      </c>
      <c r="L526" s="72">
        <f t="shared" si="909"/>
        <v>0</v>
      </c>
      <c r="M526" s="75"/>
      <c r="N526" s="75"/>
      <c r="O526" s="75"/>
      <c r="P526" s="75"/>
      <c r="Q526" s="73"/>
      <c r="R526" s="73"/>
      <c r="S526" s="73"/>
    </row>
    <row r="527" spans="1:19" ht="16.5" customHeight="1">
      <c r="A527" s="41"/>
      <c r="B527" s="40" t="s">
        <v>886</v>
      </c>
      <c r="C527" s="19">
        <v>20</v>
      </c>
      <c r="D527" s="75">
        <v>250</v>
      </c>
      <c r="E527" s="75">
        <v>187</v>
      </c>
      <c r="F527" s="75">
        <v>250</v>
      </c>
      <c r="G527" s="75">
        <v>250</v>
      </c>
      <c r="H527" s="75">
        <v>219</v>
      </c>
      <c r="I527" s="329">
        <v>275</v>
      </c>
      <c r="J527" s="75">
        <f>240-53</f>
        <v>187</v>
      </c>
      <c r="K527" s="72">
        <f t="shared" si="908"/>
        <v>0</v>
      </c>
      <c r="L527" s="72">
        <f t="shared" si="909"/>
        <v>187</v>
      </c>
      <c r="M527" s="75">
        <f>100-18+3</f>
        <v>85</v>
      </c>
      <c r="N527" s="75">
        <f>80-18+3</f>
        <v>65</v>
      </c>
      <c r="O527" s="75">
        <f>20-17+20</f>
        <v>23</v>
      </c>
      <c r="P527" s="75">
        <f>40-26</f>
        <v>14</v>
      </c>
      <c r="Q527" s="73">
        <v>250</v>
      </c>
      <c r="R527" s="73">
        <v>250</v>
      </c>
      <c r="S527" s="73">
        <v>250</v>
      </c>
    </row>
    <row r="528" spans="1:19" ht="14.25" customHeight="1">
      <c r="A528" s="41"/>
      <c r="B528" s="40" t="s">
        <v>266</v>
      </c>
      <c r="C528" s="19" t="s">
        <v>539</v>
      </c>
      <c r="D528" s="75">
        <v>14</v>
      </c>
      <c r="E528" s="75">
        <v>12</v>
      </c>
      <c r="F528" s="75">
        <v>14</v>
      </c>
      <c r="G528" s="75">
        <v>14</v>
      </c>
      <c r="H528" s="75">
        <v>11</v>
      </c>
      <c r="I528" s="329">
        <v>16</v>
      </c>
      <c r="J528" s="75">
        <f>16+53</f>
        <v>69</v>
      </c>
      <c r="K528" s="72">
        <f t="shared" si="908"/>
        <v>0</v>
      </c>
      <c r="L528" s="72">
        <f t="shared" si="909"/>
        <v>69</v>
      </c>
      <c r="M528" s="75">
        <f>10+18</f>
        <v>28</v>
      </c>
      <c r="N528" s="75">
        <f>5+18</f>
        <v>23</v>
      </c>
      <c r="O528" s="75">
        <f>1+17</f>
        <v>18</v>
      </c>
      <c r="P528" s="75"/>
      <c r="Q528" s="73">
        <v>16</v>
      </c>
      <c r="R528" s="73">
        <v>16</v>
      </c>
      <c r="S528" s="73">
        <v>16</v>
      </c>
    </row>
    <row r="529" spans="1:19" ht="0.75" customHeight="1">
      <c r="A529" s="41"/>
      <c r="B529" s="40" t="s">
        <v>535</v>
      </c>
      <c r="C529" s="19">
        <v>85.01</v>
      </c>
      <c r="D529" s="75"/>
      <c r="E529" s="75">
        <v>-1</v>
      </c>
      <c r="F529" s="75"/>
      <c r="G529" s="75"/>
      <c r="H529" s="75"/>
      <c r="I529" s="329"/>
      <c r="J529" s="75"/>
      <c r="K529" s="72">
        <f t="shared" si="908"/>
        <v>0</v>
      </c>
      <c r="L529" s="72">
        <f t="shared" si="909"/>
        <v>0</v>
      </c>
      <c r="M529" s="75"/>
      <c r="N529" s="75"/>
      <c r="O529" s="75"/>
      <c r="P529" s="75"/>
      <c r="Q529" s="73"/>
      <c r="R529" s="73"/>
      <c r="S529" s="73"/>
    </row>
    <row r="530" spans="1:19" ht="17.25" customHeight="1">
      <c r="A530" s="41"/>
      <c r="B530" s="33" t="s">
        <v>172</v>
      </c>
      <c r="C530" s="19"/>
      <c r="D530" s="76">
        <f t="shared" ref="D530:S530" si="913">D531</f>
        <v>0</v>
      </c>
      <c r="E530" s="76">
        <f t="shared" si="913"/>
        <v>0</v>
      </c>
      <c r="F530" s="76">
        <f t="shared" si="913"/>
        <v>0</v>
      </c>
      <c r="G530" s="76">
        <f t="shared" si="913"/>
        <v>0</v>
      </c>
      <c r="H530" s="76">
        <f t="shared" si="913"/>
        <v>0</v>
      </c>
      <c r="I530" s="330">
        <f t="shared" si="913"/>
        <v>7</v>
      </c>
      <c r="J530" s="76">
        <f t="shared" si="913"/>
        <v>7</v>
      </c>
      <c r="K530" s="72">
        <f t="shared" si="908"/>
        <v>0</v>
      </c>
      <c r="L530" s="72">
        <f t="shared" si="909"/>
        <v>7</v>
      </c>
      <c r="M530" s="76">
        <f t="shared" si="913"/>
        <v>7</v>
      </c>
      <c r="N530" s="76">
        <f t="shared" si="913"/>
        <v>0</v>
      </c>
      <c r="O530" s="76">
        <f t="shared" si="913"/>
        <v>0</v>
      </c>
      <c r="P530" s="76">
        <f t="shared" si="913"/>
        <v>0</v>
      </c>
      <c r="Q530" s="76">
        <f t="shared" si="913"/>
        <v>0</v>
      </c>
      <c r="R530" s="76">
        <f t="shared" si="913"/>
        <v>0</v>
      </c>
      <c r="S530" s="76">
        <f t="shared" si="913"/>
        <v>0</v>
      </c>
    </row>
    <row r="531" spans="1:19" ht="15.75" customHeight="1">
      <c r="A531" s="41"/>
      <c r="B531" s="40" t="s">
        <v>201</v>
      </c>
      <c r="C531" s="19">
        <v>70</v>
      </c>
      <c r="D531" s="75"/>
      <c r="E531" s="75"/>
      <c r="F531" s="75"/>
      <c r="G531" s="75"/>
      <c r="H531" s="75"/>
      <c r="I531" s="329">
        <v>7</v>
      </c>
      <c r="J531" s="75">
        <v>7</v>
      </c>
      <c r="K531" s="72">
        <f t="shared" si="908"/>
        <v>0</v>
      </c>
      <c r="L531" s="72">
        <f t="shared" si="909"/>
        <v>7</v>
      </c>
      <c r="M531" s="75">
        <v>7</v>
      </c>
      <c r="N531" s="75"/>
      <c r="O531" s="75"/>
      <c r="P531" s="75"/>
      <c r="Q531" s="73">
        <v>0</v>
      </c>
      <c r="R531" s="73">
        <v>0</v>
      </c>
      <c r="S531" s="73">
        <v>0</v>
      </c>
    </row>
    <row r="532" spans="1:19" ht="27.75" customHeight="1">
      <c r="A532" s="41" t="s">
        <v>283</v>
      </c>
      <c r="B532" s="57" t="s">
        <v>499</v>
      </c>
      <c r="C532" s="92" t="s">
        <v>282</v>
      </c>
      <c r="D532" s="81">
        <f t="shared" ref="D532:S532" si="914">D533+D540</f>
        <v>467</v>
      </c>
      <c r="E532" s="81">
        <f t="shared" si="914"/>
        <v>485</v>
      </c>
      <c r="F532" s="81">
        <f t="shared" si="914"/>
        <v>467</v>
      </c>
      <c r="G532" s="81">
        <f t="shared" si="914"/>
        <v>472</v>
      </c>
      <c r="H532" s="81">
        <f t="shared" si="914"/>
        <v>437</v>
      </c>
      <c r="I532" s="339">
        <f t="shared" si="914"/>
        <v>497</v>
      </c>
      <c r="J532" s="81">
        <f t="shared" si="914"/>
        <v>477</v>
      </c>
      <c r="K532" s="72">
        <f t="shared" si="908"/>
        <v>0</v>
      </c>
      <c r="L532" s="72">
        <f t="shared" si="909"/>
        <v>477</v>
      </c>
      <c r="M532" s="81">
        <f t="shared" ref="M532" si="915">M533+M540</f>
        <v>190</v>
      </c>
      <c r="N532" s="81">
        <f t="shared" ref="N532" si="916">N533+N540</f>
        <v>136</v>
      </c>
      <c r="O532" s="81">
        <f t="shared" ref="O532:P532" si="917">O533+O540</f>
        <v>101</v>
      </c>
      <c r="P532" s="81">
        <f t="shared" si="917"/>
        <v>50</v>
      </c>
      <c r="Q532" s="81">
        <f t="shared" si="914"/>
        <v>490</v>
      </c>
      <c r="R532" s="81">
        <f t="shared" si="914"/>
        <v>490</v>
      </c>
      <c r="S532" s="81">
        <f t="shared" si="914"/>
        <v>490</v>
      </c>
    </row>
    <row r="533" spans="1:19" ht="15" customHeight="1">
      <c r="A533" s="41"/>
      <c r="B533" s="31" t="s">
        <v>160</v>
      </c>
      <c r="C533" s="19"/>
      <c r="D533" s="76">
        <f t="shared" ref="D533:S533" si="918">D534</f>
        <v>467</v>
      </c>
      <c r="E533" s="76">
        <f t="shared" si="918"/>
        <v>485</v>
      </c>
      <c r="F533" s="76">
        <f t="shared" si="918"/>
        <v>467</v>
      </c>
      <c r="G533" s="76">
        <f t="shared" si="918"/>
        <v>472</v>
      </c>
      <c r="H533" s="76">
        <f t="shared" si="918"/>
        <v>437</v>
      </c>
      <c r="I533" s="330">
        <f t="shared" si="918"/>
        <v>497</v>
      </c>
      <c r="J533" s="76">
        <f t="shared" si="918"/>
        <v>477</v>
      </c>
      <c r="K533" s="72">
        <f t="shared" si="908"/>
        <v>0</v>
      </c>
      <c r="L533" s="72">
        <f t="shared" si="909"/>
        <v>477</v>
      </c>
      <c r="M533" s="76">
        <f t="shared" si="918"/>
        <v>190</v>
      </c>
      <c r="N533" s="76">
        <f t="shared" si="918"/>
        <v>136</v>
      </c>
      <c r="O533" s="76">
        <f t="shared" si="918"/>
        <v>101</v>
      </c>
      <c r="P533" s="76">
        <f t="shared" si="918"/>
        <v>50</v>
      </c>
      <c r="Q533" s="76">
        <f t="shared" si="918"/>
        <v>490</v>
      </c>
      <c r="R533" s="76">
        <f t="shared" si="918"/>
        <v>490</v>
      </c>
      <c r="S533" s="76">
        <f t="shared" si="918"/>
        <v>490</v>
      </c>
    </row>
    <row r="534" spans="1:19" ht="15" customHeight="1">
      <c r="A534" s="41"/>
      <c r="B534" s="40" t="s">
        <v>161</v>
      </c>
      <c r="C534" s="19">
        <v>1</v>
      </c>
      <c r="D534" s="76">
        <f t="shared" ref="D534:S534" si="919">D535+D537+D538+D539</f>
        <v>467</v>
      </c>
      <c r="E534" s="76">
        <f t="shared" si="919"/>
        <v>485</v>
      </c>
      <c r="F534" s="76">
        <f t="shared" si="919"/>
        <v>467</v>
      </c>
      <c r="G534" s="76">
        <f t="shared" si="919"/>
        <v>472</v>
      </c>
      <c r="H534" s="76">
        <f t="shared" si="919"/>
        <v>437</v>
      </c>
      <c r="I534" s="330">
        <f t="shared" si="919"/>
        <v>497</v>
      </c>
      <c r="J534" s="76">
        <f t="shared" si="919"/>
        <v>477</v>
      </c>
      <c r="K534" s="72">
        <f t="shared" si="908"/>
        <v>0</v>
      </c>
      <c r="L534" s="72">
        <f t="shared" si="909"/>
        <v>477</v>
      </c>
      <c r="M534" s="76">
        <f t="shared" ref="M534" si="920">M535+M537+M538+M539</f>
        <v>190</v>
      </c>
      <c r="N534" s="76">
        <f t="shared" ref="N534" si="921">N535+N537+N538+N539</f>
        <v>136</v>
      </c>
      <c r="O534" s="76">
        <f t="shared" ref="O534:P534" si="922">O535+O537+O538+O539</f>
        <v>101</v>
      </c>
      <c r="P534" s="76">
        <f t="shared" si="922"/>
        <v>50</v>
      </c>
      <c r="Q534" s="76">
        <f t="shared" si="919"/>
        <v>490</v>
      </c>
      <c r="R534" s="76">
        <f t="shared" si="919"/>
        <v>490</v>
      </c>
      <c r="S534" s="76">
        <f t="shared" si="919"/>
        <v>490</v>
      </c>
    </row>
    <row r="535" spans="1:19" ht="17.25" customHeight="1">
      <c r="A535" s="41"/>
      <c r="B535" s="40" t="s">
        <v>814</v>
      </c>
      <c r="C535" s="19">
        <v>10</v>
      </c>
      <c r="D535" s="75">
        <v>40</v>
      </c>
      <c r="E535" s="75">
        <v>39</v>
      </c>
      <c r="F535" s="75">
        <v>40</v>
      </c>
      <c r="G535" s="75">
        <v>45</v>
      </c>
      <c r="H535" s="75">
        <v>45</v>
      </c>
      <c r="I535" s="329">
        <v>60</v>
      </c>
      <c r="J535" s="75">
        <v>60</v>
      </c>
      <c r="K535" s="72">
        <f t="shared" si="908"/>
        <v>0</v>
      </c>
      <c r="L535" s="72">
        <f t="shared" si="909"/>
        <v>60</v>
      </c>
      <c r="M535" s="75">
        <v>15</v>
      </c>
      <c r="N535" s="75">
        <v>15</v>
      </c>
      <c r="O535" s="75">
        <v>15</v>
      </c>
      <c r="P535" s="75">
        <v>15</v>
      </c>
      <c r="Q535" s="73">
        <v>60</v>
      </c>
      <c r="R535" s="73">
        <v>60</v>
      </c>
      <c r="S535" s="73">
        <v>60</v>
      </c>
    </row>
    <row r="536" spans="1:19" ht="0.75" customHeight="1">
      <c r="A536" s="41"/>
      <c r="B536" s="40" t="s">
        <v>489</v>
      </c>
      <c r="C536" s="19"/>
      <c r="D536" s="75"/>
      <c r="E536" s="75"/>
      <c r="F536" s="75"/>
      <c r="G536" s="75"/>
      <c r="H536" s="75"/>
      <c r="I536" s="329"/>
      <c r="J536" s="75"/>
      <c r="K536" s="72">
        <f t="shared" si="908"/>
        <v>0</v>
      </c>
      <c r="L536" s="72">
        <f t="shared" si="909"/>
        <v>0</v>
      </c>
      <c r="M536" s="75"/>
      <c r="N536" s="75"/>
      <c r="O536" s="75"/>
      <c r="P536" s="75"/>
      <c r="Q536" s="73"/>
      <c r="R536" s="73"/>
      <c r="S536" s="73"/>
    </row>
    <row r="537" spans="1:19" ht="15" customHeight="1">
      <c r="A537" s="41"/>
      <c r="B537" s="40" t="s">
        <v>886</v>
      </c>
      <c r="C537" s="19">
        <v>20</v>
      </c>
      <c r="D537" s="75">
        <v>350</v>
      </c>
      <c r="E537" s="75">
        <v>370</v>
      </c>
      <c r="F537" s="75">
        <v>350</v>
      </c>
      <c r="G537" s="75">
        <v>350</v>
      </c>
      <c r="H537" s="75">
        <v>317</v>
      </c>
      <c r="I537" s="329">
        <v>360</v>
      </c>
      <c r="J537" s="75">
        <f>340-101</f>
        <v>239</v>
      </c>
      <c r="K537" s="72">
        <f t="shared" si="908"/>
        <v>0</v>
      </c>
      <c r="L537" s="72">
        <f t="shared" si="909"/>
        <v>239</v>
      </c>
      <c r="M537" s="75">
        <f>125-33</f>
        <v>92</v>
      </c>
      <c r="N537" s="75">
        <f>100-33</f>
        <v>67</v>
      </c>
      <c r="O537" s="75">
        <f>80-35</f>
        <v>45</v>
      </c>
      <c r="P537" s="75">
        <v>35</v>
      </c>
      <c r="Q537" s="73">
        <v>350</v>
      </c>
      <c r="R537" s="73">
        <v>350</v>
      </c>
      <c r="S537" s="73">
        <v>350</v>
      </c>
    </row>
    <row r="538" spans="1:19" ht="14.25" customHeight="1">
      <c r="A538" s="41"/>
      <c r="B538" s="40" t="s">
        <v>266</v>
      </c>
      <c r="C538" s="19" t="s">
        <v>539</v>
      </c>
      <c r="D538" s="75">
        <v>77</v>
      </c>
      <c r="E538" s="75">
        <v>76</v>
      </c>
      <c r="F538" s="75">
        <v>77</v>
      </c>
      <c r="G538" s="75">
        <v>77</v>
      </c>
      <c r="H538" s="75">
        <v>75</v>
      </c>
      <c r="I538" s="329">
        <v>77</v>
      </c>
      <c r="J538" s="75">
        <f>77+101</f>
        <v>178</v>
      </c>
      <c r="K538" s="72">
        <f t="shared" si="908"/>
        <v>0</v>
      </c>
      <c r="L538" s="72">
        <f t="shared" si="909"/>
        <v>178</v>
      </c>
      <c r="M538" s="75">
        <f>50+33</f>
        <v>83</v>
      </c>
      <c r="N538" s="75">
        <f>21+33</f>
        <v>54</v>
      </c>
      <c r="O538" s="75">
        <f>6+35</f>
        <v>41</v>
      </c>
      <c r="P538" s="75"/>
      <c r="Q538" s="73">
        <v>80</v>
      </c>
      <c r="R538" s="73">
        <v>80</v>
      </c>
      <c r="S538" s="73">
        <v>80</v>
      </c>
    </row>
    <row r="539" spans="1:19" ht="0.75" customHeight="1">
      <c r="A539" s="41"/>
      <c r="B539" s="40" t="s">
        <v>171</v>
      </c>
      <c r="C539" s="19">
        <v>85.01</v>
      </c>
      <c r="D539" s="75"/>
      <c r="E539" s="75"/>
      <c r="F539" s="75"/>
      <c r="G539" s="75"/>
      <c r="H539" s="75"/>
      <c r="I539" s="329"/>
      <c r="J539" s="75"/>
      <c r="K539" s="72">
        <f t="shared" si="908"/>
        <v>0</v>
      </c>
      <c r="L539" s="72">
        <f t="shared" si="909"/>
        <v>0</v>
      </c>
      <c r="M539" s="75"/>
      <c r="N539" s="75"/>
      <c r="O539" s="75"/>
      <c r="P539" s="75"/>
      <c r="Q539" s="73"/>
      <c r="R539" s="73"/>
      <c r="S539" s="73"/>
    </row>
    <row r="540" spans="1:19" ht="16.5" hidden="1" customHeight="1">
      <c r="A540" s="41"/>
      <c r="B540" s="33" t="s">
        <v>172</v>
      </c>
      <c r="C540" s="19"/>
      <c r="D540" s="76">
        <f t="shared" ref="D540:S540" si="923">D541</f>
        <v>0</v>
      </c>
      <c r="E540" s="76">
        <f t="shared" si="923"/>
        <v>0</v>
      </c>
      <c r="F540" s="76">
        <f t="shared" si="923"/>
        <v>0</v>
      </c>
      <c r="G540" s="76">
        <f t="shared" si="923"/>
        <v>0</v>
      </c>
      <c r="H540" s="76">
        <f t="shared" si="923"/>
        <v>0</v>
      </c>
      <c r="I540" s="330">
        <f t="shared" si="923"/>
        <v>0</v>
      </c>
      <c r="J540" s="76">
        <f t="shared" si="923"/>
        <v>0</v>
      </c>
      <c r="K540" s="72">
        <f t="shared" si="908"/>
        <v>0</v>
      </c>
      <c r="L540" s="72">
        <f t="shared" si="909"/>
        <v>0</v>
      </c>
      <c r="M540" s="76">
        <f t="shared" si="923"/>
        <v>0</v>
      </c>
      <c r="N540" s="76">
        <f t="shared" si="923"/>
        <v>0</v>
      </c>
      <c r="O540" s="76">
        <f t="shared" si="923"/>
        <v>0</v>
      </c>
      <c r="P540" s="76">
        <f t="shared" si="923"/>
        <v>0</v>
      </c>
      <c r="Q540" s="76">
        <f t="shared" si="923"/>
        <v>0</v>
      </c>
      <c r="R540" s="76">
        <f t="shared" si="923"/>
        <v>0</v>
      </c>
      <c r="S540" s="76">
        <f t="shared" si="923"/>
        <v>0</v>
      </c>
    </row>
    <row r="541" spans="1:19" ht="18.75" hidden="1" customHeight="1">
      <c r="A541" s="41"/>
      <c r="B541" s="40" t="s">
        <v>201</v>
      </c>
      <c r="C541" s="19">
        <v>70</v>
      </c>
      <c r="D541" s="75"/>
      <c r="E541" s="75"/>
      <c r="F541" s="75"/>
      <c r="G541" s="75"/>
      <c r="H541" s="75"/>
      <c r="I541" s="329"/>
      <c r="J541" s="75"/>
      <c r="K541" s="72">
        <f t="shared" si="908"/>
        <v>0</v>
      </c>
      <c r="L541" s="72">
        <f t="shared" si="909"/>
        <v>0</v>
      </c>
      <c r="M541" s="75"/>
      <c r="N541" s="75"/>
      <c r="O541" s="75"/>
      <c r="P541" s="75"/>
      <c r="Q541" s="73"/>
      <c r="R541" s="73"/>
      <c r="S541" s="73"/>
    </row>
    <row r="542" spans="1:19" ht="28.5">
      <c r="A542" s="41" t="s">
        <v>284</v>
      </c>
      <c r="B542" s="57" t="s">
        <v>486</v>
      </c>
      <c r="C542" s="19" t="s">
        <v>285</v>
      </c>
      <c r="D542" s="81">
        <f t="shared" ref="D542:S543" si="924">D543</f>
        <v>10744</v>
      </c>
      <c r="E542" s="81">
        <f t="shared" si="924"/>
        <v>7872</v>
      </c>
      <c r="F542" s="81">
        <f t="shared" si="924"/>
        <v>9996</v>
      </c>
      <c r="G542" s="81">
        <f t="shared" si="924"/>
        <v>17692</v>
      </c>
      <c r="H542" s="81">
        <f t="shared" si="924"/>
        <v>9996</v>
      </c>
      <c r="I542" s="339">
        <f t="shared" si="924"/>
        <v>11957</v>
      </c>
      <c r="J542" s="81">
        <f t="shared" si="924"/>
        <v>11957</v>
      </c>
      <c r="K542" s="72">
        <f t="shared" si="908"/>
        <v>0</v>
      </c>
      <c r="L542" s="72">
        <f t="shared" si="909"/>
        <v>11957</v>
      </c>
      <c r="M542" s="81">
        <f t="shared" si="924"/>
        <v>5000</v>
      </c>
      <c r="N542" s="81">
        <f t="shared" si="924"/>
        <v>2000</v>
      </c>
      <c r="O542" s="81">
        <f t="shared" si="924"/>
        <v>2600</v>
      </c>
      <c r="P542" s="81">
        <f t="shared" si="924"/>
        <v>2357</v>
      </c>
      <c r="Q542" s="81">
        <f t="shared" si="924"/>
        <v>11957</v>
      </c>
      <c r="R542" s="81">
        <f t="shared" si="924"/>
        <v>11957</v>
      </c>
      <c r="S542" s="81">
        <f t="shared" si="924"/>
        <v>11957</v>
      </c>
    </row>
    <row r="543" spans="1:19" ht="14.25">
      <c r="A543" s="41"/>
      <c r="B543" s="31" t="s">
        <v>160</v>
      </c>
      <c r="C543" s="19"/>
      <c r="D543" s="81">
        <f t="shared" si="924"/>
        <v>10744</v>
      </c>
      <c r="E543" s="81">
        <f t="shared" si="924"/>
        <v>7872</v>
      </c>
      <c r="F543" s="81">
        <f t="shared" si="924"/>
        <v>9996</v>
      </c>
      <c r="G543" s="81">
        <f t="shared" si="924"/>
        <v>17692</v>
      </c>
      <c r="H543" s="81">
        <f t="shared" si="924"/>
        <v>9996</v>
      </c>
      <c r="I543" s="339">
        <f t="shared" si="924"/>
        <v>11957</v>
      </c>
      <c r="J543" s="81">
        <f t="shared" si="924"/>
        <v>11957</v>
      </c>
      <c r="K543" s="72">
        <f t="shared" si="908"/>
        <v>0</v>
      </c>
      <c r="L543" s="72">
        <f t="shared" si="909"/>
        <v>11957</v>
      </c>
      <c r="M543" s="81">
        <f t="shared" si="924"/>
        <v>5000</v>
      </c>
      <c r="N543" s="81">
        <f t="shared" si="924"/>
        <v>2000</v>
      </c>
      <c r="O543" s="81">
        <f t="shared" si="924"/>
        <v>2600</v>
      </c>
      <c r="P543" s="81">
        <f t="shared" si="924"/>
        <v>2357</v>
      </c>
      <c r="Q543" s="81">
        <f t="shared" si="924"/>
        <v>11957</v>
      </c>
      <c r="R543" s="81">
        <f t="shared" si="924"/>
        <v>11957</v>
      </c>
      <c r="S543" s="81">
        <f t="shared" si="924"/>
        <v>11957</v>
      </c>
    </row>
    <row r="544" spans="1:19" ht="14.25" customHeight="1">
      <c r="A544" s="41"/>
      <c r="B544" s="40" t="s">
        <v>161</v>
      </c>
      <c r="C544" s="19">
        <v>1</v>
      </c>
      <c r="D544" s="76">
        <f t="shared" ref="D544:S544" si="925">D546+D545+D547</f>
        <v>10744</v>
      </c>
      <c r="E544" s="76">
        <f t="shared" si="925"/>
        <v>7872</v>
      </c>
      <c r="F544" s="76">
        <f t="shared" si="925"/>
        <v>9996</v>
      </c>
      <c r="G544" s="76">
        <f t="shared" si="925"/>
        <v>17692</v>
      </c>
      <c r="H544" s="76">
        <f t="shared" si="925"/>
        <v>9996</v>
      </c>
      <c r="I544" s="330">
        <f t="shared" si="925"/>
        <v>11957</v>
      </c>
      <c r="J544" s="76">
        <f t="shared" si="925"/>
        <v>11957</v>
      </c>
      <c r="K544" s="72">
        <f t="shared" si="908"/>
        <v>0</v>
      </c>
      <c r="L544" s="72">
        <f t="shared" si="909"/>
        <v>11957</v>
      </c>
      <c r="M544" s="76">
        <f t="shared" ref="M544" si="926">M546+M545+M547</f>
        <v>5000</v>
      </c>
      <c r="N544" s="76">
        <f t="shared" ref="N544" si="927">N546+N545+N547</f>
        <v>2000</v>
      </c>
      <c r="O544" s="76">
        <f t="shared" ref="O544:P544" si="928">O546+O545+O547</f>
        <v>2600</v>
      </c>
      <c r="P544" s="76">
        <f t="shared" si="928"/>
        <v>2357</v>
      </c>
      <c r="Q544" s="76">
        <f t="shared" si="925"/>
        <v>11957</v>
      </c>
      <c r="R544" s="76">
        <f t="shared" si="925"/>
        <v>11957</v>
      </c>
      <c r="S544" s="76">
        <f t="shared" si="925"/>
        <v>11957</v>
      </c>
    </row>
    <row r="545" spans="1:19" ht="0.75" customHeight="1">
      <c r="A545" s="41"/>
      <c r="B545" s="58" t="s">
        <v>286</v>
      </c>
      <c r="C545" s="19" t="s">
        <v>287</v>
      </c>
      <c r="D545" s="75"/>
      <c r="E545" s="75"/>
      <c r="F545" s="75"/>
      <c r="G545" s="75"/>
      <c r="H545" s="75"/>
      <c r="I545" s="329"/>
      <c r="J545" s="75"/>
      <c r="K545" s="72">
        <f t="shared" si="908"/>
        <v>0</v>
      </c>
      <c r="L545" s="72">
        <f t="shared" si="909"/>
        <v>0</v>
      </c>
      <c r="M545" s="75"/>
      <c r="N545" s="75"/>
      <c r="O545" s="75"/>
      <c r="P545" s="75"/>
      <c r="Q545" s="73"/>
      <c r="R545" s="73"/>
      <c r="S545" s="73"/>
    </row>
    <row r="546" spans="1:19" ht="18.75" customHeight="1">
      <c r="A546" s="28"/>
      <c r="B546" s="28" t="s">
        <v>288</v>
      </c>
      <c r="C546" s="19" t="s">
        <v>289</v>
      </c>
      <c r="D546" s="75">
        <v>10744</v>
      </c>
      <c r="E546" s="75">
        <v>7872</v>
      </c>
      <c r="F546" s="75">
        <v>9996</v>
      </c>
      <c r="G546" s="75">
        <v>17692</v>
      </c>
      <c r="H546" s="75">
        <v>9996</v>
      </c>
      <c r="I546" s="329">
        <v>11957</v>
      </c>
      <c r="J546" s="75">
        <v>11957</v>
      </c>
      <c r="K546" s="72">
        <f t="shared" si="908"/>
        <v>0</v>
      </c>
      <c r="L546" s="72">
        <f t="shared" si="909"/>
        <v>11957</v>
      </c>
      <c r="M546" s="75">
        <v>5000</v>
      </c>
      <c r="N546" s="75">
        <v>2000</v>
      </c>
      <c r="O546" s="75">
        <v>2600</v>
      </c>
      <c r="P546" s="75">
        <v>2357</v>
      </c>
      <c r="Q546" s="75">
        <v>11957</v>
      </c>
      <c r="R546" s="75">
        <v>11957</v>
      </c>
      <c r="S546" s="75">
        <v>11957</v>
      </c>
    </row>
    <row r="547" spans="1:19" ht="0.75" customHeight="1">
      <c r="A547" s="28"/>
      <c r="B547" s="40" t="s">
        <v>535</v>
      </c>
      <c r="C547" s="19"/>
      <c r="D547" s="75"/>
      <c r="E547" s="75"/>
      <c r="F547" s="75"/>
      <c r="G547" s="75"/>
      <c r="H547" s="75"/>
      <c r="I547" s="329"/>
      <c r="J547" s="75"/>
      <c r="K547" s="72">
        <f t="shared" si="908"/>
        <v>0</v>
      </c>
      <c r="L547" s="72">
        <f t="shared" si="909"/>
        <v>0</v>
      </c>
      <c r="M547" s="75"/>
      <c r="N547" s="75"/>
      <c r="O547" s="75"/>
      <c r="P547" s="75"/>
      <c r="Q547" s="75"/>
      <c r="R547" s="75"/>
      <c r="S547" s="75"/>
    </row>
    <row r="548" spans="1:19" ht="27" customHeight="1">
      <c r="A548" s="41" t="s">
        <v>290</v>
      </c>
      <c r="B548" s="57" t="s">
        <v>291</v>
      </c>
      <c r="C548" s="19" t="s">
        <v>292</v>
      </c>
      <c r="D548" s="81">
        <f t="shared" ref="D548:S548" si="929">D549+D556</f>
        <v>275</v>
      </c>
      <c r="E548" s="81">
        <f t="shared" si="929"/>
        <v>176</v>
      </c>
      <c r="F548" s="81">
        <f t="shared" si="929"/>
        <v>275</v>
      </c>
      <c r="G548" s="81">
        <f t="shared" si="929"/>
        <v>275</v>
      </c>
      <c r="H548" s="81">
        <f t="shared" si="929"/>
        <v>254</v>
      </c>
      <c r="I548" s="339">
        <f t="shared" si="929"/>
        <v>372</v>
      </c>
      <c r="J548" s="81">
        <f t="shared" si="929"/>
        <v>280</v>
      </c>
      <c r="K548" s="72">
        <f t="shared" si="908"/>
        <v>0</v>
      </c>
      <c r="L548" s="72">
        <f t="shared" si="909"/>
        <v>280</v>
      </c>
      <c r="M548" s="81">
        <f t="shared" ref="M548" si="930">M549+M556</f>
        <v>95</v>
      </c>
      <c r="N548" s="81">
        <f t="shared" ref="N548" si="931">N549+N556</f>
        <v>75</v>
      </c>
      <c r="O548" s="81">
        <f t="shared" ref="O548:P548" si="932">O549+O556</f>
        <v>60</v>
      </c>
      <c r="P548" s="81">
        <f t="shared" si="932"/>
        <v>50</v>
      </c>
      <c r="Q548" s="81">
        <f t="shared" si="929"/>
        <v>283</v>
      </c>
      <c r="R548" s="81">
        <f t="shared" si="929"/>
        <v>285</v>
      </c>
      <c r="S548" s="81">
        <f t="shared" si="929"/>
        <v>282</v>
      </c>
    </row>
    <row r="549" spans="1:19" ht="12" customHeight="1">
      <c r="A549" s="41"/>
      <c r="B549" s="31" t="s">
        <v>160</v>
      </c>
      <c r="C549" s="19"/>
      <c r="D549" s="81">
        <f t="shared" ref="D549:S549" si="933">D550</f>
        <v>275</v>
      </c>
      <c r="E549" s="81">
        <f>E550+E554</f>
        <v>176</v>
      </c>
      <c r="F549" s="81">
        <f t="shared" si="933"/>
        <v>275</v>
      </c>
      <c r="G549" s="81">
        <f t="shared" si="933"/>
        <v>275</v>
      </c>
      <c r="H549" s="81">
        <f t="shared" si="933"/>
        <v>254</v>
      </c>
      <c r="I549" s="339">
        <f t="shared" si="933"/>
        <v>292</v>
      </c>
      <c r="J549" s="81">
        <f t="shared" si="933"/>
        <v>270</v>
      </c>
      <c r="K549" s="72">
        <f t="shared" si="908"/>
        <v>0</v>
      </c>
      <c r="L549" s="72">
        <f t="shared" si="909"/>
        <v>270</v>
      </c>
      <c r="M549" s="81">
        <f t="shared" si="933"/>
        <v>85</v>
      </c>
      <c r="N549" s="81">
        <f t="shared" si="933"/>
        <v>75</v>
      </c>
      <c r="O549" s="81">
        <f t="shared" si="933"/>
        <v>60</v>
      </c>
      <c r="P549" s="81">
        <f t="shared" si="933"/>
        <v>50</v>
      </c>
      <c r="Q549" s="81">
        <f t="shared" si="933"/>
        <v>283</v>
      </c>
      <c r="R549" s="81">
        <f t="shared" si="933"/>
        <v>285</v>
      </c>
      <c r="S549" s="81">
        <f t="shared" si="933"/>
        <v>282</v>
      </c>
    </row>
    <row r="550" spans="1:19" ht="14.25" customHeight="1">
      <c r="A550" s="41"/>
      <c r="B550" s="40" t="s">
        <v>161</v>
      </c>
      <c r="C550" s="19"/>
      <c r="D550" s="76">
        <f t="shared" ref="D550:S550" si="934">D551+D553+D554</f>
        <v>275</v>
      </c>
      <c r="E550" s="76">
        <f>E551+E553</f>
        <v>186</v>
      </c>
      <c r="F550" s="76">
        <f t="shared" ref="F550:J550" si="935">F551+F553+F554</f>
        <v>275</v>
      </c>
      <c r="G550" s="76">
        <f t="shared" si="935"/>
        <v>275</v>
      </c>
      <c r="H550" s="76">
        <f t="shared" si="935"/>
        <v>254</v>
      </c>
      <c r="I550" s="330">
        <f t="shared" si="935"/>
        <v>292</v>
      </c>
      <c r="J550" s="76">
        <f t="shared" si="935"/>
        <v>270</v>
      </c>
      <c r="K550" s="72">
        <f t="shared" si="908"/>
        <v>0</v>
      </c>
      <c r="L550" s="72">
        <f t="shared" si="909"/>
        <v>270</v>
      </c>
      <c r="M550" s="76">
        <f t="shared" ref="M550" si="936">M551+M553+M554</f>
        <v>85</v>
      </c>
      <c r="N550" s="76">
        <f t="shared" ref="N550" si="937">N551+N553+N554</f>
        <v>75</v>
      </c>
      <c r="O550" s="76">
        <f t="shared" ref="O550:P550" si="938">O551+O553+O554</f>
        <v>60</v>
      </c>
      <c r="P550" s="76">
        <f t="shared" si="938"/>
        <v>50</v>
      </c>
      <c r="Q550" s="76">
        <f t="shared" si="934"/>
        <v>283</v>
      </c>
      <c r="R550" s="76">
        <f t="shared" si="934"/>
        <v>285</v>
      </c>
      <c r="S550" s="76">
        <f t="shared" si="934"/>
        <v>282</v>
      </c>
    </row>
    <row r="551" spans="1:19" ht="14.25" customHeight="1">
      <c r="A551" s="41"/>
      <c r="B551" s="40" t="s">
        <v>814</v>
      </c>
      <c r="C551" s="19">
        <v>10</v>
      </c>
      <c r="D551" s="75">
        <f>60+50</f>
        <v>110</v>
      </c>
      <c r="E551" s="75">
        <v>60</v>
      </c>
      <c r="F551" s="75">
        <v>110</v>
      </c>
      <c r="G551" s="75">
        <v>110</v>
      </c>
      <c r="H551" s="75">
        <v>100</v>
      </c>
      <c r="I551" s="329">
        <v>120</v>
      </c>
      <c r="J551" s="75">
        <v>120</v>
      </c>
      <c r="K551" s="72">
        <f t="shared" si="908"/>
        <v>0</v>
      </c>
      <c r="L551" s="72">
        <f t="shared" si="909"/>
        <v>120</v>
      </c>
      <c r="M551" s="75">
        <v>30</v>
      </c>
      <c r="N551" s="75">
        <v>30</v>
      </c>
      <c r="O551" s="75">
        <v>30</v>
      </c>
      <c r="P551" s="75">
        <v>30</v>
      </c>
      <c r="Q551" s="73">
        <v>133</v>
      </c>
      <c r="R551" s="73">
        <v>135</v>
      </c>
      <c r="S551" s="73">
        <v>132</v>
      </c>
    </row>
    <row r="552" spans="1:19" ht="0.75" customHeight="1">
      <c r="A552" s="41"/>
      <c r="B552" s="40" t="s">
        <v>489</v>
      </c>
      <c r="C552" s="19"/>
      <c r="D552" s="75"/>
      <c r="E552" s="75"/>
      <c r="F552" s="75"/>
      <c r="G552" s="75"/>
      <c r="H552" s="75"/>
      <c r="I552" s="329"/>
      <c r="J552" s="75"/>
      <c r="K552" s="72">
        <f t="shared" si="908"/>
        <v>0</v>
      </c>
      <c r="L552" s="72">
        <f t="shared" si="909"/>
        <v>0</v>
      </c>
      <c r="M552" s="75"/>
      <c r="N552" s="75"/>
      <c r="O552" s="75"/>
      <c r="P552" s="75"/>
      <c r="Q552" s="73"/>
      <c r="R552" s="73"/>
      <c r="S552" s="73"/>
    </row>
    <row r="553" spans="1:19" ht="12.75" customHeight="1">
      <c r="A553" s="41"/>
      <c r="B553" s="40" t="s">
        <v>886</v>
      </c>
      <c r="C553" s="19">
        <v>20</v>
      </c>
      <c r="D553" s="75">
        <v>165</v>
      </c>
      <c r="E553" s="75">
        <v>126</v>
      </c>
      <c r="F553" s="75">
        <v>165</v>
      </c>
      <c r="G553" s="75">
        <v>165</v>
      </c>
      <c r="H553" s="75">
        <v>154</v>
      </c>
      <c r="I553" s="329">
        <v>172</v>
      </c>
      <c r="J553" s="75">
        <v>150</v>
      </c>
      <c r="K553" s="72">
        <f t="shared" si="908"/>
        <v>0</v>
      </c>
      <c r="L553" s="72">
        <f t="shared" si="909"/>
        <v>150</v>
      </c>
      <c r="M553" s="75">
        <v>55</v>
      </c>
      <c r="N553" s="75">
        <v>45</v>
      </c>
      <c r="O553" s="75">
        <v>30</v>
      </c>
      <c r="P553" s="75">
        <v>20</v>
      </c>
      <c r="Q553" s="73">
        <v>150</v>
      </c>
      <c r="R553" s="73">
        <v>150</v>
      </c>
      <c r="S553" s="73">
        <v>150</v>
      </c>
    </row>
    <row r="554" spans="1:19" ht="0.75" customHeight="1">
      <c r="A554" s="41"/>
      <c r="B554" s="40" t="s">
        <v>535</v>
      </c>
      <c r="C554" s="19"/>
      <c r="D554" s="75"/>
      <c r="E554" s="75">
        <v>-10</v>
      </c>
      <c r="F554" s="75"/>
      <c r="G554" s="75"/>
      <c r="H554" s="75"/>
      <c r="I554" s="329"/>
      <c r="J554" s="75"/>
      <c r="K554" s="72">
        <f t="shared" si="908"/>
        <v>0</v>
      </c>
      <c r="L554" s="72">
        <f t="shared" si="909"/>
        <v>0</v>
      </c>
      <c r="M554" s="75"/>
      <c r="N554" s="75"/>
      <c r="O554" s="75"/>
      <c r="P554" s="75"/>
      <c r="Q554" s="73"/>
      <c r="R554" s="73"/>
      <c r="S554" s="73"/>
    </row>
    <row r="555" spans="1:19" ht="16.5" hidden="1" customHeight="1">
      <c r="A555" s="41"/>
      <c r="B555" s="40"/>
      <c r="C555" s="19"/>
      <c r="D555" s="75"/>
      <c r="E555" s="75"/>
      <c r="F555" s="75"/>
      <c r="G555" s="75"/>
      <c r="H555" s="75"/>
      <c r="I555" s="329"/>
      <c r="J555" s="75"/>
      <c r="K555" s="72">
        <f t="shared" si="908"/>
        <v>0</v>
      </c>
      <c r="L555" s="72">
        <f t="shared" si="909"/>
        <v>0</v>
      </c>
      <c r="M555" s="75"/>
      <c r="N555" s="75"/>
      <c r="O555" s="75"/>
      <c r="P555" s="75"/>
      <c r="Q555" s="73"/>
      <c r="R555" s="73"/>
      <c r="S555" s="73"/>
    </row>
    <row r="556" spans="1:19" ht="16.5" customHeight="1">
      <c r="A556" s="41"/>
      <c r="B556" s="33" t="s">
        <v>172</v>
      </c>
      <c r="C556" s="19"/>
      <c r="D556" s="76">
        <f t="shared" ref="D556:S556" si="939">D557</f>
        <v>0</v>
      </c>
      <c r="E556" s="76"/>
      <c r="F556" s="76"/>
      <c r="G556" s="76"/>
      <c r="H556" s="76"/>
      <c r="I556" s="330">
        <f>I557</f>
        <v>80</v>
      </c>
      <c r="J556" s="76">
        <f t="shared" ref="J556:Q556" si="940">J557</f>
        <v>10</v>
      </c>
      <c r="K556" s="72">
        <f t="shared" si="908"/>
        <v>0</v>
      </c>
      <c r="L556" s="72">
        <f t="shared" si="909"/>
        <v>10</v>
      </c>
      <c r="M556" s="76">
        <f t="shared" si="940"/>
        <v>10</v>
      </c>
      <c r="N556" s="76">
        <f t="shared" si="940"/>
        <v>0</v>
      </c>
      <c r="O556" s="76">
        <f t="shared" si="940"/>
        <v>0</v>
      </c>
      <c r="P556" s="76">
        <f t="shared" si="940"/>
        <v>0</v>
      </c>
      <c r="Q556" s="76">
        <f t="shared" si="940"/>
        <v>0</v>
      </c>
      <c r="R556" s="76">
        <f t="shared" si="939"/>
        <v>0</v>
      </c>
      <c r="S556" s="76">
        <f t="shared" si="939"/>
        <v>0</v>
      </c>
    </row>
    <row r="557" spans="1:19" ht="19.5" customHeight="1">
      <c r="A557" s="41"/>
      <c r="B557" s="40" t="s">
        <v>201</v>
      </c>
      <c r="C557" s="19">
        <v>70</v>
      </c>
      <c r="D557" s="75"/>
      <c r="E557" s="75"/>
      <c r="F557" s="75"/>
      <c r="G557" s="75"/>
      <c r="H557" s="75"/>
      <c r="I557" s="329">
        <v>80</v>
      </c>
      <c r="J557" s="75">
        <v>10</v>
      </c>
      <c r="K557" s="72">
        <f t="shared" si="908"/>
        <v>0</v>
      </c>
      <c r="L557" s="72">
        <f t="shared" si="909"/>
        <v>10</v>
      </c>
      <c r="M557" s="75">
        <v>10</v>
      </c>
      <c r="N557" s="75"/>
      <c r="O557" s="75"/>
      <c r="P557" s="75"/>
      <c r="Q557" s="73"/>
      <c r="R557" s="73"/>
      <c r="S557" s="73"/>
    </row>
    <row r="558" spans="1:19" ht="14.25">
      <c r="A558" s="48">
        <v>2</v>
      </c>
      <c r="B558" s="464" t="s">
        <v>897</v>
      </c>
      <c r="C558" s="461">
        <v>66.02</v>
      </c>
      <c r="D558" s="462">
        <f t="shared" ref="D558" si="941">D559+D567</f>
        <v>57460</v>
      </c>
      <c r="E558" s="462">
        <f>E559+E567+E601</f>
        <v>20873</v>
      </c>
      <c r="F558" s="462">
        <f t="shared" ref="F558:S558" si="942">F559+F567+F601</f>
        <v>64744</v>
      </c>
      <c r="G558" s="462">
        <f t="shared" si="942"/>
        <v>67329</v>
      </c>
      <c r="H558" s="462">
        <f t="shared" si="942"/>
        <v>64816</v>
      </c>
      <c r="I558" s="463">
        <f t="shared" si="942"/>
        <v>6419</v>
      </c>
      <c r="J558" s="462">
        <f t="shared" si="942"/>
        <v>45728</v>
      </c>
      <c r="K558" s="462">
        <f t="shared" si="908"/>
        <v>0</v>
      </c>
      <c r="L558" s="462">
        <f t="shared" si="909"/>
        <v>45728</v>
      </c>
      <c r="M558" s="462">
        <f t="shared" ref="M558" si="943">M559+M567+M601</f>
        <v>33869</v>
      </c>
      <c r="N558" s="462">
        <f t="shared" ref="N558" si="944">N559+N567+N601</f>
        <v>3655</v>
      </c>
      <c r="O558" s="462">
        <f t="shared" ref="O558:P558" si="945">O559+O567+O601</f>
        <v>3655</v>
      </c>
      <c r="P558" s="462">
        <f t="shared" si="945"/>
        <v>4549</v>
      </c>
      <c r="Q558" s="462">
        <f t="shared" si="942"/>
        <v>10504</v>
      </c>
      <c r="R558" s="462">
        <f t="shared" si="942"/>
        <v>10504</v>
      </c>
      <c r="S558" s="462">
        <f t="shared" si="942"/>
        <v>10504</v>
      </c>
    </row>
    <row r="559" spans="1:19" ht="14.25">
      <c r="A559" s="41" t="s">
        <v>293</v>
      </c>
      <c r="B559" s="33" t="s">
        <v>294</v>
      </c>
      <c r="C559" s="19" t="s">
        <v>295</v>
      </c>
      <c r="D559" s="81">
        <f t="shared" ref="D559:S559" si="946">D560+D564</f>
        <v>51699</v>
      </c>
      <c r="E559" s="81">
        <f t="shared" si="946"/>
        <v>15896</v>
      </c>
      <c r="F559" s="81">
        <f t="shared" si="946"/>
        <v>53447</v>
      </c>
      <c r="G559" s="81">
        <f t="shared" si="946"/>
        <v>55555</v>
      </c>
      <c r="H559" s="81">
        <f t="shared" si="946"/>
        <v>53447</v>
      </c>
      <c r="I559" s="339">
        <f t="shared" si="946"/>
        <v>0</v>
      </c>
      <c r="J559" s="81">
        <f t="shared" si="946"/>
        <v>39209</v>
      </c>
      <c r="K559" s="72">
        <f t="shared" si="908"/>
        <v>0</v>
      </c>
      <c r="L559" s="72">
        <f t="shared" si="909"/>
        <v>39209</v>
      </c>
      <c r="M559" s="81">
        <f t="shared" ref="M559" si="947">M560+M564</f>
        <v>32209</v>
      </c>
      <c r="N559" s="81">
        <f t="shared" ref="N559" si="948">N560+N564</f>
        <v>2000</v>
      </c>
      <c r="O559" s="81">
        <f t="shared" ref="O559:P559" si="949">O560+O564</f>
        <v>2000</v>
      </c>
      <c r="P559" s="81">
        <f t="shared" si="949"/>
        <v>3000</v>
      </c>
      <c r="Q559" s="81">
        <f t="shared" si="946"/>
        <v>4000</v>
      </c>
      <c r="R559" s="81">
        <f t="shared" si="946"/>
        <v>4000</v>
      </c>
      <c r="S559" s="81">
        <f t="shared" si="946"/>
        <v>4000</v>
      </c>
    </row>
    <row r="560" spans="1:19" ht="14.25">
      <c r="A560" s="41"/>
      <c r="B560" s="31" t="s">
        <v>160</v>
      </c>
      <c r="C560" s="19"/>
      <c r="D560" s="81">
        <f t="shared" ref="D560:S562" si="950">D561</f>
        <v>10260</v>
      </c>
      <c r="E560" s="81">
        <f t="shared" si="950"/>
        <v>5282</v>
      </c>
      <c r="F560" s="81">
        <f t="shared" si="950"/>
        <v>11248</v>
      </c>
      <c r="G560" s="81">
        <f t="shared" si="950"/>
        <v>12940</v>
      </c>
      <c r="H560" s="81">
        <f t="shared" si="950"/>
        <v>11248</v>
      </c>
      <c r="I560" s="339">
        <f t="shared" si="950"/>
        <v>0</v>
      </c>
      <c r="J560" s="81">
        <f t="shared" si="950"/>
        <v>10000</v>
      </c>
      <c r="K560" s="72">
        <f t="shared" si="908"/>
        <v>0</v>
      </c>
      <c r="L560" s="72">
        <f t="shared" si="909"/>
        <v>10000</v>
      </c>
      <c r="M560" s="81">
        <f t="shared" si="950"/>
        <v>3000</v>
      </c>
      <c r="N560" s="81">
        <f t="shared" si="950"/>
        <v>2000</v>
      </c>
      <c r="O560" s="81">
        <f t="shared" si="950"/>
        <v>2000</v>
      </c>
      <c r="P560" s="81">
        <f t="shared" si="950"/>
        <v>3000</v>
      </c>
      <c r="Q560" s="81">
        <f t="shared" si="950"/>
        <v>4000</v>
      </c>
      <c r="R560" s="81">
        <f t="shared" si="950"/>
        <v>4000</v>
      </c>
      <c r="S560" s="81">
        <f t="shared" si="950"/>
        <v>4000</v>
      </c>
    </row>
    <row r="561" spans="1:19" ht="15">
      <c r="A561" s="41"/>
      <c r="B561" s="40" t="s">
        <v>161</v>
      </c>
      <c r="C561" s="19">
        <v>1</v>
      </c>
      <c r="D561" s="76">
        <f t="shared" si="950"/>
        <v>10260</v>
      </c>
      <c r="E561" s="76">
        <f t="shared" si="950"/>
        <v>5282</v>
      </c>
      <c r="F561" s="76">
        <f t="shared" si="950"/>
        <v>11248</v>
      </c>
      <c r="G561" s="76">
        <f t="shared" si="950"/>
        <v>12940</v>
      </c>
      <c r="H561" s="76">
        <f t="shared" si="950"/>
        <v>11248</v>
      </c>
      <c r="I561" s="330">
        <f t="shared" si="950"/>
        <v>0</v>
      </c>
      <c r="J561" s="76">
        <f t="shared" si="950"/>
        <v>10000</v>
      </c>
      <c r="K561" s="72">
        <f t="shared" si="908"/>
        <v>0</v>
      </c>
      <c r="L561" s="72">
        <f t="shared" si="909"/>
        <v>10000</v>
      </c>
      <c r="M561" s="76">
        <f t="shared" si="950"/>
        <v>3000</v>
      </c>
      <c r="N561" s="76">
        <f t="shared" si="950"/>
        <v>2000</v>
      </c>
      <c r="O561" s="76">
        <f t="shared" si="950"/>
        <v>2000</v>
      </c>
      <c r="P561" s="76">
        <f t="shared" si="950"/>
        <v>3000</v>
      </c>
      <c r="Q561" s="76">
        <f t="shared" si="950"/>
        <v>4000</v>
      </c>
      <c r="R561" s="76">
        <f t="shared" si="950"/>
        <v>4000</v>
      </c>
      <c r="S561" s="76">
        <f t="shared" si="950"/>
        <v>4000</v>
      </c>
    </row>
    <row r="562" spans="1:19" ht="15">
      <c r="A562" s="41"/>
      <c r="B562" s="40" t="s">
        <v>296</v>
      </c>
      <c r="C562" s="92" t="s">
        <v>297</v>
      </c>
      <c r="D562" s="76">
        <f t="shared" si="950"/>
        <v>10260</v>
      </c>
      <c r="E562" s="76">
        <f t="shared" si="950"/>
        <v>5282</v>
      </c>
      <c r="F562" s="76">
        <f t="shared" si="950"/>
        <v>11248</v>
      </c>
      <c r="G562" s="76">
        <f t="shared" si="950"/>
        <v>12940</v>
      </c>
      <c r="H562" s="76">
        <f t="shared" si="950"/>
        <v>11248</v>
      </c>
      <c r="I562" s="330">
        <f t="shared" si="950"/>
        <v>0</v>
      </c>
      <c r="J562" s="76">
        <f t="shared" si="950"/>
        <v>10000</v>
      </c>
      <c r="K562" s="72">
        <f t="shared" si="908"/>
        <v>0</v>
      </c>
      <c r="L562" s="72">
        <f t="shared" si="909"/>
        <v>10000</v>
      </c>
      <c r="M562" s="76">
        <f t="shared" si="950"/>
        <v>3000</v>
      </c>
      <c r="N562" s="76">
        <f t="shared" si="950"/>
        <v>2000</v>
      </c>
      <c r="O562" s="76">
        <f t="shared" si="950"/>
        <v>2000</v>
      </c>
      <c r="P562" s="76">
        <f t="shared" si="950"/>
        <v>3000</v>
      </c>
      <c r="Q562" s="76">
        <f t="shared" si="950"/>
        <v>4000</v>
      </c>
      <c r="R562" s="76">
        <f t="shared" si="950"/>
        <v>4000</v>
      </c>
      <c r="S562" s="76">
        <f t="shared" si="950"/>
        <v>4000</v>
      </c>
    </row>
    <row r="563" spans="1:19" ht="15">
      <c r="A563" s="41"/>
      <c r="B563" s="40" t="s">
        <v>298</v>
      </c>
      <c r="C563" s="92" t="s">
        <v>299</v>
      </c>
      <c r="D563" s="75">
        <f>10000+260</f>
        <v>10260</v>
      </c>
      <c r="E563" s="75">
        <v>5282</v>
      </c>
      <c r="F563" s="75">
        <v>11248</v>
      </c>
      <c r="G563" s="75">
        <v>12940</v>
      </c>
      <c r="H563" s="75">
        <v>11248</v>
      </c>
      <c r="I563" s="329"/>
      <c r="J563" s="75">
        <v>10000</v>
      </c>
      <c r="K563" s="72">
        <f t="shared" si="908"/>
        <v>0</v>
      </c>
      <c r="L563" s="72">
        <f t="shared" si="909"/>
        <v>10000</v>
      </c>
      <c r="M563" s="75">
        <v>3000</v>
      </c>
      <c r="N563" s="75">
        <v>2000</v>
      </c>
      <c r="O563" s="75">
        <v>2000</v>
      </c>
      <c r="P563" s="75">
        <v>3000</v>
      </c>
      <c r="Q563" s="73">
        <v>4000</v>
      </c>
      <c r="R563" s="73">
        <v>4000</v>
      </c>
      <c r="S563" s="73">
        <v>4000</v>
      </c>
    </row>
    <row r="564" spans="1:19" ht="14.25">
      <c r="A564" s="41"/>
      <c r="B564" s="33" t="s">
        <v>172</v>
      </c>
      <c r="C564" s="19"/>
      <c r="D564" s="76">
        <f t="shared" ref="D564:S564" si="951">D565+D566</f>
        <v>41439</v>
      </c>
      <c r="E564" s="76">
        <f t="shared" si="951"/>
        <v>10614</v>
      </c>
      <c r="F564" s="76">
        <f t="shared" si="951"/>
        <v>42199</v>
      </c>
      <c r="G564" s="76">
        <f t="shared" si="951"/>
        <v>42615</v>
      </c>
      <c r="H564" s="76">
        <f t="shared" si="951"/>
        <v>42199</v>
      </c>
      <c r="I564" s="330">
        <f t="shared" si="951"/>
        <v>0</v>
      </c>
      <c r="J564" s="76">
        <f t="shared" si="951"/>
        <v>29209</v>
      </c>
      <c r="K564" s="72">
        <f t="shared" si="908"/>
        <v>0</v>
      </c>
      <c r="L564" s="72">
        <f t="shared" si="909"/>
        <v>29209</v>
      </c>
      <c r="M564" s="76">
        <f t="shared" ref="M564" si="952">M565+M566</f>
        <v>29209</v>
      </c>
      <c r="N564" s="76">
        <f t="shared" ref="N564" si="953">N565+N566</f>
        <v>0</v>
      </c>
      <c r="O564" s="76">
        <f t="shared" ref="O564:P564" si="954">O565+O566</f>
        <v>0</v>
      </c>
      <c r="P564" s="76">
        <f t="shared" si="954"/>
        <v>0</v>
      </c>
      <c r="Q564" s="76">
        <f t="shared" si="951"/>
        <v>0</v>
      </c>
      <c r="R564" s="76">
        <f t="shared" si="951"/>
        <v>0</v>
      </c>
      <c r="S564" s="76">
        <f t="shared" si="951"/>
        <v>0</v>
      </c>
    </row>
    <row r="565" spans="1:19" ht="24" customHeight="1">
      <c r="A565" s="41"/>
      <c r="B565" s="40" t="s">
        <v>261</v>
      </c>
      <c r="C565" s="19" t="s">
        <v>175</v>
      </c>
      <c r="D565" s="75">
        <v>41439</v>
      </c>
      <c r="E565" s="75">
        <v>10614</v>
      </c>
      <c r="F565" s="75">
        <v>42199</v>
      </c>
      <c r="G565" s="75">
        <v>42615</v>
      </c>
      <c r="H565" s="75">
        <v>42199</v>
      </c>
      <c r="I565" s="329"/>
      <c r="J565" s="75">
        <f>28194+15+1000</f>
        <v>29209</v>
      </c>
      <c r="K565" s="72">
        <f t="shared" si="908"/>
        <v>0</v>
      </c>
      <c r="L565" s="72">
        <f t="shared" si="909"/>
        <v>29209</v>
      </c>
      <c r="M565" s="75">
        <v>29209</v>
      </c>
      <c r="N565" s="75"/>
      <c r="O565" s="75"/>
      <c r="P565" s="75"/>
      <c r="Q565" s="73"/>
      <c r="R565" s="73"/>
      <c r="S565" s="73"/>
    </row>
    <row r="566" spans="1:19" ht="28.5" hidden="1" customHeight="1">
      <c r="A566" s="41"/>
      <c r="B566" s="40" t="s">
        <v>176</v>
      </c>
      <c r="C566" s="19" t="s">
        <v>177</v>
      </c>
      <c r="D566" s="75">
        <v>0</v>
      </c>
      <c r="E566" s="75">
        <v>0</v>
      </c>
      <c r="F566" s="75">
        <v>0</v>
      </c>
      <c r="G566" s="75">
        <v>0</v>
      </c>
      <c r="H566" s="75">
        <v>0</v>
      </c>
      <c r="I566" s="329">
        <v>0</v>
      </c>
      <c r="J566" s="75">
        <v>0</v>
      </c>
      <c r="K566" s="72">
        <f t="shared" si="908"/>
        <v>0</v>
      </c>
      <c r="L566" s="72">
        <f t="shared" si="909"/>
        <v>0</v>
      </c>
      <c r="M566" s="75">
        <v>0</v>
      </c>
      <c r="N566" s="75">
        <v>0</v>
      </c>
      <c r="O566" s="75">
        <v>0</v>
      </c>
      <c r="P566" s="75">
        <v>0</v>
      </c>
      <c r="Q566" s="73"/>
      <c r="R566" s="73"/>
      <c r="S566" s="73"/>
    </row>
    <row r="567" spans="1:19" ht="28.5" customHeight="1">
      <c r="A567" s="41" t="s">
        <v>300</v>
      </c>
      <c r="B567" s="38" t="s">
        <v>898</v>
      </c>
      <c r="C567" s="19" t="s">
        <v>301</v>
      </c>
      <c r="D567" s="81">
        <f t="shared" ref="D567:S570" si="955">D571+D577+D583+D589+D595</f>
        <v>5761</v>
      </c>
      <c r="E567" s="81">
        <f t="shared" si="955"/>
        <v>4977</v>
      </c>
      <c r="F567" s="81">
        <f t="shared" si="955"/>
        <v>5761</v>
      </c>
      <c r="G567" s="81">
        <f t="shared" si="955"/>
        <v>6238</v>
      </c>
      <c r="H567" s="81">
        <f t="shared" si="955"/>
        <v>5833</v>
      </c>
      <c r="I567" s="339">
        <f t="shared" si="955"/>
        <v>6419</v>
      </c>
      <c r="J567" s="81">
        <f t="shared" si="955"/>
        <v>6519</v>
      </c>
      <c r="K567" s="72">
        <f t="shared" si="908"/>
        <v>0</v>
      </c>
      <c r="L567" s="72">
        <f t="shared" si="909"/>
        <v>6519</v>
      </c>
      <c r="M567" s="81">
        <f t="shared" ref="M567" si="956">M571+M577+M583+M589+M595</f>
        <v>1660</v>
      </c>
      <c r="N567" s="81">
        <f t="shared" ref="N567" si="957">N571+N577+N583+N589+N595</f>
        <v>1655</v>
      </c>
      <c r="O567" s="81">
        <f t="shared" ref="O567:P567" si="958">O571+O577+O583+O589+O595</f>
        <v>1655</v>
      </c>
      <c r="P567" s="81">
        <f t="shared" si="958"/>
        <v>1549</v>
      </c>
      <c r="Q567" s="81">
        <f t="shared" si="955"/>
        <v>6504</v>
      </c>
      <c r="R567" s="81">
        <f t="shared" si="955"/>
        <v>6504</v>
      </c>
      <c r="S567" s="81">
        <f t="shared" si="955"/>
        <v>6504</v>
      </c>
    </row>
    <row r="568" spans="1:19" ht="14.25">
      <c r="A568" s="41"/>
      <c r="B568" s="31" t="s">
        <v>160</v>
      </c>
      <c r="C568" s="19"/>
      <c r="D568" s="81">
        <f t="shared" si="955"/>
        <v>5761</v>
      </c>
      <c r="E568" s="81">
        <f t="shared" si="955"/>
        <v>4977</v>
      </c>
      <c r="F568" s="81">
        <f t="shared" si="955"/>
        <v>5761</v>
      </c>
      <c r="G568" s="81">
        <f t="shared" si="955"/>
        <v>6238</v>
      </c>
      <c r="H568" s="81">
        <f t="shared" si="955"/>
        <v>5833</v>
      </c>
      <c r="I568" s="339">
        <f t="shared" si="955"/>
        <v>6419</v>
      </c>
      <c r="J568" s="81">
        <f t="shared" si="955"/>
        <v>6519</v>
      </c>
      <c r="K568" s="72">
        <f t="shared" si="908"/>
        <v>0</v>
      </c>
      <c r="L568" s="72">
        <f t="shared" si="909"/>
        <v>6519</v>
      </c>
      <c r="M568" s="81">
        <f t="shared" ref="M568" si="959">M572+M578+M584+M590+M596</f>
        <v>1660</v>
      </c>
      <c r="N568" s="81">
        <f t="shared" ref="N568" si="960">N572+N578+N584+N590+N596</f>
        <v>1655</v>
      </c>
      <c r="O568" s="81">
        <f t="shared" ref="O568:P568" si="961">O572+O578+O584+O590+O596</f>
        <v>1655</v>
      </c>
      <c r="P568" s="81">
        <f t="shared" si="961"/>
        <v>1549</v>
      </c>
      <c r="Q568" s="81">
        <f t="shared" si="955"/>
        <v>6504</v>
      </c>
      <c r="R568" s="81">
        <f t="shared" si="955"/>
        <v>6504</v>
      </c>
      <c r="S568" s="81">
        <f t="shared" si="955"/>
        <v>6504</v>
      </c>
    </row>
    <row r="569" spans="1:19" ht="15">
      <c r="A569" s="41"/>
      <c r="B569" s="40" t="s">
        <v>161</v>
      </c>
      <c r="C569" s="19"/>
      <c r="D569" s="76">
        <f t="shared" si="955"/>
        <v>5761</v>
      </c>
      <c r="E569" s="76">
        <f t="shared" si="955"/>
        <v>4977</v>
      </c>
      <c r="F569" s="76">
        <f t="shared" si="955"/>
        <v>5761</v>
      </c>
      <c r="G569" s="76">
        <f t="shared" si="955"/>
        <v>6238</v>
      </c>
      <c r="H569" s="76">
        <f t="shared" si="955"/>
        <v>5833</v>
      </c>
      <c r="I569" s="330">
        <f t="shared" si="955"/>
        <v>6419</v>
      </c>
      <c r="J569" s="76">
        <f t="shared" si="955"/>
        <v>6519</v>
      </c>
      <c r="K569" s="72">
        <f t="shared" si="908"/>
        <v>0</v>
      </c>
      <c r="L569" s="72">
        <f t="shared" si="909"/>
        <v>6519</v>
      </c>
      <c r="M569" s="76">
        <f t="shared" ref="M569" si="962">M573+M579+M585+M591+M597</f>
        <v>1660</v>
      </c>
      <c r="N569" s="76">
        <f t="shared" ref="N569" si="963">N573+N579+N585+N591+N597</f>
        <v>1655</v>
      </c>
      <c r="O569" s="76">
        <f t="shared" ref="O569:P569" si="964">O573+O579+O585+O591+O597</f>
        <v>1655</v>
      </c>
      <c r="P569" s="76">
        <f t="shared" si="964"/>
        <v>1549</v>
      </c>
      <c r="Q569" s="76">
        <f t="shared" si="955"/>
        <v>6504</v>
      </c>
      <c r="R569" s="76">
        <f t="shared" si="955"/>
        <v>6504</v>
      </c>
      <c r="S569" s="76">
        <f t="shared" si="955"/>
        <v>6504</v>
      </c>
    </row>
    <row r="570" spans="1:19" ht="15">
      <c r="A570" s="41"/>
      <c r="B570" s="40" t="s">
        <v>302</v>
      </c>
      <c r="C570" s="19" t="s">
        <v>303</v>
      </c>
      <c r="D570" s="76">
        <f t="shared" si="955"/>
        <v>5761</v>
      </c>
      <c r="E570" s="76">
        <f t="shared" si="955"/>
        <v>4977</v>
      </c>
      <c r="F570" s="76">
        <f t="shared" si="955"/>
        <v>5761</v>
      </c>
      <c r="G570" s="76">
        <f t="shared" si="955"/>
        <v>6238</v>
      </c>
      <c r="H570" s="76">
        <f t="shared" si="955"/>
        <v>5833</v>
      </c>
      <c r="I570" s="330">
        <f t="shared" si="955"/>
        <v>6419</v>
      </c>
      <c r="J570" s="76">
        <f t="shared" si="955"/>
        <v>6519</v>
      </c>
      <c r="K570" s="72">
        <f t="shared" si="908"/>
        <v>0</v>
      </c>
      <c r="L570" s="72">
        <f t="shared" si="909"/>
        <v>6519</v>
      </c>
      <c r="M570" s="76">
        <f t="shared" ref="M570" si="965">M574+M580+M586+M592+M598</f>
        <v>1660</v>
      </c>
      <c r="N570" s="76">
        <f t="shared" ref="N570" si="966">N574+N580+N586+N592+N598</f>
        <v>1655</v>
      </c>
      <c r="O570" s="76">
        <f t="shared" ref="O570:P570" si="967">O574+O580+O586+O592+O598</f>
        <v>1655</v>
      </c>
      <c r="P570" s="76">
        <f t="shared" si="967"/>
        <v>1549</v>
      </c>
      <c r="Q570" s="76">
        <f t="shared" si="955"/>
        <v>6504</v>
      </c>
      <c r="R570" s="76">
        <f t="shared" si="955"/>
        <v>6504</v>
      </c>
      <c r="S570" s="76">
        <f t="shared" si="955"/>
        <v>6504</v>
      </c>
    </row>
    <row r="571" spans="1:19" ht="28.5">
      <c r="A571" s="41" t="s">
        <v>304</v>
      </c>
      <c r="B571" s="57" t="s">
        <v>305</v>
      </c>
      <c r="C571" s="19" t="s">
        <v>301</v>
      </c>
      <c r="D571" s="81">
        <f t="shared" ref="D571:S573" si="968">D572</f>
        <v>1270</v>
      </c>
      <c r="E571" s="81">
        <f t="shared" si="968"/>
        <v>1223</v>
      </c>
      <c r="F571" s="81">
        <f t="shared" si="968"/>
        <v>1270</v>
      </c>
      <c r="G571" s="81">
        <f t="shared" si="968"/>
        <v>1596</v>
      </c>
      <c r="H571" s="81">
        <f t="shared" si="968"/>
        <v>1306</v>
      </c>
      <c r="I571" s="339">
        <f t="shared" si="968"/>
        <v>1333</v>
      </c>
      <c r="J571" s="81">
        <f t="shared" si="968"/>
        <v>1333</v>
      </c>
      <c r="K571" s="72">
        <f t="shared" si="908"/>
        <v>0</v>
      </c>
      <c r="L571" s="72">
        <f t="shared" si="909"/>
        <v>1333</v>
      </c>
      <c r="M571" s="81">
        <f t="shared" si="968"/>
        <v>341</v>
      </c>
      <c r="N571" s="81">
        <f t="shared" si="968"/>
        <v>341</v>
      </c>
      <c r="O571" s="81">
        <f t="shared" si="968"/>
        <v>339</v>
      </c>
      <c r="P571" s="81">
        <f t="shared" si="968"/>
        <v>312</v>
      </c>
      <c r="Q571" s="81">
        <f t="shared" si="968"/>
        <v>1338</v>
      </c>
      <c r="R571" s="81">
        <f t="shared" si="968"/>
        <v>1338</v>
      </c>
      <c r="S571" s="81">
        <f t="shared" si="968"/>
        <v>1338</v>
      </c>
    </row>
    <row r="572" spans="1:19" ht="14.25">
      <c r="A572" s="41"/>
      <c r="B572" s="31" t="s">
        <v>160</v>
      </c>
      <c r="C572" s="19"/>
      <c r="D572" s="81">
        <f t="shared" si="968"/>
        <v>1270</v>
      </c>
      <c r="E572" s="81">
        <f t="shared" si="968"/>
        <v>1223</v>
      </c>
      <c r="F572" s="81">
        <f t="shared" si="968"/>
        <v>1270</v>
      </c>
      <c r="G572" s="81">
        <f t="shared" si="968"/>
        <v>1596</v>
      </c>
      <c r="H572" s="81">
        <f t="shared" si="968"/>
        <v>1306</v>
      </c>
      <c r="I572" s="339">
        <f t="shared" si="968"/>
        <v>1333</v>
      </c>
      <c r="J572" s="81">
        <f t="shared" si="968"/>
        <v>1333</v>
      </c>
      <c r="K572" s="72">
        <f t="shared" si="908"/>
        <v>0</v>
      </c>
      <c r="L572" s="72">
        <f t="shared" si="909"/>
        <v>1333</v>
      </c>
      <c r="M572" s="81">
        <f t="shared" si="968"/>
        <v>341</v>
      </c>
      <c r="N572" s="81">
        <f t="shared" si="968"/>
        <v>341</v>
      </c>
      <c r="O572" s="81">
        <f t="shared" si="968"/>
        <v>339</v>
      </c>
      <c r="P572" s="81">
        <f t="shared" si="968"/>
        <v>312</v>
      </c>
      <c r="Q572" s="81">
        <f t="shared" si="968"/>
        <v>1338</v>
      </c>
      <c r="R572" s="81">
        <f t="shared" si="968"/>
        <v>1338</v>
      </c>
      <c r="S572" s="81">
        <f t="shared" si="968"/>
        <v>1338</v>
      </c>
    </row>
    <row r="573" spans="1:19" ht="15">
      <c r="A573" s="41"/>
      <c r="B573" s="40" t="s">
        <v>161</v>
      </c>
      <c r="C573" s="19">
        <v>0.1</v>
      </c>
      <c r="D573" s="76">
        <f t="shared" si="968"/>
        <v>1270</v>
      </c>
      <c r="E573" s="76">
        <f t="shared" si="968"/>
        <v>1223</v>
      </c>
      <c r="F573" s="76">
        <f t="shared" si="968"/>
        <v>1270</v>
      </c>
      <c r="G573" s="76">
        <f t="shared" si="968"/>
        <v>1596</v>
      </c>
      <c r="H573" s="76">
        <f t="shared" si="968"/>
        <v>1306</v>
      </c>
      <c r="I573" s="330">
        <f t="shared" si="968"/>
        <v>1333</v>
      </c>
      <c r="J573" s="76">
        <f t="shared" si="968"/>
        <v>1333</v>
      </c>
      <c r="K573" s="72">
        <f t="shared" si="908"/>
        <v>0</v>
      </c>
      <c r="L573" s="72">
        <f t="shared" si="909"/>
        <v>1333</v>
      </c>
      <c r="M573" s="76">
        <f t="shared" si="968"/>
        <v>341</v>
      </c>
      <c r="N573" s="76">
        <f t="shared" si="968"/>
        <v>341</v>
      </c>
      <c r="O573" s="76">
        <f t="shared" si="968"/>
        <v>339</v>
      </c>
      <c r="P573" s="76">
        <f t="shared" si="968"/>
        <v>312</v>
      </c>
      <c r="Q573" s="76">
        <f t="shared" si="968"/>
        <v>1338</v>
      </c>
      <c r="R573" s="76">
        <f t="shared" si="968"/>
        <v>1338</v>
      </c>
      <c r="S573" s="76">
        <f t="shared" si="968"/>
        <v>1338</v>
      </c>
    </row>
    <row r="574" spans="1:19" ht="15">
      <c r="A574" s="41"/>
      <c r="B574" s="40" t="s">
        <v>302</v>
      </c>
      <c r="C574" s="19" t="s">
        <v>303</v>
      </c>
      <c r="D574" s="76">
        <f t="shared" ref="D574:S574" si="969">D575+D576</f>
        <v>1270</v>
      </c>
      <c r="E574" s="76">
        <f t="shared" si="969"/>
        <v>1223</v>
      </c>
      <c r="F574" s="76">
        <f t="shared" si="969"/>
        <v>1270</v>
      </c>
      <c r="G574" s="76">
        <f t="shared" si="969"/>
        <v>1596</v>
      </c>
      <c r="H574" s="76">
        <f t="shared" si="969"/>
        <v>1306</v>
      </c>
      <c r="I574" s="330">
        <f t="shared" si="969"/>
        <v>1333</v>
      </c>
      <c r="J574" s="76">
        <f t="shared" si="969"/>
        <v>1333</v>
      </c>
      <c r="K574" s="72">
        <f t="shared" si="908"/>
        <v>0</v>
      </c>
      <c r="L574" s="72">
        <f t="shared" si="909"/>
        <v>1333</v>
      </c>
      <c r="M574" s="76">
        <f t="shared" ref="M574" si="970">M575+M576</f>
        <v>341</v>
      </c>
      <c r="N574" s="76">
        <f t="shared" ref="N574" si="971">N575+N576</f>
        <v>341</v>
      </c>
      <c r="O574" s="76">
        <f t="shared" ref="O574:P574" si="972">O575+O576</f>
        <v>339</v>
      </c>
      <c r="P574" s="76">
        <f t="shared" si="972"/>
        <v>312</v>
      </c>
      <c r="Q574" s="76">
        <f t="shared" si="969"/>
        <v>1338</v>
      </c>
      <c r="R574" s="76">
        <f t="shared" si="969"/>
        <v>1338</v>
      </c>
      <c r="S574" s="76">
        <f t="shared" si="969"/>
        <v>1338</v>
      </c>
    </row>
    <row r="575" spans="1:19" ht="15">
      <c r="A575" s="41"/>
      <c r="B575" s="40" t="s">
        <v>162</v>
      </c>
      <c r="C575" s="19">
        <v>10</v>
      </c>
      <c r="D575" s="75">
        <f>1290-31</f>
        <v>1259</v>
      </c>
      <c r="E575" s="75">
        <v>1208</v>
      </c>
      <c r="F575" s="75">
        <v>1259</v>
      </c>
      <c r="G575" s="75">
        <v>1575</v>
      </c>
      <c r="H575" s="75">
        <v>1285</v>
      </c>
      <c r="I575" s="329">
        <v>1298</v>
      </c>
      <c r="J575" s="75">
        <v>1298</v>
      </c>
      <c r="K575" s="72">
        <f t="shared" si="908"/>
        <v>0</v>
      </c>
      <c r="L575" s="72">
        <f t="shared" si="909"/>
        <v>1298</v>
      </c>
      <c r="M575" s="75">
        <v>332</v>
      </c>
      <c r="N575" s="75">
        <v>332</v>
      </c>
      <c r="O575" s="75">
        <v>330</v>
      </c>
      <c r="P575" s="75">
        <v>304</v>
      </c>
      <c r="Q575" s="73">
        <v>1298</v>
      </c>
      <c r="R575" s="73">
        <v>1298</v>
      </c>
      <c r="S575" s="73">
        <v>1298</v>
      </c>
    </row>
    <row r="576" spans="1:19" ht="15">
      <c r="A576" s="41"/>
      <c r="B576" s="40" t="s">
        <v>886</v>
      </c>
      <c r="C576" s="19">
        <v>20</v>
      </c>
      <c r="D576" s="75">
        <f>20-9</f>
        <v>11</v>
      </c>
      <c r="E576" s="75">
        <v>15</v>
      </c>
      <c r="F576" s="75">
        <v>11</v>
      </c>
      <c r="G576" s="75">
        <v>21</v>
      </c>
      <c r="H576" s="75">
        <v>21</v>
      </c>
      <c r="I576" s="329">
        <v>35</v>
      </c>
      <c r="J576" s="75">
        <v>35</v>
      </c>
      <c r="K576" s="72">
        <f t="shared" si="908"/>
        <v>0</v>
      </c>
      <c r="L576" s="72">
        <f t="shared" si="909"/>
        <v>35</v>
      </c>
      <c r="M576" s="75">
        <v>9</v>
      </c>
      <c r="N576" s="75">
        <v>9</v>
      </c>
      <c r="O576" s="75">
        <v>9</v>
      </c>
      <c r="P576" s="75">
        <v>8</v>
      </c>
      <c r="Q576" s="73">
        <v>40</v>
      </c>
      <c r="R576" s="73">
        <v>40</v>
      </c>
      <c r="S576" s="73">
        <v>40</v>
      </c>
    </row>
    <row r="577" spans="1:19" ht="28.5">
      <c r="A577" s="41" t="s">
        <v>306</v>
      </c>
      <c r="B577" s="57" t="s">
        <v>307</v>
      </c>
      <c r="C577" s="19" t="s">
        <v>301</v>
      </c>
      <c r="D577" s="81">
        <f t="shared" ref="D577:S579" si="973">D578</f>
        <v>513</v>
      </c>
      <c r="E577" s="81">
        <f t="shared" si="973"/>
        <v>505</v>
      </c>
      <c r="F577" s="81">
        <f t="shared" si="973"/>
        <v>513</v>
      </c>
      <c r="G577" s="81">
        <f t="shared" si="973"/>
        <v>590</v>
      </c>
      <c r="H577" s="81">
        <f t="shared" si="973"/>
        <v>583</v>
      </c>
      <c r="I577" s="339">
        <f t="shared" si="973"/>
        <v>508</v>
      </c>
      <c r="J577" s="81">
        <f t="shared" si="973"/>
        <v>608</v>
      </c>
      <c r="K577" s="72">
        <f t="shared" si="908"/>
        <v>0</v>
      </c>
      <c r="L577" s="72">
        <f t="shared" si="909"/>
        <v>608</v>
      </c>
      <c r="M577" s="81">
        <f t="shared" si="973"/>
        <v>159</v>
      </c>
      <c r="N577" s="81">
        <f t="shared" si="973"/>
        <v>157</v>
      </c>
      <c r="O577" s="81">
        <f t="shared" si="973"/>
        <v>157</v>
      </c>
      <c r="P577" s="81">
        <f t="shared" si="973"/>
        <v>135</v>
      </c>
      <c r="Q577" s="81">
        <f t="shared" si="973"/>
        <v>514</v>
      </c>
      <c r="R577" s="81">
        <f t="shared" si="973"/>
        <v>514</v>
      </c>
      <c r="S577" s="81">
        <f t="shared" si="973"/>
        <v>514</v>
      </c>
    </row>
    <row r="578" spans="1:19" ht="14.25">
      <c r="A578" s="41"/>
      <c r="B578" s="31" t="s">
        <v>160</v>
      </c>
      <c r="C578" s="19"/>
      <c r="D578" s="76">
        <f t="shared" si="973"/>
        <v>513</v>
      </c>
      <c r="E578" s="76">
        <f t="shared" si="973"/>
        <v>505</v>
      </c>
      <c r="F578" s="76">
        <f t="shared" si="973"/>
        <v>513</v>
      </c>
      <c r="G578" s="76">
        <f t="shared" si="973"/>
        <v>590</v>
      </c>
      <c r="H578" s="76">
        <f t="shared" si="973"/>
        <v>583</v>
      </c>
      <c r="I578" s="330">
        <f t="shared" si="973"/>
        <v>508</v>
      </c>
      <c r="J578" s="76">
        <f t="shared" si="973"/>
        <v>608</v>
      </c>
      <c r="K578" s="72">
        <f t="shared" si="908"/>
        <v>0</v>
      </c>
      <c r="L578" s="72">
        <f t="shared" si="909"/>
        <v>608</v>
      </c>
      <c r="M578" s="76">
        <f t="shared" si="973"/>
        <v>159</v>
      </c>
      <c r="N578" s="76">
        <f t="shared" si="973"/>
        <v>157</v>
      </c>
      <c r="O578" s="76">
        <f t="shared" si="973"/>
        <v>157</v>
      </c>
      <c r="P578" s="76">
        <f t="shared" si="973"/>
        <v>135</v>
      </c>
      <c r="Q578" s="76">
        <f t="shared" si="973"/>
        <v>514</v>
      </c>
      <c r="R578" s="76">
        <f t="shared" si="973"/>
        <v>514</v>
      </c>
      <c r="S578" s="76">
        <f t="shared" si="973"/>
        <v>514</v>
      </c>
    </row>
    <row r="579" spans="1:19" ht="15">
      <c r="A579" s="41"/>
      <c r="B579" s="40" t="s">
        <v>161</v>
      </c>
      <c r="C579" s="19"/>
      <c r="D579" s="76">
        <f t="shared" si="973"/>
        <v>513</v>
      </c>
      <c r="E579" s="76">
        <f t="shared" si="973"/>
        <v>505</v>
      </c>
      <c r="F579" s="76">
        <f t="shared" si="973"/>
        <v>513</v>
      </c>
      <c r="G579" s="76">
        <f t="shared" si="973"/>
        <v>590</v>
      </c>
      <c r="H579" s="76">
        <f t="shared" si="973"/>
        <v>583</v>
      </c>
      <c r="I579" s="330">
        <f t="shared" si="973"/>
        <v>508</v>
      </c>
      <c r="J579" s="76">
        <f t="shared" si="973"/>
        <v>608</v>
      </c>
      <c r="K579" s="72">
        <f t="shared" si="908"/>
        <v>0</v>
      </c>
      <c r="L579" s="72">
        <f t="shared" si="909"/>
        <v>608</v>
      </c>
      <c r="M579" s="76">
        <f t="shared" si="973"/>
        <v>159</v>
      </c>
      <c r="N579" s="76">
        <f t="shared" si="973"/>
        <v>157</v>
      </c>
      <c r="O579" s="76">
        <f t="shared" si="973"/>
        <v>157</v>
      </c>
      <c r="P579" s="76">
        <f t="shared" si="973"/>
        <v>135</v>
      </c>
      <c r="Q579" s="76">
        <f t="shared" si="973"/>
        <v>514</v>
      </c>
      <c r="R579" s="76">
        <f t="shared" si="973"/>
        <v>514</v>
      </c>
      <c r="S579" s="76">
        <f t="shared" si="973"/>
        <v>514</v>
      </c>
    </row>
    <row r="580" spans="1:19" ht="15">
      <c r="A580" s="41"/>
      <c r="B580" s="40" t="s">
        <v>302</v>
      </c>
      <c r="C580" s="19" t="s">
        <v>303</v>
      </c>
      <c r="D580" s="76">
        <f t="shared" ref="D580:S580" si="974">D581+D582</f>
        <v>513</v>
      </c>
      <c r="E580" s="76">
        <f t="shared" si="974"/>
        <v>505</v>
      </c>
      <c r="F580" s="76">
        <f t="shared" si="974"/>
        <v>513</v>
      </c>
      <c r="G580" s="76">
        <f t="shared" si="974"/>
        <v>590</v>
      </c>
      <c r="H580" s="76">
        <f t="shared" si="974"/>
        <v>583</v>
      </c>
      <c r="I580" s="330">
        <f t="shared" si="974"/>
        <v>508</v>
      </c>
      <c r="J580" s="76">
        <f t="shared" si="974"/>
        <v>608</v>
      </c>
      <c r="K580" s="72">
        <f t="shared" si="908"/>
        <v>0</v>
      </c>
      <c r="L580" s="72">
        <f t="shared" si="909"/>
        <v>608</v>
      </c>
      <c r="M580" s="76">
        <f t="shared" ref="M580" si="975">M581+M582</f>
        <v>159</v>
      </c>
      <c r="N580" s="76">
        <f t="shared" ref="N580" si="976">N581+N582</f>
        <v>157</v>
      </c>
      <c r="O580" s="76">
        <f t="shared" ref="O580:P580" si="977">O581+O582</f>
        <v>157</v>
      </c>
      <c r="P580" s="76">
        <f t="shared" si="977"/>
        <v>135</v>
      </c>
      <c r="Q580" s="76">
        <f t="shared" si="974"/>
        <v>514</v>
      </c>
      <c r="R580" s="76">
        <f t="shared" si="974"/>
        <v>514</v>
      </c>
      <c r="S580" s="76">
        <f t="shared" si="974"/>
        <v>514</v>
      </c>
    </row>
    <row r="581" spans="1:19" ht="15">
      <c r="A581" s="41"/>
      <c r="B581" s="40" t="s">
        <v>162</v>
      </c>
      <c r="C581" s="19">
        <v>10</v>
      </c>
      <c r="D581" s="75">
        <f>543-60</f>
        <v>483</v>
      </c>
      <c r="E581" s="75">
        <v>456</v>
      </c>
      <c r="F581" s="75">
        <v>483</v>
      </c>
      <c r="G581" s="75">
        <v>530</v>
      </c>
      <c r="H581" s="75">
        <v>523</v>
      </c>
      <c r="I581" s="329">
        <v>478</v>
      </c>
      <c r="J581" s="75">
        <f>478+100</f>
        <v>578</v>
      </c>
      <c r="K581" s="72">
        <f t="shared" si="908"/>
        <v>0</v>
      </c>
      <c r="L581" s="72">
        <f t="shared" si="909"/>
        <v>578</v>
      </c>
      <c r="M581" s="75">
        <f>126+25</f>
        <v>151</v>
      </c>
      <c r="N581" s="75">
        <f>125+25</f>
        <v>150</v>
      </c>
      <c r="O581" s="75">
        <f>124+25</f>
        <v>149</v>
      </c>
      <c r="P581" s="75">
        <f>103+25</f>
        <v>128</v>
      </c>
      <c r="Q581" s="73">
        <v>484</v>
      </c>
      <c r="R581" s="73">
        <v>484</v>
      </c>
      <c r="S581" s="73">
        <v>484</v>
      </c>
    </row>
    <row r="582" spans="1:19" ht="15">
      <c r="A582" s="41"/>
      <c r="B582" s="40" t="s">
        <v>886</v>
      </c>
      <c r="C582" s="19">
        <v>20</v>
      </c>
      <c r="D582" s="75">
        <f>55-25</f>
        <v>30</v>
      </c>
      <c r="E582" s="75">
        <v>49</v>
      </c>
      <c r="F582" s="75">
        <v>30</v>
      </c>
      <c r="G582" s="75">
        <v>60</v>
      </c>
      <c r="H582" s="75">
        <v>60</v>
      </c>
      <c r="I582" s="329">
        <v>30</v>
      </c>
      <c r="J582" s="75">
        <v>30</v>
      </c>
      <c r="K582" s="72">
        <f t="shared" si="908"/>
        <v>0</v>
      </c>
      <c r="L582" s="72">
        <f t="shared" si="909"/>
        <v>30</v>
      </c>
      <c r="M582" s="75">
        <v>8</v>
      </c>
      <c r="N582" s="75">
        <v>7</v>
      </c>
      <c r="O582" s="75">
        <v>8</v>
      </c>
      <c r="P582" s="75">
        <v>7</v>
      </c>
      <c r="Q582" s="73">
        <v>30</v>
      </c>
      <c r="R582" s="73">
        <v>30</v>
      </c>
      <c r="S582" s="73">
        <v>30</v>
      </c>
    </row>
    <row r="583" spans="1:19" ht="26.25" customHeight="1">
      <c r="A583" s="41" t="s">
        <v>308</v>
      </c>
      <c r="B583" s="38" t="s">
        <v>309</v>
      </c>
      <c r="C583" s="19" t="s">
        <v>301</v>
      </c>
      <c r="D583" s="81">
        <f t="shared" ref="D583:S585" si="978">D584</f>
        <v>2369</v>
      </c>
      <c r="E583" s="81">
        <f t="shared" si="978"/>
        <v>2248</v>
      </c>
      <c r="F583" s="81">
        <f t="shared" si="978"/>
        <v>2369</v>
      </c>
      <c r="G583" s="81">
        <f t="shared" si="978"/>
        <v>2374</v>
      </c>
      <c r="H583" s="81">
        <f t="shared" si="978"/>
        <v>2300</v>
      </c>
      <c r="I583" s="339">
        <f t="shared" si="978"/>
        <v>2625</v>
      </c>
      <c r="J583" s="81">
        <f t="shared" si="978"/>
        <v>2625</v>
      </c>
      <c r="K583" s="72">
        <f t="shared" si="908"/>
        <v>0</v>
      </c>
      <c r="L583" s="72">
        <f t="shared" si="909"/>
        <v>2625</v>
      </c>
      <c r="M583" s="81">
        <f t="shared" si="978"/>
        <v>663</v>
      </c>
      <c r="N583" s="81">
        <f t="shared" si="978"/>
        <v>662</v>
      </c>
      <c r="O583" s="81">
        <f t="shared" si="978"/>
        <v>663</v>
      </c>
      <c r="P583" s="81">
        <f t="shared" si="978"/>
        <v>637</v>
      </c>
      <c r="Q583" s="81">
        <f t="shared" si="978"/>
        <v>2625</v>
      </c>
      <c r="R583" s="81">
        <f t="shared" si="978"/>
        <v>2625</v>
      </c>
      <c r="S583" s="81">
        <f t="shared" si="978"/>
        <v>2625</v>
      </c>
    </row>
    <row r="584" spans="1:19" ht="14.25">
      <c r="A584" s="41"/>
      <c r="B584" s="31" t="s">
        <v>160</v>
      </c>
      <c r="C584" s="19"/>
      <c r="D584" s="81">
        <f t="shared" si="978"/>
        <v>2369</v>
      </c>
      <c r="E584" s="81">
        <f t="shared" si="978"/>
        <v>2248</v>
      </c>
      <c r="F584" s="81">
        <f t="shared" si="978"/>
        <v>2369</v>
      </c>
      <c r="G584" s="81">
        <f t="shared" si="978"/>
        <v>2374</v>
      </c>
      <c r="H584" s="81">
        <f t="shared" si="978"/>
        <v>2300</v>
      </c>
      <c r="I584" s="339">
        <f t="shared" si="978"/>
        <v>2625</v>
      </c>
      <c r="J584" s="81">
        <f t="shared" si="978"/>
        <v>2625</v>
      </c>
      <c r="K584" s="72">
        <f t="shared" si="908"/>
        <v>0</v>
      </c>
      <c r="L584" s="72">
        <f t="shared" si="909"/>
        <v>2625</v>
      </c>
      <c r="M584" s="81">
        <f t="shared" si="978"/>
        <v>663</v>
      </c>
      <c r="N584" s="81">
        <f t="shared" si="978"/>
        <v>662</v>
      </c>
      <c r="O584" s="81">
        <f t="shared" si="978"/>
        <v>663</v>
      </c>
      <c r="P584" s="81">
        <f t="shared" si="978"/>
        <v>637</v>
      </c>
      <c r="Q584" s="81">
        <f t="shared" si="978"/>
        <v>2625</v>
      </c>
      <c r="R584" s="81">
        <f t="shared" si="978"/>
        <v>2625</v>
      </c>
      <c r="S584" s="81">
        <f t="shared" si="978"/>
        <v>2625</v>
      </c>
    </row>
    <row r="585" spans="1:19" ht="15">
      <c r="A585" s="41"/>
      <c r="B585" s="40" t="s">
        <v>161</v>
      </c>
      <c r="C585" s="19">
        <v>1</v>
      </c>
      <c r="D585" s="76">
        <f t="shared" si="978"/>
        <v>2369</v>
      </c>
      <c r="E585" s="76">
        <f t="shared" si="978"/>
        <v>2248</v>
      </c>
      <c r="F585" s="76">
        <f t="shared" si="978"/>
        <v>2369</v>
      </c>
      <c r="G585" s="76">
        <f t="shared" si="978"/>
        <v>2374</v>
      </c>
      <c r="H585" s="76">
        <f t="shared" si="978"/>
        <v>2300</v>
      </c>
      <c r="I585" s="330">
        <f t="shared" si="978"/>
        <v>2625</v>
      </c>
      <c r="J585" s="76">
        <f t="shared" si="978"/>
        <v>2625</v>
      </c>
      <c r="K585" s="72">
        <f t="shared" si="908"/>
        <v>0</v>
      </c>
      <c r="L585" s="72">
        <f t="shared" si="909"/>
        <v>2625</v>
      </c>
      <c r="M585" s="76">
        <f t="shared" si="978"/>
        <v>663</v>
      </c>
      <c r="N585" s="76">
        <f t="shared" si="978"/>
        <v>662</v>
      </c>
      <c r="O585" s="76">
        <f t="shared" si="978"/>
        <v>663</v>
      </c>
      <c r="P585" s="76">
        <f t="shared" si="978"/>
        <v>637</v>
      </c>
      <c r="Q585" s="76">
        <f t="shared" si="978"/>
        <v>2625</v>
      </c>
      <c r="R585" s="76">
        <f t="shared" si="978"/>
        <v>2625</v>
      </c>
      <c r="S585" s="76">
        <f t="shared" si="978"/>
        <v>2625</v>
      </c>
    </row>
    <row r="586" spans="1:19" ht="15">
      <c r="A586" s="41"/>
      <c r="B586" s="40" t="s">
        <v>302</v>
      </c>
      <c r="C586" s="19" t="s">
        <v>303</v>
      </c>
      <c r="D586" s="76">
        <f t="shared" ref="D586:S586" si="979">D587+D588</f>
        <v>2369</v>
      </c>
      <c r="E586" s="76">
        <f t="shared" si="979"/>
        <v>2248</v>
      </c>
      <c r="F586" s="76">
        <f t="shared" si="979"/>
        <v>2369</v>
      </c>
      <c r="G586" s="76">
        <f t="shared" si="979"/>
        <v>2374</v>
      </c>
      <c r="H586" s="76">
        <f t="shared" si="979"/>
        <v>2300</v>
      </c>
      <c r="I586" s="330">
        <f t="shared" si="979"/>
        <v>2625</v>
      </c>
      <c r="J586" s="76">
        <f t="shared" si="979"/>
        <v>2625</v>
      </c>
      <c r="K586" s="72">
        <f t="shared" si="908"/>
        <v>0</v>
      </c>
      <c r="L586" s="72">
        <f t="shared" si="909"/>
        <v>2625</v>
      </c>
      <c r="M586" s="76">
        <f t="shared" ref="M586" si="980">M587+M588</f>
        <v>663</v>
      </c>
      <c r="N586" s="76">
        <f t="shared" ref="N586" si="981">N587+N588</f>
        <v>662</v>
      </c>
      <c r="O586" s="76">
        <f t="shared" ref="O586:P586" si="982">O587+O588</f>
        <v>663</v>
      </c>
      <c r="P586" s="76">
        <f t="shared" si="982"/>
        <v>637</v>
      </c>
      <c r="Q586" s="76">
        <f t="shared" si="979"/>
        <v>2625</v>
      </c>
      <c r="R586" s="76">
        <f t="shared" si="979"/>
        <v>2625</v>
      </c>
      <c r="S586" s="76">
        <f t="shared" si="979"/>
        <v>2625</v>
      </c>
    </row>
    <row r="587" spans="1:19" ht="15">
      <c r="A587" s="41"/>
      <c r="B587" s="40" t="s">
        <v>162</v>
      </c>
      <c r="C587" s="19">
        <v>10</v>
      </c>
      <c r="D587" s="75">
        <f>2330-63</f>
        <v>2267</v>
      </c>
      <c r="E587" s="75">
        <v>2084</v>
      </c>
      <c r="F587" s="75">
        <v>2252</v>
      </c>
      <c r="G587" s="75">
        <v>2207</v>
      </c>
      <c r="H587" s="75">
        <v>2133</v>
      </c>
      <c r="I587" s="329">
        <v>2455</v>
      </c>
      <c r="J587" s="75">
        <v>2455</v>
      </c>
      <c r="K587" s="72">
        <f t="shared" si="908"/>
        <v>0</v>
      </c>
      <c r="L587" s="72">
        <f t="shared" si="909"/>
        <v>2455</v>
      </c>
      <c r="M587" s="75">
        <v>620</v>
      </c>
      <c r="N587" s="75">
        <v>620</v>
      </c>
      <c r="O587" s="75">
        <v>620</v>
      </c>
      <c r="P587" s="75">
        <v>595</v>
      </c>
      <c r="Q587" s="73">
        <v>2455</v>
      </c>
      <c r="R587" s="73">
        <v>2455</v>
      </c>
      <c r="S587" s="73">
        <v>2455</v>
      </c>
    </row>
    <row r="588" spans="1:19" ht="15">
      <c r="A588" s="41"/>
      <c r="B588" s="40" t="s">
        <v>886</v>
      </c>
      <c r="C588" s="19">
        <v>20</v>
      </c>
      <c r="D588" s="75">
        <f>170-68</f>
        <v>102</v>
      </c>
      <c r="E588" s="75">
        <v>164</v>
      </c>
      <c r="F588" s="75">
        <v>117</v>
      </c>
      <c r="G588" s="75">
        <v>167</v>
      </c>
      <c r="H588" s="75">
        <v>167</v>
      </c>
      <c r="I588" s="329">
        <v>170</v>
      </c>
      <c r="J588" s="75">
        <v>170</v>
      </c>
      <c r="K588" s="72">
        <f t="shared" ref="K588:K651" si="983">J588-L588</f>
        <v>0</v>
      </c>
      <c r="L588" s="72">
        <f t="shared" ref="L588:L651" si="984">M588+N588+O588+P588</f>
        <v>170</v>
      </c>
      <c r="M588" s="75">
        <v>43</v>
      </c>
      <c r="N588" s="75">
        <v>42</v>
      </c>
      <c r="O588" s="75">
        <v>43</v>
      </c>
      <c r="P588" s="75">
        <v>42</v>
      </c>
      <c r="Q588" s="73">
        <v>170</v>
      </c>
      <c r="R588" s="73">
        <v>170</v>
      </c>
      <c r="S588" s="73">
        <v>170</v>
      </c>
    </row>
    <row r="589" spans="1:19" ht="28.5">
      <c r="A589" s="41" t="s">
        <v>310</v>
      </c>
      <c r="B589" s="57" t="s">
        <v>311</v>
      </c>
      <c r="C589" s="19" t="s">
        <v>301</v>
      </c>
      <c r="D589" s="81">
        <f t="shared" ref="D589:S591" si="985">D590</f>
        <v>836</v>
      </c>
      <c r="E589" s="81">
        <f t="shared" si="985"/>
        <v>751</v>
      </c>
      <c r="F589" s="81">
        <f t="shared" si="985"/>
        <v>836</v>
      </c>
      <c r="G589" s="81">
        <f t="shared" si="985"/>
        <v>897</v>
      </c>
      <c r="H589" s="81">
        <f t="shared" si="985"/>
        <v>872</v>
      </c>
      <c r="I589" s="339">
        <f t="shared" si="985"/>
        <v>960</v>
      </c>
      <c r="J589" s="81">
        <f t="shared" si="985"/>
        <v>960</v>
      </c>
      <c r="K589" s="72">
        <f t="shared" si="983"/>
        <v>0</v>
      </c>
      <c r="L589" s="72">
        <f t="shared" si="984"/>
        <v>960</v>
      </c>
      <c r="M589" s="81">
        <f t="shared" si="985"/>
        <v>244</v>
      </c>
      <c r="N589" s="81">
        <f t="shared" si="985"/>
        <v>244</v>
      </c>
      <c r="O589" s="81">
        <f t="shared" si="985"/>
        <v>244</v>
      </c>
      <c r="P589" s="81">
        <f t="shared" si="985"/>
        <v>228</v>
      </c>
      <c r="Q589" s="81">
        <f t="shared" si="985"/>
        <v>960</v>
      </c>
      <c r="R589" s="81">
        <f t="shared" si="985"/>
        <v>960</v>
      </c>
      <c r="S589" s="81">
        <f t="shared" si="985"/>
        <v>960</v>
      </c>
    </row>
    <row r="590" spans="1:19" ht="14.25">
      <c r="A590" s="41"/>
      <c r="B590" s="31" t="s">
        <v>160</v>
      </c>
      <c r="C590" s="19"/>
      <c r="D590" s="81">
        <f t="shared" si="985"/>
        <v>836</v>
      </c>
      <c r="E590" s="81">
        <f t="shared" si="985"/>
        <v>751</v>
      </c>
      <c r="F590" s="81">
        <f t="shared" si="985"/>
        <v>836</v>
      </c>
      <c r="G590" s="81">
        <f t="shared" si="985"/>
        <v>897</v>
      </c>
      <c r="H590" s="81">
        <f t="shared" si="985"/>
        <v>872</v>
      </c>
      <c r="I590" s="339">
        <f t="shared" si="985"/>
        <v>960</v>
      </c>
      <c r="J590" s="81">
        <f t="shared" si="985"/>
        <v>960</v>
      </c>
      <c r="K590" s="72">
        <f t="shared" si="983"/>
        <v>0</v>
      </c>
      <c r="L590" s="72">
        <f t="shared" si="984"/>
        <v>960</v>
      </c>
      <c r="M590" s="81">
        <f t="shared" si="985"/>
        <v>244</v>
      </c>
      <c r="N590" s="81">
        <f t="shared" si="985"/>
        <v>244</v>
      </c>
      <c r="O590" s="81">
        <f t="shared" si="985"/>
        <v>244</v>
      </c>
      <c r="P590" s="81">
        <f t="shared" si="985"/>
        <v>228</v>
      </c>
      <c r="Q590" s="81">
        <f t="shared" si="985"/>
        <v>960</v>
      </c>
      <c r="R590" s="81">
        <f t="shared" si="985"/>
        <v>960</v>
      </c>
      <c r="S590" s="81">
        <f t="shared" si="985"/>
        <v>960</v>
      </c>
    </row>
    <row r="591" spans="1:19" ht="15">
      <c r="A591" s="41"/>
      <c r="B591" s="40" t="s">
        <v>161</v>
      </c>
      <c r="C591" s="19">
        <v>1</v>
      </c>
      <c r="D591" s="76">
        <f t="shared" si="985"/>
        <v>836</v>
      </c>
      <c r="E591" s="76">
        <f t="shared" si="985"/>
        <v>751</v>
      </c>
      <c r="F591" s="76">
        <f t="shared" si="985"/>
        <v>836</v>
      </c>
      <c r="G591" s="76">
        <f t="shared" si="985"/>
        <v>897</v>
      </c>
      <c r="H591" s="76">
        <f t="shared" si="985"/>
        <v>872</v>
      </c>
      <c r="I591" s="330">
        <f t="shared" si="985"/>
        <v>960</v>
      </c>
      <c r="J591" s="76">
        <f t="shared" si="985"/>
        <v>960</v>
      </c>
      <c r="K591" s="72">
        <f t="shared" si="983"/>
        <v>0</v>
      </c>
      <c r="L591" s="72">
        <f t="shared" si="984"/>
        <v>960</v>
      </c>
      <c r="M591" s="76">
        <f t="shared" si="985"/>
        <v>244</v>
      </c>
      <c r="N591" s="76">
        <f t="shared" si="985"/>
        <v>244</v>
      </c>
      <c r="O591" s="76">
        <f t="shared" si="985"/>
        <v>244</v>
      </c>
      <c r="P591" s="76">
        <f t="shared" si="985"/>
        <v>228</v>
      </c>
      <c r="Q591" s="76">
        <f t="shared" si="985"/>
        <v>960</v>
      </c>
      <c r="R591" s="76">
        <f t="shared" si="985"/>
        <v>960</v>
      </c>
      <c r="S591" s="76">
        <f t="shared" si="985"/>
        <v>960</v>
      </c>
    </row>
    <row r="592" spans="1:19" ht="15">
      <c r="A592" s="41"/>
      <c r="B592" s="40" t="s">
        <v>302</v>
      </c>
      <c r="C592" s="19" t="s">
        <v>303</v>
      </c>
      <c r="D592" s="76">
        <f t="shared" ref="D592:S592" si="986">D593+D594</f>
        <v>836</v>
      </c>
      <c r="E592" s="76">
        <f t="shared" si="986"/>
        <v>751</v>
      </c>
      <c r="F592" s="76">
        <f t="shared" si="986"/>
        <v>836</v>
      </c>
      <c r="G592" s="76">
        <f t="shared" si="986"/>
        <v>897</v>
      </c>
      <c r="H592" s="76">
        <f t="shared" si="986"/>
        <v>872</v>
      </c>
      <c r="I592" s="330">
        <f t="shared" si="986"/>
        <v>960</v>
      </c>
      <c r="J592" s="76">
        <f t="shared" si="986"/>
        <v>960</v>
      </c>
      <c r="K592" s="72">
        <f t="shared" si="983"/>
        <v>0</v>
      </c>
      <c r="L592" s="72">
        <f t="shared" si="984"/>
        <v>960</v>
      </c>
      <c r="M592" s="76">
        <f t="shared" ref="M592" si="987">M593+M594</f>
        <v>244</v>
      </c>
      <c r="N592" s="76">
        <f t="shared" ref="N592" si="988">N593+N594</f>
        <v>244</v>
      </c>
      <c r="O592" s="76">
        <f t="shared" ref="O592:P592" si="989">O593+O594</f>
        <v>244</v>
      </c>
      <c r="P592" s="76">
        <f t="shared" si="989"/>
        <v>228</v>
      </c>
      <c r="Q592" s="76">
        <f t="shared" si="986"/>
        <v>960</v>
      </c>
      <c r="R592" s="76">
        <f t="shared" si="986"/>
        <v>960</v>
      </c>
      <c r="S592" s="76">
        <f t="shared" si="986"/>
        <v>960</v>
      </c>
    </row>
    <row r="593" spans="1:19" ht="15">
      <c r="A593" s="41"/>
      <c r="B593" s="40" t="s">
        <v>162</v>
      </c>
      <c r="C593" s="19">
        <v>10</v>
      </c>
      <c r="D593" s="75">
        <f>825-4</f>
        <v>821</v>
      </c>
      <c r="E593" s="75">
        <v>741</v>
      </c>
      <c r="F593" s="75">
        <v>821</v>
      </c>
      <c r="G593" s="75">
        <v>882</v>
      </c>
      <c r="H593" s="75">
        <v>862</v>
      </c>
      <c r="I593" s="329">
        <v>945</v>
      </c>
      <c r="J593" s="75">
        <v>945</v>
      </c>
      <c r="K593" s="72">
        <f t="shared" si="983"/>
        <v>0</v>
      </c>
      <c r="L593" s="72">
        <f t="shared" si="984"/>
        <v>945</v>
      </c>
      <c r="M593" s="75">
        <v>240</v>
      </c>
      <c r="N593" s="75">
        <v>240</v>
      </c>
      <c r="O593" s="75">
        <v>240</v>
      </c>
      <c r="P593" s="75">
        <v>225</v>
      </c>
      <c r="Q593" s="73">
        <v>945</v>
      </c>
      <c r="R593" s="73">
        <v>945</v>
      </c>
      <c r="S593" s="73">
        <v>945</v>
      </c>
    </row>
    <row r="594" spans="1:19" ht="15">
      <c r="A594" s="41"/>
      <c r="B594" s="40" t="s">
        <v>886</v>
      </c>
      <c r="C594" s="19">
        <v>20</v>
      </c>
      <c r="D594" s="75">
        <v>15</v>
      </c>
      <c r="E594" s="75">
        <v>10</v>
      </c>
      <c r="F594" s="75">
        <v>15</v>
      </c>
      <c r="G594" s="75">
        <v>15</v>
      </c>
      <c r="H594" s="75">
        <v>10</v>
      </c>
      <c r="I594" s="329">
        <v>15</v>
      </c>
      <c r="J594" s="75">
        <v>15</v>
      </c>
      <c r="K594" s="72">
        <f t="shared" si="983"/>
        <v>0</v>
      </c>
      <c r="L594" s="72">
        <f t="shared" si="984"/>
        <v>15</v>
      </c>
      <c r="M594" s="75">
        <v>4</v>
      </c>
      <c r="N594" s="75">
        <v>4</v>
      </c>
      <c r="O594" s="75">
        <v>4</v>
      </c>
      <c r="P594" s="75">
        <v>3</v>
      </c>
      <c r="Q594" s="73">
        <v>15</v>
      </c>
      <c r="R594" s="73">
        <v>15</v>
      </c>
      <c r="S594" s="73">
        <v>15</v>
      </c>
    </row>
    <row r="595" spans="1:19" ht="28.5">
      <c r="A595" s="41" t="s">
        <v>312</v>
      </c>
      <c r="B595" s="57" t="s">
        <v>313</v>
      </c>
      <c r="C595" s="19" t="s">
        <v>301</v>
      </c>
      <c r="D595" s="81">
        <f t="shared" ref="D595:S597" si="990">D596</f>
        <v>773</v>
      </c>
      <c r="E595" s="81">
        <f t="shared" si="990"/>
        <v>250</v>
      </c>
      <c r="F595" s="81">
        <f t="shared" si="990"/>
        <v>773</v>
      </c>
      <c r="G595" s="81">
        <f t="shared" si="990"/>
        <v>781</v>
      </c>
      <c r="H595" s="81">
        <f t="shared" si="990"/>
        <v>772</v>
      </c>
      <c r="I595" s="339">
        <f t="shared" si="990"/>
        <v>993</v>
      </c>
      <c r="J595" s="81">
        <f t="shared" si="990"/>
        <v>993</v>
      </c>
      <c r="K595" s="72">
        <f t="shared" si="983"/>
        <v>0</v>
      </c>
      <c r="L595" s="72">
        <f t="shared" si="984"/>
        <v>993</v>
      </c>
      <c r="M595" s="81">
        <f t="shared" si="990"/>
        <v>253</v>
      </c>
      <c r="N595" s="81">
        <f t="shared" si="990"/>
        <v>251</v>
      </c>
      <c r="O595" s="81">
        <f t="shared" si="990"/>
        <v>252</v>
      </c>
      <c r="P595" s="81">
        <f t="shared" si="990"/>
        <v>237</v>
      </c>
      <c r="Q595" s="81">
        <f t="shared" si="990"/>
        <v>1067</v>
      </c>
      <c r="R595" s="81">
        <f t="shared" si="990"/>
        <v>1067</v>
      </c>
      <c r="S595" s="81">
        <f t="shared" si="990"/>
        <v>1067</v>
      </c>
    </row>
    <row r="596" spans="1:19" ht="14.25">
      <c r="A596" s="41"/>
      <c r="B596" s="31" t="s">
        <v>160</v>
      </c>
      <c r="C596" s="19"/>
      <c r="D596" s="81">
        <f t="shared" si="990"/>
        <v>773</v>
      </c>
      <c r="E596" s="81">
        <f t="shared" si="990"/>
        <v>250</v>
      </c>
      <c r="F596" s="81">
        <f t="shared" si="990"/>
        <v>773</v>
      </c>
      <c r="G596" s="81">
        <f t="shared" si="990"/>
        <v>781</v>
      </c>
      <c r="H596" s="81">
        <f t="shared" si="990"/>
        <v>772</v>
      </c>
      <c r="I596" s="339">
        <f t="shared" si="990"/>
        <v>993</v>
      </c>
      <c r="J596" s="81">
        <f t="shared" si="990"/>
        <v>993</v>
      </c>
      <c r="K596" s="72">
        <f t="shared" si="983"/>
        <v>0</v>
      </c>
      <c r="L596" s="72">
        <f t="shared" si="984"/>
        <v>993</v>
      </c>
      <c r="M596" s="81">
        <f t="shared" si="990"/>
        <v>253</v>
      </c>
      <c r="N596" s="81">
        <f t="shared" si="990"/>
        <v>251</v>
      </c>
      <c r="O596" s="81">
        <f t="shared" si="990"/>
        <v>252</v>
      </c>
      <c r="P596" s="81">
        <f t="shared" si="990"/>
        <v>237</v>
      </c>
      <c r="Q596" s="81">
        <f t="shared" si="990"/>
        <v>1067</v>
      </c>
      <c r="R596" s="81">
        <f t="shared" si="990"/>
        <v>1067</v>
      </c>
      <c r="S596" s="81">
        <f t="shared" si="990"/>
        <v>1067</v>
      </c>
    </row>
    <row r="597" spans="1:19" ht="15">
      <c r="A597" s="41"/>
      <c r="B597" s="40" t="s">
        <v>161</v>
      </c>
      <c r="C597" s="19">
        <v>1</v>
      </c>
      <c r="D597" s="76">
        <f t="shared" si="990"/>
        <v>773</v>
      </c>
      <c r="E597" s="76">
        <f t="shared" si="990"/>
        <v>250</v>
      </c>
      <c r="F597" s="76">
        <f t="shared" si="990"/>
        <v>773</v>
      </c>
      <c r="G597" s="76">
        <f t="shared" si="990"/>
        <v>781</v>
      </c>
      <c r="H597" s="76">
        <f t="shared" si="990"/>
        <v>772</v>
      </c>
      <c r="I597" s="330">
        <f t="shared" si="990"/>
        <v>993</v>
      </c>
      <c r="J597" s="76">
        <f t="shared" si="990"/>
        <v>993</v>
      </c>
      <c r="K597" s="72">
        <f t="shared" si="983"/>
        <v>0</v>
      </c>
      <c r="L597" s="72">
        <f t="shared" si="984"/>
        <v>993</v>
      </c>
      <c r="M597" s="76">
        <f t="shared" si="990"/>
        <v>253</v>
      </c>
      <c r="N597" s="76">
        <f t="shared" si="990"/>
        <v>251</v>
      </c>
      <c r="O597" s="76">
        <f t="shared" si="990"/>
        <v>252</v>
      </c>
      <c r="P597" s="76">
        <f t="shared" si="990"/>
        <v>237</v>
      </c>
      <c r="Q597" s="76">
        <f t="shared" si="990"/>
        <v>1067</v>
      </c>
      <c r="R597" s="76">
        <f t="shared" si="990"/>
        <v>1067</v>
      </c>
      <c r="S597" s="76">
        <f t="shared" si="990"/>
        <v>1067</v>
      </c>
    </row>
    <row r="598" spans="1:19" ht="15">
      <c r="A598" s="41"/>
      <c r="B598" s="40" t="s">
        <v>302</v>
      </c>
      <c r="C598" s="19" t="s">
        <v>303</v>
      </c>
      <c r="D598" s="76">
        <f t="shared" ref="D598:S598" si="991">D599+D600</f>
        <v>773</v>
      </c>
      <c r="E598" s="76">
        <f t="shared" si="991"/>
        <v>250</v>
      </c>
      <c r="F598" s="76">
        <f t="shared" si="991"/>
        <v>773</v>
      </c>
      <c r="G598" s="76">
        <f t="shared" si="991"/>
        <v>781</v>
      </c>
      <c r="H598" s="76">
        <f t="shared" si="991"/>
        <v>772</v>
      </c>
      <c r="I598" s="330">
        <f t="shared" si="991"/>
        <v>993</v>
      </c>
      <c r="J598" s="76">
        <f t="shared" si="991"/>
        <v>993</v>
      </c>
      <c r="K598" s="72">
        <f t="shared" si="983"/>
        <v>0</v>
      </c>
      <c r="L598" s="72">
        <f t="shared" si="984"/>
        <v>993</v>
      </c>
      <c r="M598" s="76">
        <f t="shared" ref="M598" si="992">M599+M600</f>
        <v>253</v>
      </c>
      <c r="N598" s="76">
        <f t="shared" ref="N598" si="993">N599+N600</f>
        <v>251</v>
      </c>
      <c r="O598" s="76">
        <f t="shared" ref="O598:P598" si="994">O599+O600</f>
        <v>252</v>
      </c>
      <c r="P598" s="76">
        <f t="shared" si="994"/>
        <v>237</v>
      </c>
      <c r="Q598" s="76">
        <f t="shared" si="991"/>
        <v>1067</v>
      </c>
      <c r="R598" s="76">
        <f t="shared" si="991"/>
        <v>1067</v>
      </c>
      <c r="S598" s="76">
        <f t="shared" si="991"/>
        <v>1067</v>
      </c>
    </row>
    <row r="599" spans="1:19" ht="15">
      <c r="A599" s="41"/>
      <c r="B599" s="40" t="s">
        <v>162</v>
      </c>
      <c r="C599" s="19">
        <v>10</v>
      </c>
      <c r="D599" s="75">
        <f>782-20</f>
        <v>762</v>
      </c>
      <c r="E599" s="75">
        <v>241</v>
      </c>
      <c r="F599" s="75">
        <v>762</v>
      </c>
      <c r="G599" s="75">
        <v>762</v>
      </c>
      <c r="H599" s="75">
        <v>754</v>
      </c>
      <c r="I599" s="329">
        <v>968</v>
      </c>
      <c r="J599" s="75">
        <v>968</v>
      </c>
      <c r="K599" s="72">
        <f t="shared" si="983"/>
        <v>0</v>
      </c>
      <c r="L599" s="72">
        <f t="shared" si="984"/>
        <v>968</v>
      </c>
      <c r="M599" s="75">
        <v>246</v>
      </c>
      <c r="N599" s="75">
        <v>245</v>
      </c>
      <c r="O599" s="75">
        <v>245</v>
      </c>
      <c r="P599" s="75">
        <v>232</v>
      </c>
      <c r="Q599" s="73">
        <v>1042</v>
      </c>
      <c r="R599" s="73">
        <v>1042</v>
      </c>
      <c r="S599" s="73">
        <v>1042</v>
      </c>
    </row>
    <row r="600" spans="1:19" ht="14.25" customHeight="1">
      <c r="A600" s="41"/>
      <c r="B600" s="40" t="s">
        <v>886</v>
      </c>
      <c r="C600" s="19">
        <v>20</v>
      </c>
      <c r="D600" s="75">
        <f>15-4</f>
        <v>11</v>
      </c>
      <c r="E600" s="75">
        <v>9</v>
      </c>
      <c r="F600" s="75">
        <v>11</v>
      </c>
      <c r="G600" s="75">
        <v>19</v>
      </c>
      <c r="H600" s="75">
        <v>18</v>
      </c>
      <c r="I600" s="329">
        <v>25</v>
      </c>
      <c r="J600" s="75">
        <v>25</v>
      </c>
      <c r="K600" s="72">
        <f t="shared" si="983"/>
        <v>0</v>
      </c>
      <c r="L600" s="72">
        <f t="shared" si="984"/>
        <v>25</v>
      </c>
      <c r="M600" s="75">
        <v>7</v>
      </c>
      <c r="N600" s="75">
        <v>6</v>
      </c>
      <c r="O600" s="75">
        <v>7</v>
      </c>
      <c r="P600" s="75">
        <v>5</v>
      </c>
      <c r="Q600" s="73">
        <v>25</v>
      </c>
      <c r="R600" s="73">
        <v>25</v>
      </c>
      <c r="S600" s="73">
        <v>25</v>
      </c>
    </row>
    <row r="601" spans="1:19" ht="14.25" hidden="1">
      <c r="A601" s="193">
        <v>2.2999999999999998</v>
      </c>
      <c r="B601" s="33" t="s">
        <v>636</v>
      </c>
      <c r="C601" s="92" t="s">
        <v>637</v>
      </c>
      <c r="D601" s="83"/>
      <c r="E601" s="83">
        <f>E602+E605+E608+E611+E614+E617</f>
        <v>0</v>
      </c>
      <c r="F601" s="83">
        <f t="shared" ref="F601:S601" si="995">F602+F605+F608+F611+F614+F617</f>
        <v>5536</v>
      </c>
      <c r="G601" s="83">
        <f t="shared" si="995"/>
        <v>5536</v>
      </c>
      <c r="H601" s="83">
        <f t="shared" si="995"/>
        <v>5536</v>
      </c>
      <c r="I601" s="340">
        <f t="shared" si="995"/>
        <v>0</v>
      </c>
      <c r="J601" s="83">
        <f t="shared" si="995"/>
        <v>0</v>
      </c>
      <c r="K601" s="72">
        <f t="shared" si="983"/>
        <v>0</v>
      </c>
      <c r="L601" s="72">
        <f t="shared" si="984"/>
        <v>0</v>
      </c>
      <c r="M601" s="83">
        <f t="shared" ref="M601" si="996">M602+M605+M608+M611+M614+M617</f>
        <v>0</v>
      </c>
      <c r="N601" s="83">
        <f t="shared" ref="N601" si="997">N602+N605+N608+N611+N614+N617</f>
        <v>0</v>
      </c>
      <c r="O601" s="83">
        <f t="shared" ref="O601:P601" si="998">O602+O605+O608+O611+O614+O617</f>
        <v>0</v>
      </c>
      <c r="P601" s="83">
        <f t="shared" si="998"/>
        <v>0</v>
      </c>
      <c r="Q601" s="83">
        <f t="shared" si="995"/>
        <v>0</v>
      </c>
      <c r="R601" s="83">
        <f t="shared" si="995"/>
        <v>0</v>
      </c>
      <c r="S601" s="83">
        <f t="shared" si="995"/>
        <v>0</v>
      </c>
    </row>
    <row r="602" spans="1:19" ht="14.25" hidden="1">
      <c r="A602" s="41" t="s">
        <v>638</v>
      </c>
      <c r="B602" s="33" t="s">
        <v>554</v>
      </c>
      <c r="C602" s="92" t="s">
        <v>637</v>
      </c>
      <c r="D602" s="83"/>
      <c r="E602" s="83">
        <f>E603</f>
        <v>0</v>
      </c>
      <c r="F602" s="83">
        <f t="shared" ref="F602:S603" si="999">F603</f>
        <v>2794</v>
      </c>
      <c r="G602" s="83">
        <f t="shared" si="999"/>
        <v>2794</v>
      </c>
      <c r="H602" s="83">
        <f t="shared" si="999"/>
        <v>2794</v>
      </c>
      <c r="I602" s="340">
        <f t="shared" si="999"/>
        <v>0</v>
      </c>
      <c r="J602" s="83">
        <f t="shared" si="999"/>
        <v>0</v>
      </c>
      <c r="K602" s="72">
        <f t="shared" si="983"/>
        <v>0</v>
      </c>
      <c r="L602" s="72">
        <f t="shared" si="984"/>
        <v>0</v>
      </c>
      <c r="M602" s="83">
        <f t="shared" si="999"/>
        <v>0</v>
      </c>
      <c r="N602" s="83">
        <f t="shared" si="999"/>
        <v>0</v>
      </c>
      <c r="O602" s="83">
        <f t="shared" si="999"/>
        <v>0</v>
      </c>
      <c r="P602" s="83">
        <f t="shared" si="999"/>
        <v>0</v>
      </c>
      <c r="Q602" s="83">
        <f t="shared" si="999"/>
        <v>0</v>
      </c>
      <c r="R602" s="83">
        <f t="shared" si="999"/>
        <v>0</v>
      </c>
      <c r="S602" s="83">
        <f t="shared" si="999"/>
        <v>0</v>
      </c>
    </row>
    <row r="603" spans="1:19" ht="15" hidden="1">
      <c r="A603" s="41"/>
      <c r="B603" s="40" t="s">
        <v>172</v>
      </c>
      <c r="C603" s="19"/>
      <c r="D603" s="75"/>
      <c r="E603" s="75">
        <f>E604</f>
        <v>0</v>
      </c>
      <c r="F603" s="75">
        <f t="shared" si="999"/>
        <v>2794</v>
      </c>
      <c r="G603" s="75">
        <f t="shared" si="999"/>
        <v>2794</v>
      </c>
      <c r="H603" s="75">
        <f t="shared" si="999"/>
        <v>2794</v>
      </c>
      <c r="I603" s="329">
        <f t="shared" si="999"/>
        <v>0</v>
      </c>
      <c r="J603" s="75">
        <f t="shared" si="999"/>
        <v>0</v>
      </c>
      <c r="K603" s="72">
        <f t="shared" si="983"/>
        <v>0</v>
      </c>
      <c r="L603" s="72">
        <f t="shared" si="984"/>
        <v>0</v>
      </c>
      <c r="M603" s="75">
        <f t="shared" si="999"/>
        <v>0</v>
      </c>
      <c r="N603" s="75">
        <f t="shared" si="999"/>
        <v>0</v>
      </c>
      <c r="O603" s="75">
        <f t="shared" si="999"/>
        <v>0</v>
      </c>
      <c r="P603" s="75">
        <f t="shared" si="999"/>
        <v>0</v>
      </c>
      <c r="Q603" s="75">
        <f t="shared" si="999"/>
        <v>0</v>
      </c>
      <c r="R603" s="75">
        <f t="shared" si="999"/>
        <v>0</v>
      </c>
      <c r="S603" s="75">
        <f t="shared" si="999"/>
        <v>0</v>
      </c>
    </row>
    <row r="604" spans="1:19" ht="30" hidden="1">
      <c r="A604" s="41"/>
      <c r="B604" s="39" t="s">
        <v>639</v>
      </c>
      <c r="C604" s="19" t="s">
        <v>177</v>
      </c>
      <c r="D604" s="75"/>
      <c r="E604" s="75"/>
      <c r="F604" s="75">
        <v>2794</v>
      </c>
      <c r="G604" s="75">
        <v>2794</v>
      </c>
      <c r="H604" s="75">
        <v>2794</v>
      </c>
      <c r="I604" s="329"/>
      <c r="J604" s="75"/>
      <c r="K604" s="72">
        <f t="shared" si="983"/>
        <v>0</v>
      </c>
      <c r="L604" s="72">
        <f t="shared" si="984"/>
        <v>0</v>
      </c>
      <c r="M604" s="75"/>
      <c r="N604" s="75"/>
      <c r="O604" s="75"/>
      <c r="P604" s="75"/>
      <c r="Q604" s="73"/>
      <c r="R604" s="73"/>
      <c r="S604" s="73"/>
    </row>
    <row r="605" spans="1:19" ht="14.25" hidden="1">
      <c r="A605" s="41" t="s">
        <v>640</v>
      </c>
      <c r="B605" s="38" t="s">
        <v>555</v>
      </c>
      <c r="C605" s="92" t="s">
        <v>637</v>
      </c>
      <c r="D605" s="83"/>
      <c r="E605" s="83">
        <f>E606</f>
        <v>0</v>
      </c>
      <c r="F605" s="83">
        <f t="shared" ref="F605:S606" si="1000">F606</f>
        <v>957</v>
      </c>
      <c r="G605" s="83">
        <f t="shared" si="1000"/>
        <v>957</v>
      </c>
      <c r="H605" s="83">
        <f t="shared" si="1000"/>
        <v>957</v>
      </c>
      <c r="I605" s="340">
        <f t="shared" si="1000"/>
        <v>0</v>
      </c>
      <c r="J605" s="83">
        <f t="shared" si="1000"/>
        <v>0</v>
      </c>
      <c r="K605" s="72">
        <f t="shared" si="983"/>
        <v>0</v>
      </c>
      <c r="L605" s="72">
        <f t="shared" si="984"/>
        <v>0</v>
      </c>
      <c r="M605" s="83">
        <f t="shared" si="1000"/>
        <v>0</v>
      </c>
      <c r="N605" s="83">
        <f t="shared" si="1000"/>
        <v>0</v>
      </c>
      <c r="O605" s="83">
        <f t="shared" si="1000"/>
        <v>0</v>
      </c>
      <c r="P605" s="83">
        <f t="shared" si="1000"/>
        <v>0</v>
      </c>
      <c r="Q605" s="83">
        <f t="shared" si="1000"/>
        <v>0</v>
      </c>
      <c r="R605" s="83">
        <f t="shared" si="1000"/>
        <v>0</v>
      </c>
      <c r="S605" s="83">
        <f t="shared" si="1000"/>
        <v>0</v>
      </c>
    </row>
    <row r="606" spans="1:19" ht="15" hidden="1">
      <c r="A606" s="41"/>
      <c r="B606" s="40" t="s">
        <v>172</v>
      </c>
      <c r="C606" s="19"/>
      <c r="D606" s="75"/>
      <c r="E606" s="75">
        <f>E607</f>
        <v>0</v>
      </c>
      <c r="F606" s="75">
        <f t="shared" si="1000"/>
        <v>957</v>
      </c>
      <c r="G606" s="75">
        <f t="shared" si="1000"/>
        <v>957</v>
      </c>
      <c r="H606" s="75">
        <f t="shared" si="1000"/>
        <v>957</v>
      </c>
      <c r="I606" s="329">
        <f t="shared" si="1000"/>
        <v>0</v>
      </c>
      <c r="J606" s="75">
        <f t="shared" si="1000"/>
        <v>0</v>
      </c>
      <c r="K606" s="72">
        <f t="shared" si="983"/>
        <v>0</v>
      </c>
      <c r="L606" s="72">
        <f t="shared" si="984"/>
        <v>0</v>
      </c>
      <c r="M606" s="75">
        <f t="shared" si="1000"/>
        <v>0</v>
      </c>
      <c r="N606" s="75">
        <f t="shared" si="1000"/>
        <v>0</v>
      </c>
      <c r="O606" s="75">
        <f t="shared" si="1000"/>
        <v>0</v>
      </c>
      <c r="P606" s="75">
        <f t="shared" si="1000"/>
        <v>0</v>
      </c>
      <c r="Q606" s="75">
        <f t="shared" si="1000"/>
        <v>0</v>
      </c>
      <c r="R606" s="75">
        <f t="shared" si="1000"/>
        <v>0</v>
      </c>
      <c r="S606" s="75">
        <f t="shared" si="1000"/>
        <v>0</v>
      </c>
    </row>
    <row r="607" spans="1:19" ht="30" hidden="1">
      <c r="A607" s="41"/>
      <c r="B607" s="39" t="s">
        <v>639</v>
      </c>
      <c r="C607" s="19" t="s">
        <v>177</v>
      </c>
      <c r="D607" s="75"/>
      <c r="E607" s="75"/>
      <c r="F607" s="75">
        <v>957</v>
      </c>
      <c r="G607" s="75">
        <v>957</v>
      </c>
      <c r="H607" s="75">
        <v>957</v>
      </c>
      <c r="I607" s="329"/>
      <c r="J607" s="75"/>
      <c r="K607" s="72">
        <f t="shared" si="983"/>
        <v>0</v>
      </c>
      <c r="L607" s="72">
        <f t="shared" si="984"/>
        <v>0</v>
      </c>
      <c r="M607" s="75"/>
      <c r="N607" s="75"/>
      <c r="O607" s="75"/>
      <c r="P607" s="75"/>
      <c r="Q607" s="73"/>
      <c r="R607" s="73"/>
      <c r="S607" s="73"/>
    </row>
    <row r="608" spans="1:19" ht="18" hidden="1" customHeight="1">
      <c r="A608" s="41" t="s">
        <v>640</v>
      </c>
      <c r="B608" s="38" t="s">
        <v>642</v>
      </c>
      <c r="C608" s="92" t="s">
        <v>637</v>
      </c>
      <c r="D608" s="83"/>
      <c r="E608" s="83">
        <f>E609</f>
        <v>0</v>
      </c>
      <c r="F608" s="83">
        <f t="shared" ref="F608:S609" si="1001">F609</f>
        <v>167</v>
      </c>
      <c r="G608" s="83">
        <f t="shared" si="1001"/>
        <v>167</v>
      </c>
      <c r="H608" s="83">
        <f t="shared" si="1001"/>
        <v>167</v>
      </c>
      <c r="I608" s="340">
        <f t="shared" si="1001"/>
        <v>0</v>
      </c>
      <c r="J608" s="83">
        <f t="shared" si="1001"/>
        <v>0</v>
      </c>
      <c r="K608" s="72">
        <f t="shared" si="983"/>
        <v>0</v>
      </c>
      <c r="L608" s="72">
        <f t="shared" si="984"/>
        <v>0</v>
      </c>
      <c r="M608" s="83">
        <f t="shared" si="1001"/>
        <v>0</v>
      </c>
      <c r="N608" s="83">
        <f t="shared" si="1001"/>
        <v>0</v>
      </c>
      <c r="O608" s="83">
        <f t="shared" si="1001"/>
        <v>0</v>
      </c>
      <c r="P608" s="83">
        <f t="shared" si="1001"/>
        <v>0</v>
      </c>
      <c r="Q608" s="83">
        <f t="shared" si="1001"/>
        <v>0</v>
      </c>
      <c r="R608" s="83">
        <f t="shared" si="1001"/>
        <v>0</v>
      </c>
      <c r="S608" s="83">
        <f t="shared" si="1001"/>
        <v>0</v>
      </c>
    </row>
    <row r="609" spans="1:19" ht="15" hidden="1">
      <c r="A609" s="41"/>
      <c r="B609" s="40" t="s">
        <v>172</v>
      </c>
      <c r="C609" s="19"/>
      <c r="D609" s="75"/>
      <c r="E609" s="75">
        <f>E610</f>
        <v>0</v>
      </c>
      <c r="F609" s="75">
        <f t="shared" si="1001"/>
        <v>167</v>
      </c>
      <c r="G609" s="75">
        <f t="shared" si="1001"/>
        <v>167</v>
      </c>
      <c r="H609" s="75">
        <f t="shared" si="1001"/>
        <v>167</v>
      </c>
      <c r="I609" s="329">
        <f t="shared" si="1001"/>
        <v>0</v>
      </c>
      <c r="J609" s="75">
        <f t="shared" si="1001"/>
        <v>0</v>
      </c>
      <c r="K609" s="72">
        <f t="shared" si="983"/>
        <v>0</v>
      </c>
      <c r="L609" s="72">
        <f t="shared" si="984"/>
        <v>0</v>
      </c>
      <c r="M609" s="75">
        <f t="shared" si="1001"/>
        <v>0</v>
      </c>
      <c r="N609" s="75">
        <f t="shared" si="1001"/>
        <v>0</v>
      </c>
      <c r="O609" s="75">
        <f t="shared" si="1001"/>
        <v>0</v>
      </c>
      <c r="P609" s="75">
        <f t="shared" si="1001"/>
        <v>0</v>
      </c>
      <c r="Q609" s="75">
        <f t="shared" si="1001"/>
        <v>0</v>
      </c>
      <c r="R609" s="75">
        <f t="shared" si="1001"/>
        <v>0</v>
      </c>
      <c r="S609" s="75">
        <f t="shared" si="1001"/>
        <v>0</v>
      </c>
    </row>
    <row r="610" spans="1:19" ht="30" hidden="1">
      <c r="A610" s="41"/>
      <c r="B610" s="39" t="s">
        <v>639</v>
      </c>
      <c r="C610" s="19" t="s">
        <v>177</v>
      </c>
      <c r="D610" s="75"/>
      <c r="E610" s="75"/>
      <c r="F610" s="75">
        <v>167</v>
      </c>
      <c r="G610" s="75">
        <v>167</v>
      </c>
      <c r="H610" s="75">
        <v>167</v>
      </c>
      <c r="I610" s="329"/>
      <c r="J610" s="75"/>
      <c r="K610" s="72">
        <f t="shared" si="983"/>
        <v>0</v>
      </c>
      <c r="L610" s="72">
        <f t="shared" si="984"/>
        <v>0</v>
      </c>
      <c r="M610" s="75"/>
      <c r="N610" s="75"/>
      <c r="O610" s="75"/>
      <c r="P610" s="75"/>
      <c r="Q610" s="73"/>
      <c r="R610" s="73"/>
      <c r="S610" s="73"/>
    </row>
    <row r="611" spans="1:19" ht="14.25" hidden="1">
      <c r="A611" s="41" t="s">
        <v>640</v>
      </c>
      <c r="B611" s="38" t="s">
        <v>641</v>
      </c>
      <c r="C611" s="92" t="s">
        <v>637</v>
      </c>
      <c r="D611" s="83"/>
      <c r="E611" s="83">
        <f>E612</f>
        <v>0</v>
      </c>
      <c r="F611" s="83">
        <f t="shared" ref="F611:S612" si="1002">F612</f>
        <v>1317</v>
      </c>
      <c r="G611" s="83">
        <f t="shared" si="1002"/>
        <v>1317</v>
      </c>
      <c r="H611" s="83">
        <f t="shared" si="1002"/>
        <v>1317</v>
      </c>
      <c r="I611" s="340">
        <f t="shared" si="1002"/>
        <v>0</v>
      </c>
      <c r="J611" s="83">
        <f t="shared" si="1002"/>
        <v>0</v>
      </c>
      <c r="K611" s="72">
        <f t="shared" si="983"/>
        <v>0</v>
      </c>
      <c r="L611" s="72">
        <f t="shared" si="984"/>
        <v>0</v>
      </c>
      <c r="M611" s="83">
        <f t="shared" si="1002"/>
        <v>0</v>
      </c>
      <c r="N611" s="83">
        <f t="shared" si="1002"/>
        <v>0</v>
      </c>
      <c r="O611" s="83">
        <f t="shared" si="1002"/>
        <v>0</v>
      </c>
      <c r="P611" s="83">
        <f t="shared" si="1002"/>
        <v>0</v>
      </c>
      <c r="Q611" s="83">
        <f t="shared" si="1002"/>
        <v>0</v>
      </c>
      <c r="R611" s="83">
        <f t="shared" si="1002"/>
        <v>0</v>
      </c>
      <c r="S611" s="83">
        <f t="shared" si="1002"/>
        <v>0</v>
      </c>
    </row>
    <row r="612" spans="1:19" ht="15" hidden="1">
      <c r="A612" s="41"/>
      <c r="B612" s="40" t="s">
        <v>172</v>
      </c>
      <c r="C612" s="19"/>
      <c r="D612" s="75"/>
      <c r="E612" s="75">
        <f>E613</f>
        <v>0</v>
      </c>
      <c r="F612" s="75">
        <f t="shared" si="1002"/>
        <v>1317</v>
      </c>
      <c r="G612" s="75">
        <f t="shared" si="1002"/>
        <v>1317</v>
      </c>
      <c r="H612" s="75">
        <f t="shared" si="1002"/>
        <v>1317</v>
      </c>
      <c r="I612" s="329">
        <f t="shared" si="1002"/>
        <v>0</v>
      </c>
      <c r="J612" s="75">
        <f t="shared" si="1002"/>
        <v>0</v>
      </c>
      <c r="K612" s="72">
        <f t="shared" si="983"/>
        <v>0</v>
      </c>
      <c r="L612" s="72">
        <f t="shared" si="984"/>
        <v>0</v>
      </c>
      <c r="M612" s="75">
        <f t="shared" si="1002"/>
        <v>0</v>
      </c>
      <c r="N612" s="75">
        <f t="shared" si="1002"/>
        <v>0</v>
      </c>
      <c r="O612" s="75">
        <f t="shared" si="1002"/>
        <v>0</v>
      </c>
      <c r="P612" s="75">
        <f t="shared" si="1002"/>
        <v>0</v>
      </c>
      <c r="Q612" s="75">
        <f t="shared" si="1002"/>
        <v>0</v>
      </c>
      <c r="R612" s="75">
        <f t="shared" si="1002"/>
        <v>0</v>
      </c>
      <c r="S612" s="75">
        <f t="shared" si="1002"/>
        <v>0</v>
      </c>
    </row>
    <row r="613" spans="1:19" ht="2.25" hidden="1" customHeight="1">
      <c r="A613" s="41"/>
      <c r="B613" s="39" t="s">
        <v>639</v>
      </c>
      <c r="C613" s="19" t="s">
        <v>177</v>
      </c>
      <c r="D613" s="75"/>
      <c r="E613" s="75"/>
      <c r="F613" s="75">
        <v>1317</v>
      </c>
      <c r="G613" s="75">
        <v>1317</v>
      </c>
      <c r="H613" s="75">
        <v>1317</v>
      </c>
      <c r="I613" s="329"/>
      <c r="J613" s="75"/>
      <c r="K613" s="72">
        <f t="shared" si="983"/>
        <v>0</v>
      </c>
      <c r="L613" s="72">
        <f t="shared" si="984"/>
        <v>0</v>
      </c>
      <c r="M613" s="75"/>
      <c r="N613" s="75"/>
      <c r="O613" s="75"/>
      <c r="P613" s="75"/>
      <c r="Q613" s="73"/>
      <c r="R613" s="73"/>
      <c r="S613" s="73"/>
    </row>
    <row r="614" spans="1:19" ht="30.75" hidden="1" customHeight="1">
      <c r="A614" s="41" t="s">
        <v>640</v>
      </c>
      <c r="B614" s="38" t="s">
        <v>643</v>
      </c>
      <c r="C614" s="92" t="s">
        <v>637</v>
      </c>
      <c r="D614" s="83"/>
      <c r="E614" s="83">
        <f>E615</f>
        <v>0</v>
      </c>
      <c r="F614" s="83">
        <f t="shared" ref="F614:S615" si="1003">F615</f>
        <v>200</v>
      </c>
      <c r="G614" s="83">
        <f t="shared" si="1003"/>
        <v>200</v>
      </c>
      <c r="H614" s="83">
        <f t="shared" si="1003"/>
        <v>200</v>
      </c>
      <c r="I614" s="340">
        <f t="shared" si="1003"/>
        <v>0</v>
      </c>
      <c r="J614" s="83">
        <f t="shared" si="1003"/>
        <v>0</v>
      </c>
      <c r="K614" s="72">
        <f t="shared" si="983"/>
        <v>0</v>
      </c>
      <c r="L614" s="72">
        <f t="shared" si="984"/>
        <v>0</v>
      </c>
      <c r="M614" s="83">
        <f t="shared" si="1003"/>
        <v>0</v>
      </c>
      <c r="N614" s="83">
        <f t="shared" si="1003"/>
        <v>0</v>
      </c>
      <c r="O614" s="83">
        <f t="shared" si="1003"/>
        <v>0</v>
      </c>
      <c r="P614" s="83">
        <f t="shared" si="1003"/>
        <v>0</v>
      </c>
      <c r="Q614" s="83">
        <f t="shared" si="1003"/>
        <v>0</v>
      </c>
      <c r="R614" s="83">
        <f t="shared" si="1003"/>
        <v>0</v>
      </c>
      <c r="S614" s="83">
        <f t="shared" si="1003"/>
        <v>0</v>
      </c>
    </row>
    <row r="615" spans="1:19" ht="15" hidden="1">
      <c r="A615" s="41"/>
      <c r="B615" s="40" t="s">
        <v>172</v>
      </c>
      <c r="C615" s="19"/>
      <c r="D615" s="75"/>
      <c r="E615" s="75">
        <f>E616</f>
        <v>0</v>
      </c>
      <c r="F615" s="75">
        <f t="shared" si="1003"/>
        <v>200</v>
      </c>
      <c r="G615" s="75">
        <f t="shared" si="1003"/>
        <v>200</v>
      </c>
      <c r="H615" s="75">
        <f t="shared" si="1003"/>
        <v>200</v>
      </c>
      <c r="I615" s="329">
        <f t="shared" si="1003"/>
        <v>0</v>
      </c>
      <c r="J615" s="75">
        <f t="shared" si="1003"/>
        <v>0</v>
      </c>
      <c r="K615" s="72">
        <f t="shared" si="983"/>
        <v>0</v>
      </c>
      <c r="L615" s="72">
        <f t="shared" si="984"/>
        <v>0</v>
      </c>
      <c r="M615" s="75">
        <f t="shared" si="1003"/>
        <v>0</v>
      </c>
      <c r="N615" s="75">
        <f t="shared" si="1003"/>
        <v>0</v>
      </c>
      <c r="O615" s="75">
        <f t="shared" si="1003"/>
        <v>0</v>
      </c>
      <c r="P615" s="75">
        <f t="shared" si="1003"/>
        <v>0</v>
      </c>
      <c r="Q615" s="75">
        <f t="shared" si="1003"/>
        <v>0</v>
      </c>
      <c r="R615" s="75">
        <f t="shared" si="1003"/>
        <v>0</v>
      </c>
      <c r="S615" s="75">
        <f t="shared" si="1003"/>
        <v>0</v>
      </c>
    </row>
    <row r="616" spans="1:19" ht="30" hidden="1">
      <c r="A616" s="41"/>
      <c r="B616" s="39" t="s">
        <v>639</v>
      </c>
      <c r="C616" s="19" t="s">
        <v>177</v>
      </c>
      <c r="D616" s="75"/>
      <c r="E616" s="75"/>
      <c r="F616" s="75">
        <v>200</v>
      </c>
      <c r="G616" s="75">
        <v>200</v>
      </c>
      <c r="H616" s="75">
        <v>200</v>
      </c>
      <c r="I616" s="329"/>
      <c r="J616" s="75"/>
      <c r="K616" s="72">
        <f t="shared" si="983"/>
        <v>0</v>
      </c>
      <c r="L616" s="72">
        <f t="shared" si="984"/>
        <v>0</v>
      </c>
      <c r="M616" s="75"/>
      <c r="N616" s="75"/>
      <c r="O616" s="75"/>
      <c r="P616" s="75"/>
      <c r="Q616" s="73"/>
      <c r="R616" s="73"/>
      <c r="S616" s="73"/>
    </row>
    <row r="617" spans="1:19" ht="14.25" hidden="1">
      <c r="A617" s="41" t="s">
        <v>640</v>
      </c>
      <c r="B617" s="38" t="s">
        <v>644</v>
      </c>
      <c r="C617" s="92" t="s">
        <v>637</v>
      </c>
      <c r="D617" s="83"/>
      <c r="E617" s="83">
        <f>E618</f>
        <v>0</v>
      </c>
      <c r="F617" s="83">
        <f t="shared" ref="F617:S618" si="1004">F618</f>
        <v>101</v>
      </c>
      <c r="G617" s="83">
        <f t="shared" si="1004"/>
        <v>101</v>
      </c>
      <c r="H617" s="83">
        <f t="shared" si="1004"/>
        <v>101</v>
      </c>
      <c r="I617" s="340">
        <f t="shared" si="1004"/>
        <v>0</v>
      </c>
      <c r="J617" s="83">
        <f t="shared" si="1004"/>
        <v>0</v>
      </c>
      <c r="K617" s="72">
        <f t="shared" si="983"/>
        <v>0</v>
      </c>
      <c r="L617" s="72">
        <f t="shared" si="984"/>
        <v>0</v>
      </c>
      <c r="M617" s="83">
        <f t="shared" si="1004"/>
        <v>0</v>
      </c>
      <c r="N617" s="83">
        <f t="shared" si="1004"/>
        <v>0</v>
      </c>
      <c r="O617" s="83">
        <f t="shared" si="1004"/>
        <v>0</v>
      </c>
      <c r="P617" s="83">
        <f t="shared" si="1004"/>
        <v>0</v>
      </c>
      <c r="Q617" s="83">
        <f t="shared" si="1004"/>
        <v>0</v>
      </c>
      <c r="R617" s="83">
        <f t="shared" si="1004"/>
        <v>0</v>
      </c>
      <c r="S617" s="83">
        <f t="shared" si="1004"/>
        <v>0</v>
      </c>
    </row>
    <row r="618" spans="1:19" ht="15" hidden="1">
      <c r="A618" s="41"/>
      <c r="B618" s="40" t="s">
        <v>172</v>
      </c>
      <c r="C618" s="19"/>
      <c r="D618" s="75"/>
      <c r="E618" s="75">
        <f>E619</f>
        <v>0</v>
      </c>
      <c r="F618" s="75">
        <f t="shared" si="1004"/>
        <v>101</v>
      </c>
      <c r="G618" s="75">
        <f t="shared" si="1004"/>
        <v>101</v>
      </c>
      <c r="H618" s="75">
        <f t="shared" si="1004"/>
        <v>101</v>
      </c>
      <c r="I618" s="329">
        <f t="shared" si="1004"/>
        <v>0</v>
      </c>
      <c r="J618" s="75">
        <f t="shared" si="1004"/>
        <v>0</v>
      </c>
      <c r="K618" s="72">
        <f t="shared" si="983"/>
        <v>0</v>
      </c>
      <c r="L618" s="72">
        <f t="shared" si="984"/>
        <v>0</v>
      </c>
      <c r="M618" s="75">
        <f t="shared" si="1004"/>
        <v>0</v>
      </c>
      <c r="N618" s="75">
        <f t="shared" si="1004"/>
        <v>0</v>
      </c>
      <c r="O618" s="75">
        <f t="shared" si="1004"/>
        <v>0</v>
      </c>
      <c r="P618" s="75">
        <f t="shared" si="1004"/>
        <v>0</v>
      </c>
      <c r="Q618" s="75">
        <f t="shared" si="1004"/>
        <v>0</v>
      </c>
      <c r="R618" s="75">
        <f t="shared" si="1004"/>
        <v>0</v>
      </c>
      <c r="S618" s="75">
        <f t="shared" si="1004"/>
        <v>0</v>
      </c>
    </row>
    <row r="619" spans="1:19" ht="30" hidden="1">
      <c r="A619" s="41"/>
      <c r="B619" s="39" t="s">
        <v>639</v>
      </c>
      <c r="C619" s="19" t="s">
        <v>177</v>
      </c>
      <c r="D619" s="75"/>
      <c r="E619" s="75"/>
      <c r="F619" s="75">
        <v>101</v>
      </c>
      <c r="G619" s="75">
        <v>101</v>
      </c>
      <c r="H619" s="75">
        <v>101</v>
      </c>
      <c r="I619" s="329"/>
      <c r="J619" s="75"/>
      <c r="K619" s="72">
        <f t="shared" si="983"/>
        <v>0</v>
      </c>
      <c r="L619" s="72">
        <f t="shared" si="984"/>
        <v>0</v>
      </c>
      <c r="M619" s="75"/>
      <c r="N619" s="75"/>
      <c r="O619" s="75"/>
      <c r="P619" s="75"/>
      <c r="Q619" s="73"/>
      <c r="R619" s="73"/>
      <c r="S619" s="73"/>
    </row>
    <row r="620" spans="1:19" ht="26.25" customHeight="1">
      <c r="A620" s="48">
        <v>3</v>
      </c>
      <c r="B620" s="465" t="s">
        <v>862</v>
      </c>
      <c r="C620" s="461" t="s">
        <v>314</v>
      </c>
      <c r="D620" s="462">
        <f t="shared" ref="D620" si="1005">D631+D642+D651+D657+D663+D673+D682+D690+D698+D703+D713</f>
        <v>58950</v>
      </c>
      <c r="E620" s="462">
        <f t="shared" ref="E620:F620" si="1006">E631+E642+E651+E657+E663+E673+E682+E690+E698+E703+E713+E717</f>
        <v>48455</v>
      </c>
      <c r="F620" s="462">
        <f t="shared" si="1006"/>
        <v>59748</v>
      </c>
      <c r="G620" s="462">
        <f>G631+G642+G651+G657+G663+G673+G682+G690+G698+G703+G713+G717</f>
        <v>60510</v>
      </c>
      <c r="H620" s="462">
        <f t="shared" ref="H620:S620" si="1007">H631+H642+H651+H657+H663+H673+H682+H690+H698+H703+H713+H717</f>
        <v>58486</v>
      </c>
      <c r="I620" s="463">
        <f t="shared" si="1007"/>
        <v>70837</v>
      </c>
      <c r="J620" s="462">
        <f t="shared" si="1007"/>
        <v>62887</v>
      </c>
      <c r="K620" s="462">
        <f t="shared" si="983"/>
        <v>0</v>
      </c>
      <c r="L620" s="462">
        <f t="shared" si="984"/>
        <v>62887</v>
      </c>
      <c r="M620" s="462">
        <f t="shared" ref="M620" si="1008">M631+M642+M651+M657+M663+M673+M682+M690+M698+M703+M713+M717</f>
        <v>18971</v>
      </c>
      <c r="N620" s="462">
        <f t="shared" ref="N620" si="1009">N631+N642+N651+N657+N663+N673+N682+N690+N698+N703+N713+N717</f>
        <v>16841</v>
      </c>
      <c r="O620" s="462">
        <f t="shared" ref="O620:P620" si="1010">O631+O642+O651+O657+O663+O673+O682+O690+O698+O703+O713+O717</f>
        <v>13886</v>
      </c>
      <c r="P620" s="462">
        <f t="shared" si="1010"/>
        <v>13189</v>
      </c>
      <c r="Q620" s="462">
        <f t="shared" si="1007"/>
        <v>61746</v>
      </c>
      <c r="R620" s="462">
        <f t="shared" si="1007"/>
        <v>61748</v>
      </c>
      <c r="S620" s="462">
        <f t="shared" si="1007"/>
        <v>61748</v>
      </c>
    </row>
    <row r="621" spans="1:19" ht="18.75" customHeight="1">
      <c r="A621" s="41"/>
      <c r="B621" s="31" t="s">
        <v>160</v>
      </c>
      <c r="C621" s="92"/>
      <c r="D621" s="81">
        <f>D632+D643+D664+D674+D683+D691+D699+D704+D714</f>
        <v>57780</v>
      </c>
      <c r="E621" s="81">
        <f t="shared" ref="E621:F621" si="1011">E632+E643+E664+E674+E683+E691+E699+E704+E714+E718</f>
        <v>44320</v>
      </c>
      <c r="F621" s="81">
        <f t="shared" si="1011"/>
        <v>57694</v>
      </c>
      <c r="G621" s="81">
        <f>G632+G643+G664+G674+G683+G691+G699+G704+G714+G718</f>
        <v>57990</v>
      </c>
      <c r="H621" s="81">
        <f t="shared" ref="H621:S621" si="1012">H632+H643+H664+H674+H683+H691+H699+H704+H714+H718</f>
        <v>56108</v>
      </c>
      <c r="I621" s="339">
        <f t="shared" si="1012"/>
        <v>66243</v>
      </c>
      <c r="J621" s="81">
        <f t="shared" si="1012"/>
        <v>62457</v>
      </c>
      <c r="K621" s="72">
        <f t="shared" si="983"/>
        <v>0</v>
      </c>
      <c r="L621" s="72">
        <f t="shared" si="984"/>
        <v>62457</v>
      </c>
      <c r="M621" s="81">
        <f t="shared" ref="M621" si="1013">M632+M643+M664+M674+M683+M691+M699+M704+M714+M718</f>
        <v>18541</v>
      </c>
      <c r="N621" s="81">
        <f t="shared" ref="N621" si="1014">N632+N643+N664+N674+N683+N691+N699+N704+N714+N718</f>
        <v>16841</v>
      </c>
      <c r="O621" s="81">
        <f t="shared" ref="O621:P621" si="1015">O632+O643+O664+O674+O683+O691+O699+O704+O714+O718</f>
        <v>13886</v>
      </c>
      <c r="P621" s="81">
        <f t="shared" si="1015"/>
        <v>13189</v>
      </c>
      <c r="Q621" s="81">
        <f t="shared" si="1012"/>
        <v>61746</v>
      </c>
      <c r="R621" s="81">
        <f t="shared" si="1012"/>
        <v>61748</v>
      </c>
      <c r="S621" s="81">
        <f t="shared" si="1012"/>
        <v>61748</v>
      </c>
    </row>
    <row r="622" spans="1:19" ht="15">
      <c r="A622" s="41"/>
      <c r="B622" s="40" t="s">
        <v>161</v>
      </c>
      <c r="C622" s="19">
        <v>1</v>
      </c>
      <c r="D622" s="76">
        <f>D633+D644+D665+D675+D684+D692+D700+D705+D715</f>
        <v>57780</v>
      </c>
      <c r="E622" s="76">
        <f t="shared" ref="E622:S622" si="1016">E633+E644+E665+E675+E684+E692+E700+E705+E715</f>
        <v>44323</v>
      </c>
      <c r="F622" s="76">
        <f t="shared" si="1016"/>
        <v>57240</v>
      </c>
      <c r="G622" s="76">
        <f t="shared" si="1016"/>
        <v>57490</v>
      </c>
      <c r="H622" s="76">
        <f t="shared" si="1016"/>
        <v>55654</v>
      </c>
      <c r="I622" s="330">
        <f t="shared" si="1016"/>
        <v>65943</v>
      </c>
      <c r="J622" s="76">
        <f t="shared" si="1016"/>
        <v>62157</v>
      </c>
      <c r="K622" s="72">
        <f t="shared" si="983"/>
        <v>0</v>
      </c>
      <c r="L622" s="72">
        <f t="shared" si="984"/>
        <v>62157</v>
      </c>
      <c r="M622" s="76">
        <f t="shared" ref="M622" si="1017">M633+M644+M665+M675+M684+M692+M700+M705+M715</f>
        <v>18541</v>
      </c>
      <c r="N622" s="76">
        <f t="shared" ref="N622" si="1018">N633+N644+N665+N675+N684+N692+N700+N705+N715</f>
        <v>16691</v>
      </c>
      <c r="O622" s="76">
        <f t="shared" ref="O622:P622" si="1019">O633+O644+O665+O675+O684+O692+O700+O705+O715</f>
        <v>13736</v>
      </c>
      <c r="P622" s="76">
        <f t="shared" si="1019"/>
        <v>13189</v>
      </c>
      <c r="Q622" s="76">
        <f t="shared" si="1016"/>
        <v>61446</v>
      </c>
      <c r="R622" s="76">
        <f t="shared" si="1016"/>
        <v>61448</v>
      </c>
      <c r="S622" s="76">
        <f t="shared" si="1016"/>
        <v>61448</v>
      </c>
    </row>
    <row r="623" spans="1:19" ht="15">
      <c r="A623" s="41"/>
      <c r="B623" s="40" t="s">
        <v>886</v>
      </c>
      <c r="C623" s="19">
        <v>20</v>
      </c>
      <c r="D623" s="76">
        <f t="shared" ref="D623:S623" si="1020">D716</f>
        <v>1200</v>
      </c>
      <c r="E623" s="76">
        <f t="shared" si="1020"/>
        <v>661</v>
      </c>
      <c r="F623" s="76">
        <f t="shared" si="1020"/>
        <v>930</v>
      </c>
      <c r="G623" s="76">
        <f t="shared" si="1020"/>
        <v>1200</v>
      </c>
      <c r="H623" s="76">
        <f t="shared" si="1020"/>
        <v>930</v>
      </c>
      <c r="I623" s="330">
        <f t="shared" si="1020"/>
        <v>1100</v>
      </c>
      <c r="J623" s="76">
        <f t="shared" si="1020"/>
        <v>1000</v>
      </c>
      <c r="K623" s="72">
        <f t="shared" si="983"/>
        <v>0</v>
      </c>
      <c r="L623" s="72">
        <f t="shared" si="984"/>
        <v>1000</v>
      </c>
      <c r="M623" s="76">
        <f t="shared" ref="M623" si="1021">M716</f>
        <v>300</v>
      </c>
      <c r="N623" s="76">
        <f t="shared" ref="N623" si="1022">N716</f>
        <v>300</v>
      </c>
      <c r="O623" s="76">
        <f t="shared" ref="O623:P623" si="1023">O716</f>
        <v>300</v>
      </c>
      <c r="P623" s="76">
        <f t="shared" si="1023"/>
        <v>100</v>
      </c>
      <c r="Q623" s="76">
        <f t="shared" si="1020"/>
        <v>1000</v>
      </c>
      <c r="R623" s="76">
        <f t="shared" si="1020"/>
        <v>1000</v>
      </c>
      <c r="S623" s="76">
        <f t="shared" si="1020"/>
        <v>1000</v>
      </c>
    </row>
    <row r="624" spans="1:19" ht="15">
      <c r="A624" s="41"/>
      <c r="B624" s="40" t="s">
        <v>259</v>
      </c>
      <c r="C624" s="19">
        <v>51</v>
      </c>
      <c r="D624" s="76">
        <f t="shared" ref="D624:S624" si="1024">D634+D645+D666+D676+D685+D693+D706</f>
        <v>42740</v>
      </c>
      <c r="E624" s="76">
        <f t="shared" si="1024"/>
        <v>30171</v>
      </c>
      <c r="F624" s="76">
        <f t="shared" si="1024"/>
        <v>42470</v>
      </c>
      <c r="G624" s="76">
        <f t="shared" si="1024"/>
        <v>42450</v>
      </c>
      <c r="H624" s="76">
        <f t="shared" si="1024"/>
        <v>41017</v>
      </c>
      <c r="I624" s="330">
        <f t="shared" si="1024"/>
        <v>50920</v>
      </c>
      <c r="J624" s="76">
        <f t="shared" si="1024"/>
        <v>46417</v>
      </c>
      <c r="K624" s="72">
        <f t="shared" si="983"/>
        <v>0</v>
      </c>
      <c r="L624" s="72">
        <f t="shared" si="984"/>
        <v>46417</v>
      </c>
      <c r="M624" s="76">
        <f t="shared" ref="M624" si="1025">M634+M645+M666+M676+M685+M693+M706</f>
        <v>12971</v>
      </c>
      <c r="N624" s="76">
        <f t="shared" ref="N624" si="1026">N634+N645+N666+N676+N685+N693+N706</f>
        <v>11621</v>
      </c>
      <c r="O624" s="76">
        <f t="shared" ref="O624:P624" si="1027">O634+O645+O666+O676+O685+O693+O706</f>
        <v>11335</v>
      </c>
      <c r="P624" s="76">
        <f t="shared" si="1027"/>
        <v>10490</v>
      </c>
      <c r="Q624" s="76">
        <f t="shared" si="1024"/>
        <v>46523</v>
      </c>
      <c r="R624" s="76">
        <f t="shared" si="1024"/>
        <v>46525</v>
      </c>
      <c r="S624" s="76">
        <f t="shared" si="1024"/>
        <v>46525</v>
      </c>
    </row>
    <row r="625" spans="1:19" ht="15" customHeight="1">
      <c r="A625" s="41"/>
      <c r="B625" s="40" t="s">
        <v>169</v>
      </c>
      <c r="C625" s="19">
        <v>59</v>
      </c>
      <c r="D625" s="76">
        <f t="shared" ref="D625" si="1028">D701</f>
        <v>13840</v>
      </c>
      <c r="E625" s="76">
        <f>E701+E719</f>
        <v>13491</v>
      </c>
      <c r="F625" s="76">
        <f t="shared" ref="F625:S625" si="1029">F701+F719</f>
        <v>14294</v>
      </c>
      <c r="G625" s="76">
        <f t="shared" si="1029"/>
        <v>14340</v>
      </c>
      <c r="H625" s="76">
        <f t="shared" si="1029"/>
        <v>14161</v>
      </c>
      <c r="I625" s="330">
        <f t="shared" si="1029"/>
        <v>14223</v>
      </c>
      <c r="J625" s="76">
        <f t="shared" si="1029"/>
        <v>15040</v>
      </c>
      <c r="K625" s="72">
        <f t="shared" si="983"/>
        <v>0</v>
      </c>
      <c r="L625" s="72">
        <f t="shared" si="984"/>
        <v>15040</v>
      </c>
      <c r="M625" s="76">
        <f t="shared" ref="M625" si="1030">M701+M719</f>
        <v>5270</v>
      </c>
      <c r="N625" s="76">
        <f t="shared" ref="N625" si="1031">N701+N719</f>
        <v>4920</v>
      </c>
      <c r="O625" s="76">
        <f t="shared" ref="O625:P625" si="1032">O701+O719</f>
        <v>2251</v>
      </c>
      <c r="P625" s="76">
        <f t="shared" si="1032"/>
        <v>2599</v>
      </c>
      <c r="Q625" s="76">
        <f t="shared" si="1029"/>
        <v>14223</v>
      </c>
      <c r="R625" s="76">
        <f t="shared" si="1029"/>
        <v>14223</v>
      </c>
      <c r="S625" s="76">
        <f t="shared" si="1029"/>
        <v>14223</v>
      </c>
    </row>
    <row r="626" spans="1:19" ht="15" customHeight="1">
      <c r="A626" s="41"/>
      <c r="B626" s="40" t="s">
        <v>171</v>
      </c>
      <c r="C626" s="92">
        <v>85.01</v>
      </c>
      <c r="D626" s="81">
        <f t="shared" ref="D626:S626" si="1033">D637+D709</f>
        <v>0</v>
      </c>
      <c r="E626" s="81">
        <f>E637+E709+E648+E702</f>
        <v>-3</v>
      </c>
      <c r="F626" s="81">
        <f t="shared" ref="F626:J626" si="1034">F637+F709</f>
        <v>0</v>
      </c>
      <c r="G626" s="81">
        <f t="shared" si="1034"/>
        <v>0</v>
      </c>
      <c r="H626" s="81">
        <f t="shared" si="1034"/>
        <v>0</v>
      </c>
      <c r="I626" s="339">
        <f t="shared" si="1034"/>
        <v>0</v>
      </c>
      <c r="J626" s="81">
        <f t="shared" si="1034"/>
        <v>0</v>
      </c>
      <c r="K626" s="72">
        <f t="shared" si="983"/>
        <v>0</v>
      </c>
      <c r="L626" s="72">
        <f t="shared" si="984"/>
        <v>0</v>
      </c>
      <c r="M626" s="81">
        <f t="shared" ref="M626" si="1035">M637+M709</f>
        <v>0</v>
      </c>
      <c r="N626" s="81">
        <f t="shared" ref="N626" si="1036">N637+N709</f>
        <v>0</v>
      </c>
      <c r="O626" s="81">
        <f t="shared" ref="O626:P626" si="1037">O637+O709</f>
        <v>0</v>
      </c>
      <c r="P626" s="81">
        <f t="shared" si="1037"/>
        <v>0</v>
      </c>
      <c r="Q626" s="81">
        <f t="shared" si="1033"/>
        <v>0</v>
      </c>
      <c r="R626" s="81">
        <f t="shared" si="1033"/>
        <v>0</v>
      </c>
      <c r="S626" s="81">
        <f t="shared" si="1033"/>
        <v>0</v>
      </c>
    </row>
    <row r="627" spans="1:19" ht="15" customHeight="1">
      <c r="A627" s="41"/>
      <c r="B627" s="33" t="s">
        <v>172</v>
      </c>
      <c r="C627" s="19"/>
      <c r="D627" s="81">
        <f t="shared" ref="D627:S627" si="1038">D639+D649+D652+D658+D670+D680+D688+D696+D710</f>
        <v>1170</v>
      </c>
      <c r="E627" s="81">
        <f t="shared" si="1038"/>
        <v>4135</v>
      </c>
      <c r="F627" s="81">
        <f t="shared" si="1038"/>
        <v>2054</v>
      </c>
      <c r="G627" s="81">
        <f t="shared" si="1038"/>
        <v>2520</v>
      </c>
      <c r="H627" s="81">
        <f t="shared" si="1038"/>
        <v>2378</v>
      </c>
      <c r="I627" s="339">
        <f t="shared" si="1038"/>
        <v>4594</v>
      </c>
      <c r="J627" s="81">
        <f t="shared" si="1038"/>
        <v>430</v>
      </c>
      <c r="K627" s="72">
        <f t="shared" si="983"/>
        <v>0</v>
      </c>
      <c r="L627" s="72">
        <f t="shared" si="984"/>
        <v>430</v>
      </c>
      <c r="M627" s="81">
        <f t="shared" ref="M627" si="1039">M639+M649+M652+M658+M670+M680+M688+M696+M710</f>
        <v>430</v>
      </c>
      <c r="N627" s="81">
        <f t="shared" ref="N627" si="1040">N639+N649+N652+N658+N670+N680+N688+N696+N710</f>
        <v>0</v>
      </c>
      <c r="O627" s="81">
        <f t="shared" ref="O627:P627" si="1041">O639+O649+O652+O658+O670+O680+O688+O696+O710</f>
        <v>0</v>
      </c>
      <c r="P627" s="81">
        <f t="shared" si="1041"/>
        <v>0</v>
      </c>
      <c r="Q627" s="81">
        <f t="shared" si="1038"/>
        <v>0</v>
      </c>
      <c r="R627" s="81">
        <f t="shared" si="1038"/>
        <v>0</v>
      </c>
      <c r="S627" s="81">
        <f t="shared" si="1038"/>
        <v>0</v>
      </c>
    </row>
    <row r="628" spans="1:19" ht="14.25" customHeight="1">
      <c r="A628" s="41"/>
      <c r="B628" s="40" t="s">
        <v>178</v>
      </c>
      <c r="C628" s="19">
        <v>51</v>
      </c>
      <c r="D628" s="81">
        <f t="shared" ref="D628:J628" si="1042">D641+D650+D672+D681+D689+D697+D712</f>
        <v>1010</v>
      </c>
      <c r="E628" s="81">
        <f t="shared" si="1042"/>
        <v>3790</v>
      </c>
      <c r="F628" s="81">
        <f t="shared" si="1042"/>
        <v>1894</v>
      </c>
      <c r="G628" s="81">
        <f t="shared" si="1042"/>
        <v>2360</v>
      </c>
      <c r="H628" s="81">
        <f t="shared" si="1042"/>
        <v>2218</v>
      </c>
      <c r="I628" s="339">
        <f t="shared" si="1042"/>
        <v>4434</v>
      </c>
      <c r="J628" s="81">
        <f t="shared" si="1042"/>
        <v>270</v>
      </c>
      <c r="K628" s="72">
        <f t="shared" si="983"/>
        <v>0</v>
      </c>
      <c r="L628" s="72">
        <f t="shared" si="984"/>
        <v>270</v>
      </c>
      <c r="M628" s="81">
        <f t="shared" ref="M628" si="1043">M641+M650+M672+M681+M689+M697+M712</f>
        <v>270</v>
      </c>
      <c r="N628" s="81">
        <f t="shared" ref="N628" si="1044">N641+N650+N672+N681+N689+N697+N712</f>
        <v>0</v>
      </c>
      <c r="O628" s="81">
        <f t="shared" ref="O628:P628" si="1045">O641+O650+O672+O681+O689+O697+O712</f>
        <v>0</v>
      </c>
      <c r="P628" s="81">
        <f t="shared" si="1045"/>
        <v>0</v>
      </c>
      <c r="Q628" s="81">
        <f>Q641+Q650+Q672+Q681+Q689+Q697+Q712</f>
        <v>0</v>
      </c>
      <c r="R628" s="81">
        <f>R641+R650+R672+R681+R689+R697+R712</f>
        <v>0</v>
      </c>
      <c r="S628" s="81">
        <f>S641+S650+S672+S681+S689+S697+S712</f>
        <v>0</v>
      </c>
    </row>
    <row r="629" spans="1:19" ht="13.5" customHeight="1">
      <c r="A629" s="41"/>
      <c r="B629" s="40" t="s">
        <v>180</v>
      </c>
      <c r="C629" s="19">
        <v>55</v>
      </c>
      <c r="D629" s="81">
        <f t="shared" ref="D629:S629" si="1046">D711</f>
        <v>0</v>
      </c>
      <c r="E629" s="81">
        <f t="shared" si="1046"/>
        <v>0</v>
      </c>
      <c r="F629" s="81">
        <f t="shared" si="1046"/>
        <v>0</v>
      </c>
      <c r="G629" s="81">
        <f t="shared" si="1046"/>
        <v>0</v>
      </c>
      <c r="H629" s="81">
        <f t="shared" si="1046"/>
        <v>0</v>
      </c>
      <c r="I629" s="339">
        <f t="shared" si="1046"/>
        <v>0</v>
      </c>
      <c r="J629" s="81">
        <f t="shared" si="1046"/>
        <v>0</v>
      </c>
      <c r="K629" s="72">
        <f t="shared" si="983"/>
        <v>0</v>
      </c>
      <c r="L629" s="72">
        <f t="shared" si="984"/>
        <v>0</v>
      </c>
      <c r="M629" s="81">
        <f t="shared" ref="M629" si="1047">M711</f>
        <v>0</v>
      </c>
      <c r="N629" s="81">
        <f t="shared" ref="N629" si="1048">N711</f>
        <v>0</v>
      </c>
      <c r="O629" s="81">
        <f t="shared" ref="O629:P629" si="1049">O711</f>
        <v>0</v>
      </c>
      <c r="P629" s="81">
        <f t="shared" si="1049"/>
        <v>0</v>
      </c>
      <c r="Q629" s="81">
        <f t="shared" si="1046"/>
        <v>0</v>
      </c>
      <c r="R629" s="81">
        <f t="shared" si="1046"/>
        <v>0</v>
      </c>
      <c r="S629" s="81">
        <f t="shared" si="1046"/>
        <v>0</v>
      </c>
    </row>
    <row r="630" spans="1:19" ht="12" customHeight="1">
      <c r="A630" s="41"/>
      <c r="B630" s="40" t="s">
        <v>181</v>
      </c>
      <c r="C630" s="19">
        <v>56</v>
      </c>
      <c r="D630" s="76">
        <f t="shared" ref="D630:S630" si="1050">D640+D653+D659</f>
        <v>160</v>
      </c>
      <c r="E630" s="76">
        <f t="shared" si="1050"/>
        <v>345</v>
      </c>
      <c r="F630" s="76">
        <f t="shared" si="1050"/>
        <v>160</v>
      </c>
      <c r="G630" s="76">
        <f t="shared" si="1050"/>
        <v>160</v>
      </c>
      <c r="H630" s="76">
        <f t="shared" si="1050"/>
        <v>160</v>
      </c>
      <c r="I630" s="330">
        <f t="shared" si="1050"/>
        <v>160</v>
      </c>
      <c r="J630" s="76">
        <f t="shared" si="1050"/>
        <v>160</v>
      </c>
      <c r="K630" s="72">
        <f t="shared" si="983"/>
        <v>0</v>
      </c>
      <c r="L630" s="72">
        <f t="shared" si="984"/>
        <v>160</v>
      </c>
      <c r="M630" s="76">
        <f t="shared" ref="M630" si="1051">M640+M653+M659</f>
        <v>160</v>
      </c>
      <c r="N630" s="76">
        <f t="shared" ref="N630" si="1052">N640+N653+N659</f>
        <v>0</v>
      </c>
      <c r="O630" s="76">
        <f t="shared" ref="O630:P630" si="1053">O640+O653+O659</f>
        <v>0</v>
      </c>
      <c r="P630" s="76">
        <f t="shared" si="1053"/>
        <v>0</v>
      </c>
      <c r="Q630" s="76">
        <f t="shared" si="1050"/>
        <v>0</v>
      </c>
      <c r="R630" s="76">
        <f t="shared" si="1050"/>
        <v>0</v>
      </c>
      <c r="S630" s="76">
        <f t="shared" si="1050"/>
        <v>0</v>
      </c>
    </row>
    <row r="631" spans="1:19" ht="14.25">
      <c r="A631" s="41" t="s">
        <v>315</v>
      </c>
      <c r="B631" s="59" t="s">
        <v>316</v>
      </c>
      <c r="C631" s="19" t="s">
        <v>317</v>
      </c>
      <c r="D631" s="81">
        <f t="shared" ref="D631:S631" si="1054">D632+D639</f>
        <v>5599</v>
      </c>
      <c r="E631" s="81">
        <f t="shared" si="1054"/>
        <v>3782</v>
      </c>
      <c r="F631" s="81">
        <f t="shared" si="1054"/>
        <v>5469</v>
      </c>
      <c r="G631" s="81">
        <f t="shared" si="1054"/>
        <v>5599</v>
      </c>
      <c r="H631" s="81">
        <f t="shared" si="1054"/>
        <v>5566</v>
      </c>
      <c r="I631" s="339">
        <f t="shared" si="1054"/>
        <v>7380</v>
      </c>
      <c r="J631" s="81">
        <f t="shared" si="1054"/>
        <v>6207</v>
      </c>
      <c r="K631" s="72">
        <f t="shared" si="983"/>
        <v>0</v>
      </c>
      <c r="L631" s="72">
        <f t="shared" si="984"/>
        <v>6207</v>
      </c>
      <c r="M631" s="81">
        <f t="shared" ref="M631" si="1055">M632+M639</f>
        <v>1896</v>
      </c>
      <c r="N631" s="81">
        <f t="shared" ref="N631" si="1056">N632+N639</f>
        <v>1461</v>
      </c>
      <c r="O631" s="81">
        <f t="shared" ref="O631:P631" si="1057">O632+O639</f>
        <v>1450</v>
      </c>
      <c r="P631" s="81">
        <f t="shared" si="1057"/>
        <v>1400</v>
      </c>
      <c r="Q631" s="81">
        <f t="shared" si="1054"/>
        <v>6128</v>
      </c>
      <c r="R631" s="81">
        <f t="shared" si="1054"/>
        <v>6130</v>
      </c>
      <c r="S631" s="81">
        <f t="shared" si="1054"/>
        <v>6130</v>
      </c>
    </row>
    <row r="632" spans="1:19" ht="14.25">
      <c r="A632" s="41"/>
      <c r="B632" s="31" t="s">
        <v>160</v>
      </c>
      <c r="C632" s="19"/>
      <c r="D632" s="81">
        <f t="shared" ref="D632:S632" si="1058">D633+D637</f>
        <v>5514</v>
      </c>
      <c r="E632" s="81">
        <f t="shared" si="1058"/>
        <v>3550</v>
      </c>
      <c r="F632" s="81">
        <f t="shared" si="1058"/>
        <v>5244</v>
      </c>
      <c r="G632" s="81">
        <f t="shared" si="1058"/>
        <v>5373</v>
      </c>
      <c r="H632" s="81">
        <f t="shared" si="1058"/>
        <v>5341</v>
      </c>
      <c r="I632" s="339">
        <f t="shared" si="1058"/>
        <v>6843</v>
      </c>
      <c r="J632" s="81">
        <f t="shared" si="1058"/>
        <v>6122</v>
      </c>
      <c r="K632" s="72">
        <f t="shared" si="983"/>
        <v>0</v>
      </c>
      <c r="L632" s="72">
        <f t="shared" si="984"/>
        <v>6122</v>
      </c>
      <c r="M632" s="81">
        <f t="shared" ref="M632" si="1059">M633+M637</f>
        <v>1811</v>
      </c>
      <c r="N632" s="81">
        <f t="shared" ref="N632" si="1060">N633+N637</f>
        <v>1461</v>
      </c>
      <c r="O632" s="81">
        <f t="shared" ref="O632:P632" si="1061">O633+O637</f>
        <v>1450</v>
      </c>
      <c r="P632" s="81">
        <f t="shared" si="1061"/>
        <v>1400</v>
      </c>
      <c r="Q632" s="81">
        <f t="shared" si="1058"/>
        <v>6128</v>
      </c>
      <c r="R632" s="81">
        <f t="shared" si="1058"/>
        <v>6130</v>
      </c>
      <c r="S632" s="81">
        <f t="shared" si="1058"/>
        <v>6130</v>
      </c>
    </row>
    <row r="633" spans="1:19" ht="15">
      <c r="A633" s="41"/>
      <c r="B633" s="40" t="s">
        <v>161</v>
      </c>
      <c r="C633" s="19">
        <v>1</v>
      </c>
      <c r="D633" s="76">
        <f t="shared" ref="D633:S633" si="1062">D634</f>
        <v>5514</v>
      </c>
      <c r="E633" s="76">
        <f t="shared" si="1062"/>
        <v>3550</v>
      </c>
      <c r="F633" s="76">
        <f t="shared" si="1062"/>
        <v>5244</v>
      </c>
      <c r="G633" s="76">
        <f t="shared" si="1062"/>
        <v>5373</v>
      </c>
      <c r="H633" s="76">
        <f t="shared" si="1062"/>
        <v>5341</v>
      </c>
      <c r="I633" s="330">
        <f t="shared" si="1062"/>
        <v>6843</v>
      </c>
      <c r="J633" s="76">
        <f t="shared" si="1062"/>
        <v>6122</v>
      </c>
      <c r="K633" s="72">
        <f t="shared" si="983"/>
        <v>0</v>
      </c>
      <c r="L633" s="72">
        <f t="shared" si="984"/>
        <v>6122</v>
      </c>
      <c r="M633" s="76">
        <f t="shared" si="1062"/>
        <v>1811</v>
      </c>
      <c r="N633" s="76">
        <f t="shared" si="1062"/>
        <v>1461</v>
      </c>
      <c r="O633" s="76">
        <f t="shared" si="1062"/>
        <v>1450</v>
      </c>
      <c r="P633" s="76">
        <f t="shared" si="1062"/>
        <v>1400</v>
      </c>
      <c r="Q633" s="76">
        <f t="shared" si="1062"/>
        <v>6128</v>
      </c>
      <c r="R633" s="76">
        <f t="shared" si="1062"/>
        <v>6130</v>
      </c>
      <c r="S633" s="76">
        <f t="shared" si="1062"/>
        <v>6130</v>
      </c>
    </row>
    <row r="634" spans="1:19" ht="15">
      <c r="A634" s="41"/>
      <c r="B634" s="40" t="s">
        <v>259</v>
      </c>
      <c r="C634" s="19" t="s">
        <v>225</v>
      </c>
      <c r="D634" s="76">
        <f t="shared" ref="D634:S634" si="1063">D635+D636+D638</f>
        <v>5514</v>
      </c>
      <c r="E634" s="76">
        <f t="shared" si="1063"/>
        <v>3550</v>
      </c>
      <c r="F634" s="76">
        <f t="shared" si="1063"/>
        <v>5244</v>
      </c>
      <c r="G634" s="76">
        <f t="shared" si="1063"/>
        <v>5373</v>
      </c>
      <c r="H634" s="76">
        <f t="shared" si="1063"/>
        <v>5341</v>
      </c>
      <c r="I634" s="330">
        <f t="shared" si="1063"/>
        <v>6843</v>
      </c>
      <c r="J634" s="76">
        <f t="shared" si="1063"/>
        <v>6122</v>
      </c>
      <c r="K634" s="72">
        <f t="shared" si="983"/>
        <v>0</v>
      </c>
      <c r="L634" s="72">
        <f t="shared" si="984"/>
        <v>6122</v>
      </c>
      <c r="M634" s="76">
        <f t="shared" ref="M634" si="1064">M635+M636+M638</f>
        <v>1811</v>
      </c>
      <c r="N634" s="76">
        <f t="shared" ref="N634" si="1065">N635+N636+N638</f>
        <v>1461</v>
      </c>
      <c r="O634" s="76">
        <f t="shared" ref="O634:P634" si="1066">O635+O636+O638</f>
        <v>1450</v>
      </c>
      <c r="P634" s="76">
        <f t="shared" si="1066"/>
        <v>1400</v>
      </c>
      <c r="Q634" s="76">
        <f t="shared" si="1063"/>
        <v>6128</v>
      </c>
      <c r="R634" s="76">
        <f t="shared" si="1063"/>
        <v>6130</v>
      </c>
      <c r="S634" s="76">
        <f t="shared" si="1063"/>
        <v>6130</v>
      </c>
    </row>
    <row r="635" spans="1:19" ht="15" customHeight="1">
      <c r="A635" s="41"/>
      <c r="B635" s="40" t="s">
        <v>162</v>
      </c>
      <c r="C635" s="19">
        <v>10</v>
      </c>
      <c r="D635" s="75">
        <v>4000</v>
      </c>
      <c r="E635" s="75">
        <v>2454</v>
      </c>
      <c r="F635" s="75">
        <v>3735</v>
      </c>
      <c r="G635" s="75">
        <v>3763</v>
      </c>
      <c r="H635" s="75">
        <v>3735</v>
      </c>
      <c r="I635" s="329">
        <v>4778</v>
      </c>
      <c r="J635" s="75">
        <v>4700</v>
      </c>
      <c r="K635" s="72">
        <f t="shared" si="983"/>
        <v>0</v>
      </c>
      <c r="L635" s="72">
        <f t="shared" si="984"/>
        <v>4700</v>
      </c>
      <c r="M635" s="75">
        <v>1400</v>
      </c>
      <c r="N635" s="75">
        <v>1100</v>
      </c>
      <c r="O635" s="75">
        <v>1100</v>
      </c>
      <c r="P635" s="75">
        <v>1100</v>
      </c>
      <c r="Q635" s="73">
        <v>4700</v>
      </c>
      <c r="R635" s="73">
        <v>4700</v>
      </c>
      <c r="S635" s="73">
        <v>4700</v>
      </c>
    </row>
    <row r="636" spans="1:19" ht="14.25" customHeight="1">
      <c r="A636" s="41"/>
      <c r="B636" s="40" t="s">
        <v>886</v>
      </c>
      <c r="C636" s="19">
        <v>20</v>
      </c>
      <c r="D636" s="75">
        <f>1400+100</f>
        <v>1500</v>
      </c>
      <c r="E636" s="75">
        <v>1093</v>
      </c>
      <c r="F636" s="136">
        <v>1500</v>
      </c>
      <c r="G636" s="75">
        <v>1601</v>
      </c>
      <c r="H636" s="75">
        <v>1597</v>
      </c>
      <c r="I636" s="329">
        <v>2043</v>
      </c>
      <c r="J636" s="75">
        <v>1400</v>
      </c>
      <c r="K636" s="72">
        <f t="shared" si="983"/>
        <v>0</v>
      </c>
      <c r="L636" s="72">
        <f t="shared" si="984"/>
        <v>1400</v>
      </c>
      <c r="M636" s="75">
        <v>400</v>
      </c>
      <c r="N636" s="75">
        <v>350</v>
      </c>
      <c r="O636" s="75">
        <v>350</v>
      </c>
      <c r="P636" s="75">
        <v>300</v>
      </c>
      <c r="Q636" s="73">
        <v>1400</v>
      </c>
      <c r="R636" s="73">
        <v>1400</v>
      </c>
      <c r="S636" s="73">
        <v>1400</v>
      </c>
    </row>
    <row r="637" spans="1:19" ht="20.25" hidden="1" customHeight="1">
      <c r="A637" s="41"/>
      <c r="B637" s="40" t="s">
        <v>171</v>
      </c>
      <c r="C637" s="19" t="s">
        <v>260</v>
      </c>
      <c r="D637" s="75"/>
      <c r="E637" s="73"/>
      <c r="F637" s="75"/>
      <c r="G637" s="75"/>
      <c r="H637" s="75"/>
      <c r="I637" s="329"/>
      <c r="J637" s="75"/>
      <c r="K637" s="72">
        <f t="shared" si="983"/>
        <v>0</v>
      </c>
      <c r="L637" s="72">
        <f t="shared" si="984"/>
        <v>0</v>
      </c>
      <c r="M637" s="75"/>
      <c r="N637" s="75"/>
      <c r="O637" s="75"/>
      <c r="P637" s="75"/>
      <c r="Q637" s="73"/>
      <c r="R637" s="73"/>
      <c r="S637" s="73"/>
    </row>
    <row r="638" spans="1:19" ht="16.5" customHeight="1">
      <c r="A638" s="41"/>
      <c r="B638" s="40" t="s">
        <v>470</v>
      </c>
      <c r="C638" s="19">
        <v>59</v>
      </c>
      <c r="D638" s="75">
        <v>14</v>
      </c>
      <c r="E638" s="75">
        <v>3</v>
      </c>
      <c r="F638" s="75">
        <v>9</v>
      </c>
      <c r="G638" s="75">
        <v>9</v>
      </c>
      <c r="H638" s="75">
        <v>9</v>
      </c>
      <c r="I638" s="329">
        <v>22</v>
      </c>
      <c r="J638" s="75">
        <v>22</v>
      </c>
      <c r="K638" s="72">
        <f t="shared" si="983"/>
        <v>0</v>
      </c>
      <c r="L638" s="72">
        <f t="shared" si="984"/>
        <v>22</v>
      </c>
      <c r="M638" s="75">
        <v>11</v>
      </c>
      <c r="N638" s="75">
        <v>11</v>
      </c>
      <c r="O638" s="75"/>
      <c r="P638" s="75"/>
      <c r="Q638" s="73">
        <v>28</v>
      </c>
      <c r="R638" s="73">
        <v>30</v>
      </c>
      <c r="S638" s="73">
        <v>30</v>
      </c>
    </row>
    <row r="639" spans="1:19" ht="14.25" customHeight="1">
      <c r="A639" s="41"/>
      <c r="B639" s="33" t="s">
        <v>172</v>
      </c>
      <c r="C639" s="19"/>
      <c r="D639" s="76">
        <f t="shared" ref="D639:S639" si="1067">D640+D641</f>
        <v>85</v>
      </c>
      <c r="E639" s="76">
        <f t="shared" si="1067"/>
        <v>232</v>
      </c>
      <c r="F639" s="76">
        <f t="shared" si="1067"/>
        <v>225</v>
      </c>
      <c r="G639" s="76">
        <f t="shared" si="1067"/>
        <v>226</v>
      </c>
      <c r="H639" s="76">
        <f t="shared" si="1067"/>
        <v>225</v>
      </c>
      <c r="I639" s="330">
        <f t="shared" si="1067"/>
        <v>537</v>
      </c>
      <c r="J639" s="76">
        <f t="shared" si="1067"/>
        <v>85</v>
      </c>
      <c r="K639" s="72">
        <f t="shared" si="983"/>
        <v>0</v>
      </c>
      <c r="L639" s="72">
        <f t="shared" si="984"/>
        <v>85</v>
      </c>
      <c r="M639" s="76">
        <f t="shared" ref="M639" si="1068">M640+M641</f>
        <v>85</v>
      </c>
      <c r="N639" s="76">
        <f t="shared" ref="N639" si="1069">N640+N641</f>
        <v>0</v>
      </c>
      <c r="O639" s="76">
        <f t="shared" ref="O639:P639" si="1070">O640+O641</f>
        <v>0</v>
      </c>
      <c r="P639" s="76">
        <f t="shared" si="1070"/>
        <v>0</v>
      </c>
      <c r="Q639" s="76">
        <f t="shared" si="1067"/>
        <v>0</v>
      </c>
      <c r="R639" s="76">
        <f t="shared" si="1067"/>
        <v>0</v>
      </c>
      <c r="S639" s="76">
        <f t="shared" si="1067"/>
        <v>0</v>
      </c>
    </row>
    <row r="640" spans="1:19" ht="17.25" hidden="1" customHeight="1">
      <c r="A640" s="41"/>
      <c r="B640" s="23" t="s">
        <v>181</v>
      </c>
      <c r="C640" s="19" t="s">
        <v>318</v>
      </c>
      <c r="D640" s="75"/>
      <c r="E640" s="75"/>
      <c r="F640" s="75"/>
      <c r="G640" s="75"/>
      <c r="H640" s="75"/>
      <c r="I640" s="329"/>
      <c r="J640" s="75"/>
      <c r="K640" s="72">
        <f t="shared" si="983"/>
        <v>0</v>
      </c>
      <c r="L640" s="72">
        <f t="shared" si="984"/>
        <v>0</v>
      </c>
      <c r="M640" s="75"/>
      <c r="N640" s="75"/>
      <c r="O640" s="75"/>
      <c r="P640" s="75"/>
      <c r="Q640" s="73"/>
      <c r="R640" s="73"/>
      <c r="S640" s="73"/>
    </row>
    <row r="641" spans="1:19" ht="15.75" customHeight="1">
      <c r="A641" s="41"/>
      <c r="B641" s="40" t="s">
        <v>178</v>
      </c>
      <c r="C641" s="19" t="s">
        <v>179</v>
      </c>
      <c r="D641" s="75">
        <v>85</v>
      </c>
      <c r="E641" s="75">
        <v>232</v>
      </c>
      <c r="F641" s="75">
        <v>225</v>
      </c>
      <c r="G641" s="75">
        <f>85+141</f>
        <v>226</v>
      </c>
      <c r="H641" s="75">
        <f>85+140</f>
        <v>225</v>
      </c>
      <c r="I641" s="329">
        <f>85+452</f>
        <v>537</v>
      </c>
      <c r="J641" s="75">
        <v>85</v>
      </c>
      <c r="K641" s="72">
        <f t="shared" si="983"/>
        <v>0</v>
      </c>
      <c r="L641" s="72">
        <f t="shared" si="984"/>
        <v>85</v>
      </c>
      <c r="M641" s="75">
        <v>85</v>
      </c>
      <c r="N641" s="75"/>
      <c r="O641" s="75"/>
      <c r="P641" s="75"/>
      <c r="Q641" s="73"/>
      <c r="R641" s="73"/>
      <c r="S641" s="73"/>
    </row>
    <row r="642" spans="1:19" ht="14.25">
      <c r="A642" s="60" t="s">
        <v>319</v>
      </c>
      <c r="B642" s="59" t="s">
        <v>320</v>
      </c>
      <c r="C642" s="19" t="s">
        <v>321</v>
      </c>
      <c r="D642" s="81">
        <f t="shared" ref="D642:S642" si="1071">D643+D649</f>
        <v>6950</v>
      </c>
      <c r="E642" s="81">
        <f t="shared" si="1071"/>
        <v>6131</v>
      </c>
      <c r="F642" s="81">
        <f t="shared" si="1071"/>
        <v>7174</v>
      </c>
      <c r="G642" s="81">
        <f t="shared" si="1071"/>
        <v>7174</v>
      </c>
      <c r="H642" s="81">
        <f t="shared" si="1071"/>
        <v>6572</v>
      </c>
      <c r="I642" s="339">
        <f t="shared" si="1071"/>
        <v>8472</v>
      </c>
      <c r="J642" s="81">
        <f t="shared" si="1071"/>
        <v>6952</v>
      </c>
      <c r="K642" s="72">
        <f t="shared" si="983"/>
        <v>0</v>
      </c>
      <c r="L642" s="72">
        <f t="shared" si="984"/>
        <v>6952</v>
      </c>
      <c r="M642" s="81">
        <f t="shared" ref="M642" si="1072">M643+M649</f>
        <v>2052</v>
      </c>
      <c r="N642" s="81">
        <f t="shared" ref="N642" si="1073">N643+N649</f>
        <v>1700</v>
      </c>
      <c r="O642" s="81">
        <f t="shared" ref="O642:P642" si="1074">O643+O649</f>
        <v>1700</v>
      </c>
      <c r="P642" s="81">
        <f t="shared" si="1074"/>
        <v>1500</v>
      </c>
      <c r="Q642" s="81">
        <f t="shared" si="1071"/>
        <v>6900</v>
      </c>
      <c r="R642" s="81">
        <f t="shared" si="1071"/>
        <v>6900</v>
      </c>
      <c r="S642" s="81">
        <f t="shared" si="1071"/>
        <v>6900</v>
      </c>
    </row>
    <row r="643" spans="1:19" ht="14.25">
      <c r="A643" s="41"/>
      <c r="B643" s="31" t="s">
        <v>160</v>
      </c>
      <c r="C643" s="19"/>
      <c r="D643" s="81">
        <f t="shared" ref="D643:S644" si="1075">D644</f>
        <v>6950</v>
      </c>
      <c r="E643" s="81">
        <f>E644+E648</f>
        <v>4892</v>
      </c>
      <c r="F643" s="81">
        <f t="shared" si="1075"/>
        <v>6950</v>
      </c>
      <c r="G643" s="81">
        <f t="shared" si="1075"/>
        <v>6918</v>
      </c>
      <c r="H643" s="81">
        <f t="shared" si="1075"/>
        <v>6323</v>
      </c>
      <c r="I643" s="339">
        <f t="shared" si="1075"/>
        <v>7545</v>
      </c>
      <c r="J643" s="81">
        <f t="shared" si="1075"/>
        <v>6900</v>
      </c>
      <c r="K643" s="72">
        <f t="shared" si="983"/>
        <v>0</v>
      </c>
      <c r="L643" s="72">
        <f t="shared" si="984"/>
        <v>6900</v>
      </c>
      <c r="M643" s="81">
        <f t="shared" si="1075"/>
        <v>2000</v>
      </c>
      <c r="N643" s="81">
        <f t="shared" si="1075"/>
        <v>1700</v>
      </c>
      <c r="O643" s="81">
        <f t="shared" si="1075"/>
        <v>1700</v>
      </c>
      <c r="P643" s="81">
        <f t="shared" si="1075"/>
        <v>1500</v>
      </c>
      <c r="Q643" s="81">
        <f t="shared" si="1075"/>
        <v>6900</v>
      </c>
      <c r="R643" s="81">
        <f t="shared" si="1075"/>
        <v>6900</v>
      </c>
      <c r="S643" s="81">
        <f t="shared" si="1075"/>
        <v>6900</v>
      </c>
    </row>
    <row r="644" spans="1:19" ht="15">
      <c r="A644" s="41"/>
      <c r="B644" s="40" t="s">
        <v>161</v>
      </c>
      <c r="C644" s="19">
        <v>1</v>
      </c>
      <c r="D644" s="76">
        <f t="shared" si="1075"/>
        <v>6950</v>
      </c>
      <c r="E644" s="76">
        <f t="shared" si="1075"/>
        <v>4892</v>
      </c>
      <c r="F644" s="76">
        <f t="shared" si="1075"/>
        <v>6950</v>
      </c>
      <c r="G644" s="76">
        <f t="shared" si="1075"/>
        <v>6918</v>
      </c>
      <c r="H644" s="76">
        <f t="shared" si="1075"/>
        <v>6323</v>
      </c>
      <c r="I644" s="330">
        <f t="shared" si="1075"/>
        <v>7545</v>
      </c>
      <c r="J644" s="76">
        <f t="shared" si="1075"/>
        <v>6900</v>
      </c>
      <c r="K644" s="72">
        <f t="shared" si="983"/>
        <v>0</v>
      </c>
      <c r="L644" s="72">
        <f t="shared" si="984"/>
        <v>6900</v>
      </c>
      <c r="M644" s="76">
        <f t="shared" si="1075"/>
        <v>2000</v>
      </c>
      <c r="N644" s="76">
        <f t="shared" si="1075"/>
        <v>1700</v>
      </c>
      <c r="O644" s="76">
        <f t="shared" si="1075"/>
        <v>1700</v>
      </c>
      <c r="P644" s="76">
        <f t="shared" si="1075"/>
        <v>1500</v>
      </c>
      <c r="Q644" s="76">
        <f t="shared" si="1075"/>
        <v>6900</v>
      </c>
      <c r="R644" s="76">
        <f t="shared" si="1075"/>
        <v>6900</v>
      </c>
      <c r="S644" s="76">
        <f t="shared" si="1075"/>
        <v>6900</v>
      </c>
    </row>
    <row r="645" spans="1:19" ht="15">
      <c r="A645" s="41"/>
      <c r="B645" s="40" t="s">
        <v>259</v>
      </c>
      <c r="C645" s="19" t="s">
        <v>225</v>
      </c>
      <c r="D645" s="76">
        <f t="shared" ref="D645:S645" si="1076">D646+D647</f>
        <v>6950</v>
      </c>
      <c r="E645" s="76">
        <f t="shared" si="1076"/>
        <v>4892</v>
      </c>
      <c r="F645" s="76">
        <f t="shared" si="1076"/>
        <v>6950</v>
      </c>
      <c r="G645" s="76">
        <f t="shared" si="1076"/>
        <v>6918</v>
      </c>
      <c r="H645" s="76">
        <f t="shared" si="1076"/>
        <v>6323</v>
      </c>
      <c r="I645" s="330">
        <f t="shared" si="1076"/>
        <v>7545</v>
      </c>
      <c r="J645" s="76">
        <f t="shared" si="1076"/>
        <v>6900</v>
      </c>
      <c r="K645" s="72">
        <f t="shared" si="983"/>
        <v>0</v>
      </c>
      <c r="L645" s="72">
        <f t="shared" si="984"/>
        <v>6900</v>
      </c>
      <c r="M645" s="76">
        <f t="shared" ref="M645" si="1077">M646+M647</f>
        <v>2000</v>
      </c>
      <c r="N645" s="76">
        <f t="shared" ref="N645" si="1078">N646+N647</f>
        <v>1700</v>
      </c>
      <c r="O645" s="76">
        <f t="shared" ref="O645:P645" si="1079">O646+O647</f>
        <v>1700</v>
      </c>
      <c r="P645" s="76">
        <f t="shared" si="1079"/>
        <v>1500</v>
      </c>
      <c r="Q645" s="76">
        <f t="shared" si="1076"/>
        <v>6900</v>
      </c>
      <c r="R645" s="76">
        <f t="shared" si="1076"/>
        <v>6900</v>
      </c>
      <c r="S645" s="76">
        <f t="shared" si="1076"/>
        <v>6900</v>
      </c>
    </row>
    <row r="646" spans="1:19" ht="14.25" customHeight="1">
      <c r="A646" s="41"/>
      <c r="B646" s="40" t="s">
        <v>162</v>
      </c>
      <c r="C646" s="19">
        <v>10</v>
      </c>
      <c r="D646" s="75">
        <v>3750</v>
      </c>
      <c r="E646" s="75">
        <v>2242</v>
      </c>
      <c r="F646" s="75">
        <v>3750</v>
      </c>
      <c r="G646" s="75">
        <v>3633</v>
      </c>
      <c r="H646" s="75">
        <v>3285</v>
      </c>
      <c r="I646" s="329">
        <v>4402</v>
      </c>
      <c r="J646" s="75">
        <v>4200</v>
      </c>
      <c r="K646" s="72">
        <f t="shared" si="983"/>
        <v>0</v>
      </c>
      <c r="L646" s="72">
        <f t="shared" si="984"/>
        <v>4200</v>
      </c>
      <c r="M646" s="75">
        <v>1300</v>
      </c>
      <c r="N646" s="75">
        <v>1000</v>
      </c>
      <c r="O646" s="75">
        <v>1000</v>
      </c>
      <c r="P646" s="75">
        <v>900</v>
      </c>
      <c r="Q646" s="73">
        <v>4200</v>
      </c>
      <c r="R646" s="73">
        <v>4200</v>
      </c>
      <c r="S646" s="73">
        <v>4200</v>
      </c>
    </row>
    <row r="647" spans="1:19" ht="15" customHeight="1">
      <c r="A647" s="41"/>
      <c r="B647" s="40" t="s">
        <v>886</v>
      </c>
      <c r="C647" s="19">
        <v>20</v>
      </c>
      <c r="D647" s="75">
        <v>3200</v>
      </c>
      <c r="E647" s="75">
        <v>2650</v>
      </c>
      <c r="F647" s="75">
        <v>3200</v>
      </c>
      <c r="G647" s="75">
        <v>3285</v>
      </c>
      <c r="H647" s="75">
        <v>3038</v>
      </c>
      <c r="I647" s="329">
        <v>3143</v>
      </c>
      <c r="J647" s="75">
        <v>2700</v>
      </c>
      <c r="K647" s="72">
        <f t="shared" si="983"/>
        <v>0</v>
      </c>
      <c r="L647" s="72">
        <f t="shared" si="984"/>
        <v>2700</v>
      </c>
      <c r="M647" s="75">
        <v>700</v>
      </c>
      <c r="N647" s="75">
        <v>700</v>
      </c>
      <c r="O647" s="75">
        <v>700</v>
      </c>
      <c r="P647" s="75">
        <v>600</v>
      </c>
      <c r="Q647" s="73">
        <v>2700</v>
      </c>
      <c r="R647" s="73">
        <v>2700</v>
      </c>
      <c r="S647" s="73">
        <v>2700</v>
      </c>
    </row>
    <row r="648" spans="1:19" ht="13.5" hidden="1" customHeight="1">
      <c r="A648" s="41"/>
      <c r="B648" s="40" t="s">
        <v>171</v>
      </c>
      <c r="C648" s="19" t="s">
        <v>260</v>
      </c>
      <c r="D648" s="75"/>
      <c r="E648" s="75"/>
      <c r="F648" s="75"/>
      <c r="G648" s="75"/>
      <c r="H648" s="75"/>
      <c r="I648" s="329"/>
      <c r="J648" s="75"/>
      <c r="K648" s="72">
        <f t="shared" si="983"/>
        <v>0</v>
      </c>
      <c r="L648" s="72">
        <f t="shared" si="984"/>
        <v>0</v>
      </c>
      <c r="M648" s="75"/>
      <c r="N648" s="75"/>
      <c r="O648" s="75"/>
      <c r="P648" s="75"/>
      <c r="Q648" s="73"/>
      <c r="R648" s="73"/>
      <c r="S648" s="73"/>
    </row>
    <row r="649" spans="1:19" ht="15" customHeight="1">
      <c r="A649" s="41"/>
      <c r="B649" s="33" t="s">
        <v>172</v>
      </c>
      <c r="C649" s="19"/>
      <c r="D649" s="76">
        <f t="shared" ref="D649" si="1080">D650</f>
        <v>0</v>
      </c>
      <c r="E649" s="76">
        <f>E650</f>
        <v>1239</v>
      </c>
      <c r="F649" s="76">
        <f>F650</f>
        <v>224</v>
      </c>
      <c r="G649" s="76">
        <f>G650</f>
        <v>256</v>
      </c>
      <c r="H649" s="76">
        <f>H650</f>
        <v>249</v>
      </c>
      <c r="I649" s="330">
        <f t="shared" ref="I649:S649" si="1081">I650</f>
        <v>927</v>
      </c>
      <c r="J649" s="76">
        <f t="shared" si="1081"/>
        <v>52</v>
      </c>
      <c r="K649" s="72">
        <f t="shared" si="983"/>
        <v>0</v>
      </c>
      <c r="L649" s="72">
        <f t="shared" si="984"/>
        <v>52</v>
      </c>
      <c r="M649" s="76">
        <f t="shared" si="1081"/>
        <v>52</v>
      </c>
      <c r="N649" s="76">
        <f t="shared" si="1081"/>
        <v>0</v>
      </c>
      <c r="O649" s="76">
        <f t="shared" si="1081"/>
        <v>0</v>
      </c>
      <c r="P649" s="76">
        <f t="shared" si="1081"/>
        <v>0</v>
      </c>
      <c r="Q649" s="76">
        <f t="shared" si="1081"/>
        <v>0</v>
      </c>
      <c r="R649" s="76">
        <f t="shared" si="1081"/>
        <v>0</v>
      </c>
      <c r="S649" s="76">
        <f t="shared" si="1081"/>
        <v>0</v>
      </c>
    </row>
    <row r="650" spans="1:19" ht="15.75" customHeight="1">
      <c r="A650" s="28"/>
      <c r="B650" s="40" t="s">
        <v>178</v>
      </c>
      <c r="C650" s="19" t="s">
        <v>179</v>
      </c>
      <c r="D650" s="75"/>
      <c r="E650" s="75">
        <v>1239</v>
      </c>
      <c r="F650" s="75">
        <v>224</v>
      </c>
      <c r="G650" s="75">
        <v>256</v>
      </c>
      <c r="H650" s="75">
        <v>249</v>
      </c>
      <c r="I650" s="329">
        <v>927</v>
      </c>
      <c r="J650" s="75">
        <f>152-100</f>
        <v>52</v>
      </c>
      <c r="K650" s="72">
        <f t="shared" si="983"/>
        <v>0</v>
      </c>
      <c r="L650" s="72">
        <f t="shared" si="984"/>
        <v>52</v>
      </c>
      <c r="M650" s="75">
        <f>152-100</f>
        <v>52</v>
      </c>
      <c r="N650" s="75"/>
      <c r="O650" s="75"/>
      <c r="P650" s="75"/>
      <c r="Q650" s="73"/>
      <c r="R650" s="73"/>
      <c r="S650" s="73"/>
    </row>
    <row r="651" spans="1:19" ht="29.25" hidden="1" customHeight="1">
      <c r="A651" s="28">
        <v>3.3</v>
      </c>
      <c r="B651" s="38" t="s">
        <v>322</v>
      </c>
      <c r="C651" s="19" t="s">
        <v>323</v>
      </c>
      <c r="D651" s="81">
        <f t="shared" ref="D651:S652" si="1082">D652</f>
        <v>0</v>
      </c>
      <c r="E651" s="81">
        <f t="shared" si="1082"/>
        <v>155</v>
      </c>
      <c r="F651" s="81">
        <f t="shared" si="1082"/>
        <v>0</v>
      </c>
      <c r="G651" s="81">
        <f t="shared" si="1082"/>
        <v>0</v>
      </c>
      <c r="H651" s="81">
        <f t="shared" si="1082"/>
        <v>0</v>
      </c>
      <c r="I651" s="339">
        <f t="shared" si="1082"/>
        <v>0</v>
      </c>
      <c r="J651" s="81">
        <f t="shared" si="1082"/>
        <v>0</v>
      </c>
      <c r="K651" s="72">
        <f t="shared" si="983"/>
        <v>0</v>
      </c>
      <c r="L651" s="72">
        <f t="shared" si="984"/>
        <v>0</v>
      </c>
      <c r="M651" s="81">
        <f t="shared" si="1082"/>
        <v>0</v>
      </c>
      <c r="N651" s="81">
        <f t="shared" si="1082"/>
        <v>0</v>
      </c>
      <c r="O651" s="81">
        <f t="shared" si="1082"/>
        <v>0</v>
      </c>
      <c r="P651" s="81">
        <f t="shared" si="1082"/>
        <v>0</v>
      </c>
      <c r="Q651" s="81">
        <f t="shared" si="1082"/>
        <v>0</v>
      </c>
      <c r="R651" s="81">
        <f t="shared" si="1082"/>
        <v>0</v>
      </c>
      <c r="S651" s="81">
        <f t="shared" si="1082"/>
        <v>0</v>
      </c>
    </row>
    <row r="652" spans="1:19" ht="18.75" hidden="1" customHeight="1">
      <c r="A652" s="28"/>
      <c r="B652" s="33" t="s">
        <v>172</v>
      </c>
      <c r="C652" s="19"/>
      <c r="D652" s="76">
        <f t="shared" si="1082"/>
        <v>0</v>
      </c>
      <c r="E652" s="76">
        <f t="shared" si="1082"/>
        <v>155</v>
      </c>
      <c r="F652" s="76">
        <f t="shared" si="1082"/>
        <v>0</v>
      </c>
      <c r="G652" s="76">
        <f t="shared" si="1082"/>
        <v>0</v>
      </c>
      <c r="H652" s="76">
        <f t="shared" si="1082"/>
        <v>0</v>
      </c>
      <c r="I652" s="330">
        <f t="shared" si="1082"/>
        <v>0</v>
      </c>
      <c r="J652" s="76">
        <f t="shared" si="1082"/>
        <v>0</v>
      </c>
      <c r="K652" s="72">
        <f t="shared" ref="K652:K715" si="1083">J652-L652</f>
        <v>0</v>
      </c>
      <c r="L652" s="72">
        <f t="shared" ref="L652:L715" si="1084">M652+N652+O652+P652</f>
        <v>0</v>
      </c>
      <c r="M652" s="76">
        <f t="shared" si="1082"/>
        <v>0</v>
      </c>
      <c r="N652" s="76">
        <f t="shared" si="1082"/>
        <v>0</v>
      </c>
      <c r="O652" s="76">
        <f t="shared" si="1082"/>
        <v>0</v>
      </c>
      <c r="P652" s="76">
        <f t="shared" si="1082"/>
        <v>0</v>
      </c>
      <c r="Q652" s="76">
        <f t="shared" si="1082"/>
        <v>0</v>
      </c>
      <c r="R652" s="76">
        <f t="shared" si="1082"/>
        <v>0</v>
      </c>
      <c r="S652" s="76">
        <f t="shared" si="1082"/>
        <v>0</v>
      </c>
    </row>
    <row r="653" spans="1:19" ht="18.75" hidden="1" customHeight="1">
      <c r="A653" s="28"/>
      <c r="B653" s="40" t="s">
        <v>181</v>
      </c>
      <c r="C653" s="19">
        <v>56</v>
      </c>
      <c r="D653" s="76">
        <f t="shared" ref="D653:S653" si="1085">D654+D655+D656</f>
        <v>0</v>
      </c>
      <c r="E653" s="76">
        <f t="shared" si="1085"/>
        <v>155</v>
      </c>
      <c r="F653" s="76">
        <f t="shared" si="1085"/>
        <v>0</v>
      </c>
      <c r="G653" s="76">
        <f t="shared" si="1085"/>
        <v>0</v>
      </c>
      <c r="H653" s="76">
        <f t="shared" si="1085"/>
        <v>0</v>
      </c>
      <c r="I653" s="330">
        <f t="shared" si="1085"/>
        <v>0</v>
      </c>
      <c r="J653" s="76">
        <f t="shared" si="1085"/>
        <v>0</v>
      </c>
      <c r="K653" s="72">
        <f t="shared" si="1083"/>
        <v>0</v>
      </c>
      <c r="L653" s="72">
        <f t="shared" si="1084"/>
        <v>0</v>
      </c>
      <c r="M653" s="76">
        <f t="shared" ref="M653" si="1086">M654+M655+M656</f>
        <v>0</v>
      </c>
      <c r="N653" s="76">
        <f t="shared" ref="N653" si="1087">N654+N655+N656</f>
        <v>0</v>
      </c>
      <c r="O653" s="76">
        <f t="shared" ref="O653:P653" si="1088">O654+O655+O656</f>
        <v>0</v>
      </c>
      <c r="P653" s="76">
        <f t="shared" si="1088"/>
        <v>0</v>
      </c>
      <c r="Q653" s="76">
        <f t="shared" si="1085"/>
        <v>0</v>
      </c>
      <c r="R653" s="76">
        <f t="shared" si="1085"/>
        <v>0</v>
      </c>
      <c r="S653" s="76">
        <f t="shared" si="1085"/>
        <v>0</v>
      </c>
    </row>
    <row r="654" spans="1:19" ht="0.75" hidden="1" customHeight="1">
      <c r="A654" s="28"/>
      <c r="B654" s="40" t="s">
        <v>324</v>
      </c>
      <c r="C654" s="19" t="s">
        <v>213</v>
      </c>
      <c r="D654" s="75"/>
      <c r="E654" s="75"/>
      <c r="F654" s="75"/>
      <c r="G654" s="75"/>
      <c r="H654" s="75"/>
      <c r="I654" s="329"/>
      <c r="J654" s="75"/>
      <c r="K654" s="72">
        <f t="shared" si="1083"/>
        <v>0</v>
      </c>
      <c r="L654" s="72">
        <f t="shared" si="1084"/>
        <v>0</v>
      </c>
      <c r="M654" s="75"/>
      <c r="N654" s="75"/>
      <c r="O654" s="75"/>
      <c r="P654" s="75"/>
      <c r="Q654" s="73"/>
      <c r="R654" s="73"/>
      <c r="S654" s="73"/>
    </row>
    <row r="655" spans="1:19" ht="19.5" hidden="1" customHeight="1">
      <c r="A655" s="28"/>
      <c r="B655" s="40" t="s">
        <v>217</v>
      </c>
      <c r="C655" s="19" t="s">
        <v>216</v>
      </c>
      <c r="D655" s="143"/>
      <c r="E655" s="143">
        <v>155</v>
      </c>
      <c r="F655" s="143"/>
      <c r="G655" s="143"/>
      <c r="H655" s="143"/>
      <c r="I655" s="333"/>
      <c r="J655" s="143"/>
      <c r="K655" s="72">
        <f t="shared" si="1083"/>
        <v>0</v>
      </c>
      <c r="L655" s="72">
        <f t="shared" si="1084"/>
        <v>0</v>
      </c>
      <c r="M655" s="143"/>
      <c r="N655" s="143"/>
      <c r="O655" s="143"/>
      <c r="P655" s="143"/>
      <c r="Q655" s="144"/>
      <c r="R655" s="144"/>
      <c r="S655" s="144"/>
    </row>
    <row r="656" spans="1:19" ht="13.5" hidden="1" customHeight="1">
      <c r="A656" s="28"/>
      <c r="B656" s="23" t="s">
        <v>181</v>
      </c>
      <c r="C656" s="19" t="s">
        <v>216</v>
      </c>
      <c r="D656" s="75">
        <v>0</v>
      </c>
      <c r="E656" s="75"/>
      <c r="F656" s="75"/>
      <c r="G656" s="75"/>
      <c r="H656" s="75"/>
      <c r="I656" s="329"/>
      <c r="J656" s="75"/>
      <c r="K656" s="72">
        <f t="shared" si="1083"/>
        <v>0</v>
      </c>
      <c r="L656" s="72">
        <f t="shared" si="1084"/>
        <v>0</v>
      </c>
      <c r="M656" s="75"/>
      <c r="N656" s="75"/>
      <c r="O656" s="75"/>
      <c r="P656" s="75"/>
      <c r="Q656" s="73"/>
      <c r="R656" s="73"/>
      <c r="S656" s="73"/>
    </row>
    <row r="657" spans="1:19" ht="33.75" customHeight="1">
      <c r="A657" s="61" t="s">
        <v>626</v>
      </c>
      <c r="B657" s="62" t="s">
        <v>325</v>
      </c>
      <c r="C657" s="105" t="s">
        <v>326</v>
      </c>
      <c r="D657" s="81">
        <f t="shared" ref="D657:S658" si="1089">D658</f>
        <v>160</v>
      </c>
      <c r="E657" s="81">
        <f t="shared" si="1089"/>
        <v>190</v>
      </c>
      <c r="F657" s="81">
        <f t="shared" si="1089"/>
        <v>160</v>
      </c>
      <c r="G657" s="81">
        <f t="shared" si="1089"/>
        <v>160</v>
      </c>
      <c r="H657" s="81">
        <f t="shared" si="1089"/>
        <v>160</v>
      </c>
      <c r="I657" s="339">
        <f t="shared" si="1089"/>
        <v>160</v>
      </c>
      <c r="J657" s="81">
        <f t="shared" si="1089"/>
        <v>160</v>
      </c>
      <c r="K657" s="72">
        <f t="shared" si="1083"/>
        <v>0</v>
      </c>
      <c r="L657" s="72">
        <f t="shared" si="1084"/>
        <v>160</v>
      </c>
      <c r="M657" s="81">
        <f t="shared" si="1089"/>
        <v>160</v>
      </c>
      <c r="N657" s="81">
        <f t="shared" si="1089"/>
        <v>0</v>
      </c>
      <c r="O657" s="81">
        <f t="shared" si="1089"/>
        <v>0</v>
      </c>
      <c r="P657" s="81">
        <f t="shared" si="1089"/>
        <v>0</v>
      </c>
      <c r="Q657" s="81">
        <f t="shared" si="1089"/>
        <v>0</v>
      </c>
      <c r="R657" s="81">
        <f t="shared" si="1089"/>
        <v>0</v>
      </c>
      <c r="S657" s="81">
        <f t="shared" si="1089"/>
        <v>0</v>
      </c>
    </row>
    <row r="658" spans="1:19" ht="13.5" customHeight="1">
      <c r="A658" s="28"/>
      <c r="B658" s="33" t="s">
        <v>172</v>
      </c>
      <c r="C658" s="19"/>
      <c r="D658" s="81">
        <f t="shared" si="1089"/>
        <v>160</v>
      </c>
      <c r="E658" s="81">
        <f t="shared" si="1089"/>
        <v>190</v>
      </c>
      <c r="F658" s="81">
        <f t="shared" si="1089"/>
        <v>160</v>
      </c>
      <c r="G658" s="81">
        <f t="shared" si="1089"/>
        <v>160</v>
      </c>
      <c r="H658" s="81">
        <f t="shared" si="1089"/>
        <v>160</v>
      </c>
      <c r="I658" s="339">
        <f t="shared" si="1089"/>
        <v>160</v>
      </c>
      <c r="J658" s="81">
        <f t="shared" si="1089"/>
        <v>160</v>
      </c>
      <c r="K658" s="72">
        <f t="shared" si="1083"/>
        <v>0</v>
      </c>
      <c r="L658" s="72">
        <f t="shared" si="1084"/>
        <v>160</v>
      </c>
      <c r="M658" s="81">
        <f t="shared" si="1089"/>
        <v>160</v>
      </c>
      <c r="N658" s="81">
        <f t="shared" si="1089"/>
        <v>0</v>
      </c>
      <c r="O658" s="81">
        <f t="shared" si="1089"/>
        <v>0</v>
      </c>
      <c r="P658" s="81">
        <f t="shared" si="1089"/>
        <v>0</v>
      </c>
      <c r="Q658" s="81">
        <f t="shared" si="1089"/>
        <v>0</v>
      </c>
      <c r="R658" s="81">
        <f t="shared" si="1089"/>
        <v>0</v>
      </c>
      <c r="S658" s="81">
        <f t="shared" si="1089"/>
        <v>0</v>
      </c>
    </row>
    <row r="659" spans="1:19" ht="15.75" customHeight="1">
      <c r="A659" s="28"/>
      <c r="B659" s="40" t="s">
        <v>181</v>
      </c>
      <c r="C659" s="19">
        <v>56</v>
      </c>
      <c r="D659" s="76">
        <f t="shared" ref="D659:S659" si="1090">D660+D661+D662</f>
        <v>160</v>
      </c>
      <c r="E659" s="76">
        <f t="shared" si="1090"/>
        <v>190</v>
      </c>
      <c r="F659" s="76">
        <f t="shared" si="1090"/>
        <v>160</v>
      </c>
      <c r="G659" s="76">
        <f t="shared" si="1090"/>
        <v>160</v>
      </c>
      <c r="H659" s="76">
        <f t="shared" si="1090"/>
        <v>160</v>
      </c>
      <c r="I659" s="330">
        <f t="shared" si="1090"/>
        <v>160</v>
      </c>
      <c r="J659" s="76">
        <f t="shared" si="1090"/>
        <v>160</v>
      </c>
      <c r="K659" s="72">
        <f t="shared" si="1083"/>
        <v>0</v>
      </c>
      <c r="L659" s="72">
        <f t="shared" si="1084"/>
        <v>160</v>
      </c>
      <c r="M659" s="76">
        <f t="shared" ref="M659" si="1091">M660+M661+M662</f>
        <v>160</v>
      </c>
      <c r="N659" s="76">
        <f t="shared" ref="N659" si="1092">N660+N661+N662</f>
        <v>0</v>
      </c>
      <c r="O659" s="76">
        <f t="shared" ref="O659:P659" si="1093">O660+O661+O662</f>
        <v>0</v>
      </c>
      <c r="P659" s="76">
        <f t="shared" si="1093"/>
        <v>0</v>
      </c>
      <c r="Q659" s="76">
        <f t="shared" si="1090"/>
        <v>0</v>
      </c>
      <c r="R659" s="76">
        <f t="shared" si="1090"/>
        <v>0</v>
      </c>
      <c r="S659" s="76">
        <f t="shared" si="1090"/>
        <v>0</v>
      </c>
    </row>
    <row r="660" spans="1:19" ht="13.5" hidden="1" customHeight="1">
      <c r="A660" s="28"/>
      <c r="B660" s="40" t="s">
        <v>324</v>
      </c>
      <c r="C660" s="19" t="s">
        <v>213</v>
      </c>
      <c r="D660" s="75"/>
      <c r="E660" s="75"/>
      <c r="F660" s="75"/>
      <c r="G660" s="75"/>
      <c r="H660" s="75"/>
      <c r="I660" s="329"/>
      <c r="J660" s="75"/>
      <c r="K660" s="72">
        <f t="shared" si="1083"/>
        <v>0</v>
      </c>
      <c r="L660" s="72">
        <f t="shared" si="1084"/>
        <v>0</v>
      </c>
      <c r="M660" s="75"/>
      <c r="N660" s="75"/>
      <c r="O660" s="75"/>
      <c r="P660" s="75"/>
      <c r="Q660" s="73"/>
      <c r="R660" s="73"/>
      <c r="S660" s="73"/>
    </row>
    <row r="661" spans="1:19" ht="13.5" hidden="1" customHeight="1">
      <c r="A661" s="28"/>
      <c r="B661" s="40" t="s">
        <v>327</v>
      </c>
      <c r="C661" s="19" t="s">
        <v>215</v>
      </c>
      <c r="D661" s="75">
        <v>0</v>
      </c>
      <c r="E661" s="75"/>
      <c r="F661" s="75"/>
      <c r="G661" s="75"/>
      <c r="H661" s="75"/>
      <c r="I661" s="329"/>
      <c r="J661" s="75"/>
      <c r="K661" s="72">
        <f t="shared" si="1083"/>
        <v>0</v>
      </c>
      <c r="L661" s="72">
        <f t="shared" si="1084"/>
        <v>0</v>
      </c>
      <c r="M661" s="75"/>
      <c r="N661" s="75"/>
      <c r="O661" s="75"/>
      <c r="P661" s="75"/>
      <c r="Q661" s="73"/>
      <c r="R661" s="73"/>
      <c r="S661" s="73"/>
    </row>
    <row r="662" spans="1:19" ht="19.5" customHeight="1">
      <c r="A662" s="28"/>
      <c r="B662" s="23" t="s">
        <v>217</v>
      </c>
      <c r="C662" s="19" t="s">
        <v>216</v>
      </c>
      <c r="D662" s="75">
        <v>160</v>
      </c>
      <c r="E662" s="75">
        <v>190</v>
      </c>
      <c r="F662" s="75">
        <v>160</v>
      </c>
      <c r="G662" s="75">
        <v>160</v>
      </c>
      <c r="H662" s="196">
        <v>160</v>
      </c>
      <c r="I662" s="329">
        <v>160</v>
      </c>
      <c r="J662" s="75">
        <v>160</v>
      </c>
      <c r="K662" s="72">
        <f t="shared" si="1083"/>
        <v>0</v>
      </c>
      <c r="L662" s="72">
        <f t="shared" si="1084"/>
        <v>160</v>
      </c>
      <c r="M662" s="75">
        <v>160</v>
      </c>
      <c r="N662" s="75"/>
      <c r="O662" s="75"/>
      <c r="P662" s="75"/>
      <c r="Q662" s="73">
        <v>0</v>
      </c>
      <c r="R662" s="73">
        <v>0</v>
      </c>
      <c r="S662" s="73">
        <v>0</v>
      </c>
    </row>
    <row r="663" spans="1:19" ht="28.5">
      <c r="A663" s="60" t="s">
        <v>627</v>
      </c>
      <c r="B663" s="57" t="s">
        <v>328</v>
      </c>
      <c r="C663" s="19" t="s">
        <v>329</v>
      </c>
      <c r="D663" s="81">
        <f t="shared" ref="D663:S663" si="1094">D664+D670</f>
        <v>8146</v>
      </c>
      <c r="E663" s="81">
        <f t="shared" si="1094"/>
        <v>6519</v>
      </c>
      <c r="F663" s="81">
        <f t="shared" si="1094"/>
        <v>8246</v>
      </c>
      <c r="G663" s="81">
        <f t="shared" si="1094"/>
        <v>8246</v>
      </c>
      <c r="H663" s="81">
        <f t="shared" si="1094"/>
        <v>8087</v>
      </c>
      <c r="I663" s="339">
        <f t="shared" si="1094"/>
        <v>9685</v>
      </c>
      <c r="J663" s="81">
        <f t="shared" si="1094"/>
        <v>8870</v>
      </c>
      <c r="K663" s="72">
        <f t="shared" si="1083"/>
        <v>0</v>
      </c>
      <c r="L663" s="72">
        <f t="shared" si="1084"/>
        <v>8870</v>
      </c>
      <c r="M663" s="81">
        <f t="shared" ref="M663" si="1095">M664+M670</f>
        <v>2420</v>
      </c>
      <c r="N663" s="81">
        <f t="shared" ref="N663" si="1096">N664+N670</f>
        <v>2220</v>
      </c>
      <c r="O663" s="81">
        <f t="shared" ref="O663:P663" si="1097">O664+O670</f>
        <v>2120</v>
      </c>
      <c r="P663" s="81">
        <f t="shared" si="1097"/>
        <v>2110</v>
      </c>
      <c r="Q663" s="81">
        <f t="shared" si="1094"/>
        <v>8870</v>
      </c>
      <c r="R663" s="81">
        <f t="shared" si="1094"/>
        <v>8870</v>
      </c>
      <c r="S663" s="81">
        <f t="shared" si="1094"/>
        <v>8870</v>
      </c>
    </row>
    <row r="664" spans="1:19" ht="14.25">
      <c r="A664" s="41"/>
      <c r="B664" s="31" t="s">
        <v>160</v>
      </c>
      <c r="C664" s="19"/>
      <c r="D664" s="81">
        <f t="shared" ref="D664:S665" si="1098">D665</f>
        <v>7936</v>
      </c>
      <c r="E664" s="81">
        <f t="shared" si="1098"/>
        <v>5977</v>
      </c>
      <c r="F664" s="81">
        <f t="shared" si="1098"/>
        <v>7936</v>
      </c>
      <c r="G664" s="81">
        <f t="shared" si="1098"/>
        <v>7619</v>
      </c>
      <c r="H664" s="81">
        <f t="shared" si="1098"/>
        <v>7463</v>
      </c>
      <c r="I664" s="339">
        <f t="shared" si="1098"/>
        <v>9457</v>
      </c>
      <c r="J664" s="81">
        <f t="shared" si="1098"/>
        <v>8870</v>
      </c>
      <c r="K664" s="72">
        <f t="shared" si="1083"/>
        <v>0</v>
      </c>
      <c r="L664" s="72">
        <f t="shared" si="1084"/>
        <v>8870</v>
      </c>
      <c r="M664" s="81">
        <f t="shared" si="1098"/>
        <v>2420</v>
      </c>
      <c r="N664" s="81">
        <f t="shared" si="1098"/>
        <v>2220</v>
      </c>
      <c r="O664" s="81">
        <f t="shared" si="1098"/>
        <v>2120</v>
      </c>
      <c r="P664" s="81">
        <f t="shared" si="1098"/>
        <v>2110</v>
      </c>
      <c r="Q664" s="81">
        <f t="shared" si="1098"/>
        <v>8870</v>
      </c>
      <c r="R664" s="81">
        <f t="shared" si="1098"/>
        <v>8870</v>
      </c>
      <c r="S664" s="81">
        <f t="shared" si="1098"/>
        <v>8870</v>
      </c>
    </row>
    <row r="665" spans="1:19" ht="15">
      <c r="A665" s="41"/>
      <c r="B665" s="40" t="s">
        <v>161</v>
      </c>
      <c r="C665" s="19">
        <v>1</v>
      </c>
      <c r="D665" s="76">
        <f t="shared" si="1098"/>
        <v>7936</v>
      </c>
      <c r="E665" s="76">
        <f t="shared" si="1098"/>
        <v>5977</v>
      </c>
      <c r="F665" s="76">
        <f t="shared" si="1098"/>
        <v>7936</v>
      </c>
      <c r="G665" s="76">
        <f t="shared" si="1098"/>
        <v>7619</v>
      </c>
      <c r="H665" s="76">
        <f t="shared" si="1098"/>
        <v>7463</v>
      </c>
      <c r="I665" s="330">
        <f t="shared" si="1098"/>
        <v>9457</v>
      </c>
      <c r="J665" s="76">
        <f t="shared" si="1098"/>
        <v>8870</v>
      </c>
      <c r="K665" s="72">
        <f t="shared" si="1083"/>
        <v>0</v>
      </c>
      <c r="L665" s="72">
        <f t="shared" si="1084"/>
        <v>8870</v>
      </c>
      <c r="M665" s="76">
        <f t="shared" si="1098"/>
        <v>2420</v>
      </c>
      <c r="N665" s="76">
        <f t="shared" si="1098"/>
        <v>2220</v>
      </c>
      <c r="O665" s="76">
        <f t="shared" si="1098"/>
        <v>2120</v>
      </c>
      <c r="P665" s="76">
        <f t="shared" si="1098"/>
        <v>2110</v>
      </c>
      <c r="Q665" s="76">
        <f t="shared" si="1098"/>
        <v>8870</v>
      </c>
      <c r="R665" s="76">
        <f t="shared" si="1098"/>
        <v>8870</v>
      </c>
      <c r="S665" s="76">
        <f t="shared" si="1098"/>
        <v>8870</v>
      </c>
    </row>
    <row r="666" spans="1:19" ht="15">
      <c r="A666" s="41"/>
      <c r="B666" s="40" t="s">
        <v>259</v>
      </c>
      <c r="C666" s="19" t="s">
        <v>225</v>
      </c>
      <c r="D666" s="76">
        <f t="shared" ref="D666:S666" si="1099">D667+D668+D669</f>
        <v>7936</v>
      </c>
      <c r="E666" s="76">
        <f t="shared" si="1099"/>
        <v>5977</v>
      </c>
      <c r="F666" s="76">
        <f t="shared" si="1099"/>
        <v>7936</v>
      </c>
      <c r="G666" s="76">
        <f t="shared" si="1099"/>
        <v>7619</v>
      </c>
      <c r="H666" s="76">
        <f t="shared" si="1099"/>
        <v>7463</v>
      </c>
      <c r="I666" s="330">
        <f t="shared" si="1099"/>
        <v>9457</v>
      </c>
      <c r="J666" s="76">
        <f t="shared" si="1099"/>
        <v>8870</v>
      </c>
      <c r="K666" s="72">
        <f t="shared" si="1083"/>
        <v>0</v>
      </c>
      <c r="L666" s="72">
        <f t="shared" si="1084"/>
        <v>8870</v>
      </c>
      <c r="M666" s="76">
        <f t="shared" ref="M666" si="1100">M667+M668+M669</f>
        <v>2420</v>
      </c>
      <c r="N666" s="76">
        <f t="shared" ref="N666" si="1101">N667+N668+N669</f>
        <v>2220</v>
      </c>
      <c r="O666" s="76">
        <f t="shared" ref="O666:P666" si="1102">O667+O668+O669</f>
        <v>2120</v>
      </c>
      <c r="P666" s="76">
        <f t="shared" si="1102"/>
        <v>2110</v>
      </c>
      <c r="Q666" s="76">
        <f t="shared" si="1099"/>
        <v>8870</v>
      </c>
      <c r="R666" s="76">
        <f t="shared" si="1099"/>
        <v>8870</v>
      </c>
      <c r="S666" s="76">
        <f t="shared" si="1099"/>
        <v>8870</v>
      </c>
    </row>
    <row r="667" spans="1:19" ht="15.75" customHeight="1">
      <c r="A667" s="41"/>
      <c r="B667" s="40" t="s">
        <v>162</v>
      </c>
      <c r="C667" s="19">
        <v>10</v>
      </c>
      <c r="D667" s="75">
        <f>4400-24</f>
        <v>4376</v>
      </c>
      <c r="E667" s="75">
        <v>3521</v>
      </c>
      <c r="F667" s="75">
        <v>4376</v>
      </c>
      <c r="G667" s="75">
        <v>3916</v>
      </c>
      <c r="H667" s="75">
        <v>3847</v>
      </c>
      <c r="I667" s="329">
        <v>5382</v>
      </c>
      <c r="J667" s="75">
        <v>5200</v>
      </c>
      <c r="K667" s="72">
        <f t="shared" si="1083"/>
        <v>0</v>
      </c>
      <c r="L667" s="72">
        <f t="shared" si="1084"/>
        <v>5200</v>
      </c>
      <c r="M667" s="75">
        <v>1500</v>
      </c>
      <c r="N667" s="75">
        <v>1300</v>
      </c>
      <c r="O667" s="75">
        <v>1200</v>
      </c>
      <c r="P667" s="75">
        <v>1200</v>
      </c>
      <c r="Q667" s="73">
        <v>5200</v>
      </c>
      <c r="R667" s="73">
        <v>5200</v>
      </c>
      <c r="S667" s="73">
        <v>5200</v>
      </c>
    </row>
    <row r="668" spans="1:19" ht="13.5" customHeight="1">
      <c r="A668" s="41"/>
      <c r="B668" s="40" t="s">
        <v>886</v>
      </c>
      <c r="C668" s="19">
        <v>20</v>
      </c>
      <c r="D668" s="75">
        <f>3200+300</f>
        <v>3500</v>
      </c>
      <c r="E668" s="75">
        <v>2425</v>
      </c>
      <c r="F668" s="75">
        <v>3500</v>
      </c>
      <c r="G668" s="75">
        <v>3643</v>
      </c>
      <c r="H668" s="75">
        <v>3566</v>
      </c>
      <c r="I668" s="329">
        <v>4005</v>
      </c>
      <c r="J668" s="75">
        <v>3600</v>
      </c>
      <c r="K668" s="72">
        <f t="shared" si="1083"/>
        <v>0</v>
      </c>
      <c r="L668" s="72">
        <f t="shared" si="1084"/>
        <v>3600</v>
      </c>
      <c r="M668" s="75">
        <v>900</v>
      </c>
      <c r="N668" s="75">
        <v>900</v>
      </c>
      <c r="O668" s="75">
        <v>900</v>
      </c>
      <c r="P668" s="75">
        <v>900</v>
      </c>
      <c r="Q668" s="73">
        <v>3600</v>
      </c>
      <c r="R668" s="73">
        <v>3600</v>
      </c>
      <c r="S668" s="73">
        <v>3600</v>
      </c>
    </row>
    <row r="669" spans="1:19" ht="13.5" customHeight="1">
      <c r="A669" s="41"/>
      <c r="B669" s="40" t="s">
        <v>470</v>
      </c>
      <c r="C669" s="19">
        <v>59</v>
      </c>
      <c r="D669" s="75">
        <f>36+24</f>
        <v>60</v>
      </c>
      <c r="E669" s="75">
        <v>31</v>
      </c>
      <c r="F669" s="75">
        <v>60</v>
      </c>
      <c r="G669" s="75">
        <v>60</v>
      </c>
      <c r="H669" s="75">
        <v>50</v>
      </c>
      <c r="I669" s="329">
        <v>70</v>
      </c>
      <c r="J669" s="75">
        <v>70</v>
      </c>
      <c r="K669" s="72">
        <f t="shared" si="1083"/>
        <v>0</v>
      </c>
      <c r="L669" s="72">
        <f t="shared" si="1084"/>
        <v>70</v>
      </c>
      <c r="M669" s="75">
        <v>20</v>
      </c>
      <c r="N669" s="75">
        <v>20</v>
      </c>
      <c r="O669" s="75">
        <v>20</v>
      </c>
      <c r="P669" s="75">
        <v>10</v>
      </c>
      <c r="Q669" s="73">
        <v>70</v>
      </c>
      <c r="R669" s="73">
        <v>70</v>
      </c>
      <c r="S669" s="73">
        <v>70</v>
      </c>
    </row>
    <row r="670" spans="1:19" ht="0.75" customHeight="1">
      <c r="A670" s="41"/>
      <c r="B670" s="33" t="s">
        <v>172</v>
      </c>
      <c r="C670" s="19"/>
      <c r="D670" s="81">
        <f t="shared" ref="D670:S670" si="1103">D672</f>
        <v>210</v>
      </c>
      <c r="E670" s="81">
        <f t="shared" si="1103"/>
        <v>542</v>
      </c>
      <c r="F670" s="81">
        <f t="shared" si="1103"/>
        <v>310</v>
      </c>
      <c r="G670" s="81">
        <f t="shared" si="1103"/>
        <v>627</v>
      </c>
      <c r="H670" s="81">
        <f t="shared" si="1103"/>
        <v>624</v>
      </c>
      <c r="I670" s="339">
        <f t="shared" si="1103"/>
        <v>228</v>
      </c>
      <c r="J670" s="81">
        <f t="shared" si="1103"/>
        <v>0</v>
      </c>
      <c r="K670" s="72">
        <f t="shared" si="1083"/>
        <v>0</v>
      </c>
      <c r="L670" s="72">
        <f t="shared" si="1084"/>
        <v>0</v>
      </c>
      <c r="M670" s="81">
        <f t="shared" ref="M670" si="1104">M672</f>
        <v>0</v>
      </c>
      <c r="N670" s="81">
        <f t="shared" ref="N670" si="1105">N672</f>
        <v>0</v>
      </c>
      <c r="O670" s="81">
        <f t="shared" ref="O670:P670" si="1106">O672</f>
        <v>0</v>
      </c>
      <c r="P670" s="81">
        <f t="shared" si="1106"/>
        <v>0</v>
      </c>
      <c r="Q670" s="81">
        <f t="shared" si="1103"/>
        <v>0</v>
      </c>
      <c r="R670" s="81">
        <f t="shared" si="1103"/>
        <v>0</v>
      </c>
      <c r="S670" s="81">
        <f t="shared" si="1103"/>
        <v>0</v>
      </c>
    </row>
    <row r="671" spans="1:19" ht="14.25" hidden="1" customHeight="1">
      <c r="A671" s="41"/>
      <c r="B671" s="40" t="s">
        <v>191</v>
      </c>
      <c r="C671" s="19" t="s">
        <v>192</v>
      </c>
      <c r="D671" s="75"/>
      <c r="E671" s="75"/>
      <c r="F671" s="75"/>
      <c r="G671" s="75"/>
      <c r="H671" s="75"/>
      <c r="I671" s="329"/>
      <c r="J671" s="75"/>
      <c r="K671" s="72">
        <f t="shared" si="1083"/>
        <v>0</v>
      </c>
      <c r="L671" s="72">
        <f t="shared" si="1084"/>
        <v>0</v>
      </c>
      <c r="M671" s="75"/>
      <c r="N671" s="75"/>
      <c r="O671" s="75"/>
      <c r="P671" s="75"/>
      <c r="Q671" s="73"/>
      <c r="R671" s="73"/>
      <c r="S671" s="73"/>
    </row>
    <row r="672" spans="1:19" ht="15" hidden="1">
      <c r="A672" s="41"/>
      <c r="B672" s="40" t="s">
        <v>178</v>
      </c>
      <c r="C672" s="19" t="s">
        <v>179</v>
      </c>
      <c r="D672" s="75">
        <v>210</v>
      </c>
      <c r="E672" s="75">
        <v>542</v>
      </c>
      <c r="F672" s="75">
        <v>310</v>
      </c>
      <c r="G672" s="75">
        <v>627</v>
      </c>
      <c r="H672" s="75">
        <v>624</v>
      </c>
      <c r="I672" s="329">
        <v>228</v>
      </c>
      <c r="J672" s="75"/>
      <c r="K672" s="72">
        <f t="shared" si="1083"/>
        <v>0</v>
      </c>
      <c r="L672" s="72">
        <f t="shared" si="1084"/>
        <v>0</v>
      </c>
      <c r="M672" s="75"/>
      <c r="N672" s="75"/>
      <c r="O672" s="75"/>
      <c r="P672" s="75"/>
      <c r="Q672" s="73"/>
      <c r="R672" s="73"/>
      <c r="S672" s="73"/>
    </row>
    <row r="673" spans="1:20" ht="14.25">
      <c r="A673" s="41" t="s">
        <v>628</v>
      </c>
      <c r="B673" s="59" t="s">
        <v>330</v>
      </c>
      <c r="C673" s="19" t="s">
        <v>331</v>
      </c>
      <c r="D673" s="81">
        <f t="shared" ref="D673:S673" si="1107">D674+D680</f>
        <v>12130</v>
      </c>
      <c r="E673" s="81">
        <f t="shared" si="1107"/>
        <v>9800</v>
      </c>
      <c r="F673" s="81">
        <f t="shared" si="1107"/>
        <v>12503</v>
      </c>
      <c r="G673" s="81">
        <f t="shared" si="1107"/>
        <v>12773</v>
      </c>
      <c r="H673" s="81">
        <f t="shared" si="1107"/>
        <v>12651</v>
      </c>
      <c r="I673" s="339">
        <f t="shared" si="1107"/>
        <v>16209</v>
      </c>
      <c r="J673" s="81">
        <f t="shared" si="1107"/>
        <v>13430</v>
      </c>
      <c r="K673" s="72">
        <f t="shared" si="1083"/>
        <v>0</v>
      </c>
      <c r="L673" s="72">
        <f t="shared" si="1084"/>
        <v>13430</v>
      </c>
      <c r="M673" s="81">
        <f t="shared" ref="M673" si="1108">M674+M680</f>
        <v>3735</v>
      </c>
      <c r="N673" s="81">
        <f t="shared" ref="N673" si="1109">N674+N680</f>
        <v>3335</v>
      </c>
      <c r="O673" s="81">
        <f t="shared" ref="O673:P673" si="1110">O674+O680</f>
        <v>3285</v>
      </c>
      <c r="P673" s="81">
        <f t="shared" si="1110"/>
        <v>3075</v>
      </c>
      <c r="Q673" s="81">
        <f t="shared" si="1107"/>
        <v>13430</v>
      </c>
      <c r="R673" s="81">
        <f t="shared" si="1107"/>
        <v>13430</v>
      </c>
      <c r="S673" s="81">
        <f t="shared" si="1107"/>
        <v>13430</v>
      </c>
    </row>
    <row r="674" spans="1:20" ht="14.25">
      <c r="A674" s="41"/>
      <c r="B674" s="31" t="s">
        <v>160</v>
      </c>
      <c r="C674" s="19"/>
      <c r="D674" s="81">
        <f t="shared" ref="D674:S675" si="1111">D675</f>
        <v>12130</v>
      </c>
      <c r="E674" s="81">
        <f t="shared" si="1111"/>
        <v>9671</v>
      </c>
      <c r="F674" s="81">
        <f t="shared" si="1111"/>
        <v>12130</v>
      </c>
      <c r="G674" s="81">
        <f t="shared" si="1111"/>
        <v>12330</v>
      </c>
      <c r="H674" s="81">
        <f t="shared" si="1111"/>
        <v>12290</v>
      </c>
      <c r="I674" s="339">
        <f t="shared" si="1111"/>
        <v>14506</v>
      </c>
      <c r="J674" s="81">
        <f t="shared" si="1111"/>
        <v>13430</v>
      </c>
      <c r="K674" s="72">
        <f t="shared" si="1083"/>
        <v>0</v>
      </c>
      <c r="L674" s="72">
        <f t="shared" si="1084"/>
        <v>13430</v>
      </c>
      <c r="M674" s="81">
        <f t="shared" si="1111"/>
        <v>3735</v>
      </c>
      <c r="N674" s="81">
        <f t="shared" si="1111"/>
        <v>3335</v>
      </c>
      <c r="O674" s="81">
        <f t="shared" si="1111"/>
        <v>3285</v>
      </c>
      <c r="P674" s="81">
        <f t="shared" si="1111"/>
        <v>3075</v>
      </c>
      <c r="Q674" s="81">
        <f t="shared" si="1111"/>
        <v>13430</v>
      </c>
      <c r="R674" s="81">
        <f t="shared" si="1111"/>
        <v>13430</v>
      </c>
      <c r="S674" s="81">
        <f t="shared" si="1111"/>
        <v>13430</v>
      </c>
    </row>
    <row r="675" spans="1:20" ht="15">
      <c r="A675" s="41"/>
      <c r="B675" s="40" t="s">
        <v>161</v>
      </c>
      <c r="C675" s="19">
        <v>1</v>
      </c>
      <c r="D675" s="76">
        <f t="shared" si="1111"/>
        <v>12130</v>
      </c>
      <c r="E675" s="76">
        <f t="shared" si="1111"/>
        <v>9671</v>
      </c>
      <c r="F675" s="76">
        <f t="shared" si="1111"/>
        <v>12130</v>
      </c>
      <c r="G675" s="76">
        <f t="shared" si="1111"/>
        <v>12330</v>
      </c>
      <c r="H675" s="76">
        <f t="shared" si="1111"/>
        <v>12290</v>
      </c>
      <c r="I675" s="330">
        <f t="shared" si="1111"/>
        <v>14506</v>
      </c>
      <c r="J675" s="76">
        <f t="shared" si="1111"/>
        <v>13430</v>
      </c>
      <c r="K675" s="72">
        <f t="shared" si="1083"/>
        <v>0</v>
      </c>
      <c r="L675" s="72">
        <f t="shared" si="1084"/>
        <v>13430</v>
      </c>
      <c r="M675" s="76">
        <f t="shared" si="1111"/>
        <v>3735</v>
      </c>
      <c r="N675" s="76">
        <f t="shared" si="1111"/>
        <v>3335</v>
      </c>
      <c r="O675" s="76">
        <f t="shared" si="1111"/>
        <v>3285</v>
      </c>
      <c r="P675" s="76">
        <f t="shared" si="1111"/>
        <v>3075</v>
      </c>
      <c r="Q675" s="76">
        <f t="shared" si="1111"/>
        <v>13430</v>
      </c>
      <c r="R675" s="76">
        <f t="shared" si="1111"/>
        <v>13430</v>
      </c>
      <c r="S675" s="76">
        <f t="shared" si="1111"/>
        <v>13430</v>
      </c>
    </row>
    <row r="676" spans="1:20" ht="15">
      <c r="A676" s="41"/>
      <c r="B676" s="40" t="s">
        <v>259</v>
      </c>
      <c r="C676" s="19" t="s">
        <v>225</v>
      </c>
      <c r="D676" s="76">
        <f t="shared" ref="D676:S676" si="1112">D677+D678+D679</f>
        <v>12130</v>
      </c>
      <c r="E676" s="76">
        <f t="shared" si="1112"/>
        <v>9671</v>
      </c>
      <c r="F676" s="76">
        <f t="shared" si="1112"/>
        <v>12130</v>
      </c>
      <c r="G676" s="76">
        <f t="shared" si="1112"/>
        <v>12330</v>
      </c>
      <c r="H676" s="76">
        <f t="shared" si="1112"/>
        <v>12290</v>
      </c>
      <c r="I676" s="330">
        <f t="shared" si="1112"/>
        <v>14506</v>
      </c>
      <c r="J676" s="76">
        <f t="shared" si="1112"/>
        <v>13430</v>
      </c>
      <c r="K676" s="72">
        <f t="shared" si="1083"/>
        <v>0</v>
      </c>
      <c r="L676" s="72">
        <f t="shared" si="1084"/>
        <v>13430</v>
      </c>
      <c r="M676" s="76">
        <f t="shared" ref="M676" si="1113">M677+M678+M679</f>
        <v>3735</v>
      </c>
      <c r="N676" s="76">
        <f t="shared" ref="N676" si="1114">N677+N678+N679</f>
        <v>3335</v>
      </c>
      <c r="O676" s="76">
        <f t="shared" ref="O676:P676" si="1115">O677+O678+O679</f>
        <v>3285</v>
      </c>
      <c r="P676" s="76">
        <f t="shared" si="1115"/>
        <v>3075</v>
      </c>
      <c r="Q676" s="76">
        <f t="shared" si="1112"/>
        <v>13430</v>
      </c>
      <c r="R676" s="76">
        <f t="shared" si="1112"/>
        <v>13430</v>
      </c>
      <c r="S676" s="76">
        <f t="shared" si="1112"/>
        <v>13430</v>
      </c>
    </row>
    <row r="677" spans="1:20" ht="15.75" customHeight="1">
      <c r="A677" s="41"/>
      <c r="B677" s="40" t="s">
        <v>162</v>
      </c>
      <c r="C677" s="19">
        <v>10</v>
      </c>
      <c r="D677" s="75">
        <v>7600</v>
      </c>
      <c r="E677" s="75">
        <v>5838</v>
      </c>
      <c r="F677" s="75">
        <v>7600</v>
      </c>
      <c r="G677" s="75">
        <v>7345</v>
      </c>
      <c r="H677" s="75">
        <v>7308</v>
      </c>
      <c r="I677" s="329">
        <v>9150</v>
      </c>
      <c r="J677" s="75">
        <v>9000</v>
      </c>
      <c r="K677" s="72">
        <f t="shared" si="1083"/>
        <v>0</v>
      </c>
      <c r="L677" s="72">
        <f t="shared" si="1084"/>
        <v>9000</v>
      </c>
      <c r="M677" s="75">
        <v>2600</v>
      </c>
      <c r="N677" s="75">
        <v>2200</v>
      </c>
      <c r="O677" s="75">
        <v>2200</v>
      </c>
      <c r="P677" s="75">
        <v>2000</v>
      </c>
      <c r="Q677" s="73">
        <v>9000</v>
      </c>
      <c r="R677" s="73">
        <v>9000</v>
      </c>
      <c r="S677" s="73">
        <v>9000</v>
      </c>
    </row>
    <row r="678" spans="1:20" ht="15.75" customHeight="1">
      <c r="A678" s="41"/>
      <c r="B678" s="40" t="s">
        <v>886</v>
      </c>
      <c r="C678" s="19">
        <v>20</v>
      </c>
      <c r="D678" s="75">
        <f>4300+100</f>
        <v>4400</v>
      </c>
      <c r="E678" s="75">
        <v>3763</v>
      </c>
      <c r="F678" s="75">
        <v>4400</v>
      </c>
      <c r="G678" s="75">
        <v>4870</v>
      </c>
      <c r="H678" s="75">
        <v>4870</v>
      </c>
      <c r="I678" s="329">
        <v>5226</v>
      </c>
      <c r="J678" s="75">
        <v>4300</v>
      </c>
      <c r="K678" s="72">
        <f t="shared" si="1083"/>
        <v>0</v>
      </c>
      <c r="L678" s="72">
        <f t="shared" si="1084"/>
        <v>4300</v>
      </c>
      <c r="M678" s="75">
        <v>1100</v>
      </c>
      <c r="N678" s="75">
        <v>1100</v>
      </c>
      <c r="O678" s="75">
        <v>1050</v>
      </c>
      <c r="P678" s="75">
        <v>1050</v>
      </c>
      <c r="Q678" s="73">
        <v>4300</v>
      </c>
      <c r="R678" s="73">
        <v>4300</v>
      </c>
      <c r="S678" s="73">
        <v>4300</v>
      </c>
    </row>
    <row r="679" spans="1:20" ht="17.25" customHeight="1">
      <c r="A679" s="41"/>
      <c r="B679" s="40" t="s">
        <v>469</v>
      </c>
      <c r="C679" s="19">
        <v>59</v>
      </c>
      <c r="D679" s="75">
        <v>130</v>
      </c>
      <c r="E679" s="75">
        <v>70</v>
      </c>
      <c r="F679" s="75">
        <v>130</v>
      </c>
      <c r="G679" s="75">
        <v>115</v>
      </c>
      <c r="H679" s="75">
        <v>112</v>
      </c>
      <c r="I679" s="329">
        <v>130</v>
      </c>
      <c r="J679" s="75">
        <v>130</v>
      </c>
      <c r="K679" s="72">
        <f t="shared" si="1083"/>
        <v>0</v>
      </c>
      <c r="L679" s="72">
        <f t="shared" si="1084"/>
        <v>130</v>
      </c>
      <c r="M679" s="75">
        <v>35</v>
      </c>
      <c r="N679" s="75">
        <v>35</v>
      </c>
      <c r="O679" s="75">
        <v>35</v>
      </c>
      <c r="P679" s="75">
        <v>25</v>
      </c>
      <c r="Q679" s="73">
        <v>130</v>
      </c>
      <c r="R679" s="73">
        <v>130</v>
      </c>
      <c r="S679" s="73">
        <v>130</v>
      </c>
    </row>
    <row r="680" spans="1:20" ht="13.5" hidden="1" customHeight="1">
      <c r="A680" s="41"/>
      <c r="B680" s="33" t="s">
        <v>172</v>
      </c>
      <c r="C680" s="19"/>
      <c r="D680" s="81">
        <f t="shared" ref="D680:S680" si="1116">D681</f>
        <v>0</v>
      </c>
      <c r="E680" s="81">
        <f t="shared" si="1116"/>
        <v>129</v>
      </c>
      <c r="F680" s="81">
        <f t="shared" si="1116"/>
        <v>373</v>
      </c>
      <c r="G680" s="81">
        <f>G681</f>
        <v>443</v>
      </c>
      <c r="H680" s="81">
        <f t="shared" si="1116"/>
        <v>361</v>
      </c>
      <c r="I680" s="339">
        <f t="shared" si="1116"/>
        <v>1703</v>
      </c>
      <c r="J680" s="81">
        <f t="shared" si="1116"/>
        <v>0</v>
      </c>
      <c r="K680" s="72">
        <f t="shared" si="1083"/>
        <v>0</v>
      </c>
      <c r="L680" s="72">
        <f t="shared" si="1084"/>
        <v>0</v>
      </c>
      <c r="M680" s="81">
        <f t="shared" si="1116"/>
        <v>0</v>
      </c>
      <c r="N680" s="81">
        <f t="shared" si="1116"/>
        <v>0</v>
      </c>
      <c r="O680" s="81">
        <f t="shared" si="1116"/>
        <v>0</v>
      </c>
      <c r="P680" s="81">
        <f t="shared" si="1116"/>
        <v>0</v>
      </c>
      <c r="Q680" s="81">
        <f t="shared" si="1116"/>
        <v>0</v>
      </c>
      <c r="R680" s="81">
        <f t="shared" si="1116"/>
        <v>0</v>
      </c>
      <c r="S680" s="81">
        <f t="shared" si="1116"/>
        <v>0</v>
      </c>
    </row>
    <row r="681" spans="1:20" ht="15" hidden="1">
      <c r="A681" s="41"/>
      <c r="B681" s="40" t="s">
        <v>178</v>
      </c>
      <c r="C681" s="19" t="s">
        <v>179</v>
      </c>
      <c r="D681" s="75">
        <v>0</v>
      </c>
      <c r="E681" s="75">
        <v>129</v>
      </c>
      <c r="F681" s="75">
        <v>373</v>
      </c>
      <c r="G681" s="75">
        <v>443</v>
      </c>
      <c r="H681" s="75">
        <v>361</v>
      </c>
      <c r="I681" s="329">
        <v>1703</v>
      </c>
      <c r="J681" s="75"/>
      <c r="K681" s="72">
        <f t="shared" si="1083"/>
        <v>0</v>
      </c>
      <c r="L681" s="72">
        <f t="shared" si="1084"/>
        <v>0</v>
      </c>
      <c r="M681" s="75"/>
      <c r="N681" s="75"/>
      <c r="O681" s="75"/>
      <c r="P681" s="75"/>
      <c r="Q681" s="73">
        <v>0</v>
      </c>
      <c r="R681" s="73">
        <v>0</v>
      </c>
      <c r="S681" s="73">
        <v>0</v>
      </c>
    </row>
    <row r="682" spans="1:20" ht="28.5">
      <c r="A682" s="41" t="s">
        <v>476</v>
      </c>
      <c r="B682" s="38" t="s">
        <v>332</v>
      </c>
      <c r="C682" s="19" t="s">
        <v>333</v>
      </c>
      <c r="D682" s="81">
        <f t="shared" ref="D682:S682" si="1117">D683+D688</f>
        <v>2150</v>
      </c>
      <c r="E682" s="81">
        <f t="shared" si="1117"/>
        <v>1484</v>
      </c>
      <c r="F682" s="81">
        <f t="shared" si="1117"/>
        <v>2150</v>
      </c>
      <c r="G682" s="81">
        <f t="shared" si="1117"/>
        <v>2150</v>
      </c>
      <c r="H682" s="81">
        <f t="shared" si="1117"/>
        <v>1942</v>
      </c>
      <c r="I682" s="339">
        <f t="shared" si="1117"/>
        <v>2589</v>
      </c>
      <c r="J682" s="81">
        <f t="shared" si="1117"/>
        <v>2442</v>
      </c>
      <c r="K682" s="72">
        <f t="shared" si="1083"/>
        <v>0</v>
      </c>
      <c r="L682" s="72">
        <f t="shared" si="1084"/>
        <v>2442</v>
      </c>
      <c r="M682" s="81">
        <f t="shared" ref="M682" si="1118">M683+M688</f>
        <v>682</v>
      </c>
      <c r="N682" s="81">
        <f t="shared" ref="N682" si="1119">N683+N688</f>
        <v>675</v>
      </c>
      <c r="O682" s="81">
        <f t="shared" ref="O682:P682" si="1120">O683+O688</f>
        <v>575</v>
      </c>
      <c r="P682" s="81">
        <f t="shared" si="1120"/>
        <v>510</v>
      </c>
      <c r="Q682" s="81">
        <f t="shared" si="1117"/>
        <v>2385</v>
      </c>
      <c r="R682" s="81">
        <f t="shared" si="1117"/>
        <v>2385</v>
      </c>
      <c r="S682" s="81">
        <f t="shared" si="1117"/>
        <v>2385</v>
      </c>
      <c r="T682" s="148"/>
    </row>
    <row r="683" spans="1:20" ht="14.25">
      <c r="A683" s="41"/>
      <c r="B683" s="31" t="s">
        <v>160</v>
      </c>
      <c r="C683" s="19"/>
      <c r="D683" s="81">
        <f t="shared" ref="D683:S684" si="1121">D684</f>
        <v>2150</v>
      </c>
      <c r="E683" s="81">
        <f t="shared" si="1121"/>
        <v>1448</v>
      </c>
      <c r="F683" s="81">
        <f t="shared" si="1121"/>
        <v>2150</v>
      </c>
      <c r="G683" s="81">
        <f t="shared" si="1121"/>
        <v>2150</v>
      </c>
      <c r="H683" s="81">
        <f t="shared" si="1121"/>
        <v>1942</v>
      </c>
      <c r="I683" s="339">
        <f t="shared" si="1121"/>
        <v>2412</v>
      </c>
      <c r="J683" s="81">
        <f t="shared" si="1121"/>
        <v>2385</v>
      </c>
      <c r="K683" s="72">
        <f t="shared" si="1083"/>
        <v>0</v>
      </c>
      <c r="L683" s="72">
        <f t="shared" si="1084"/>
        <v>2385</v>
      </c>
      <c r="M683" s="81">
        <f t="shared" si="1121"/>
        <v>625</v>
      </c>
      <c r="N683" s="81">
        <f t="shared" si="1121"/>
        <v>675</v>
      </c>
      <c r="O683" s="81">
        <f t="shared" si="1121"/>
        <v>575</v>
      </c>
      <c r="P683" s="81">
        <f t="shared" si="1121"/>
        <v>510</v>
      </c>
      <c r="Q683" s="81">
        <f t="shared" si="1121"/>
        <v>2385</v>
      </c>
      <c r="R683" s="81">
        <f t="shared" si="1121"/>
        <v>2385</v>
      </c>
      <c r="S683" s="81">
        <f t="shared" si="1121"/>
        <v>2385</v>
      </c>
    </row>
    <row r="684" spans="1:20" ht="15">
      <c r="A684" s="41"/>
      <c r="B684" s="40" t="s">
        <v>161</v>
      </c>
      <c r="C684" s="19">
        <v>1</v>
      </c>
      <c r="D684" s="76">
        <f t="shared" si="1121"/>
        <v>2150</v>
      </c>
      <c r="E684" s="76">
        <f t="shared" si="1121"/>
        <v>1448</v>
      </c>
      <c r="F684" s="76">
        <f t="shared" si="1121"/>
        <v>2150</v>
      </c>
      <c r="G684" s="76">
        <f t="shared" si="1121"/>
        <v>2150</v>
      </c>
      <c r="H684" s="76">
        <f t="shared" si="1121"/>
        <v>1942</v>
      </c>
      <c r="I684" s="330">
        <f t="shared" si="1121"/>
        <v>2412</v>
      </c>
      <c r="J684" s="76">
        <f t="shared" si="1121"/>
        <v>2385</v>
      </c>
      <c r="K684" s="72">
        <f t="shared" si="1083"/>
        <v>0</v>
      </c>
      <c r="L684" s="72">
        <f t="shared" si="1084"/>
        <v>2385</v>
      </c>
      <c r="M684" s="76">
        <f t="shared" si="1121"/>
        <v>625</v>
      </c>
      <c r="N684" s="76">
        <f t="shared" si="1121"/>
        <v>675</v>
      </c>
      <c r="O684" s="76">
        <f t="shared" si="1121"/>
        <v>575</v>
      </c>
      <c r="P684" s="76">
        <f t="shared" si="1121"/>
        <v>510</v>
      </c>
      <c r="Q684" s="76">
        <f t="shared" si="1121"/>
        <v>2385</v>
      </c>
      <c r="R684" s="76">
        <f t="shared" si="1121"/>
        <v>2385</v>
      </c>
      <c r="S684" s="76">
        <f t="shared" si="1121"/>
        <v>2385</v>
      </c>
    </row>
    <row r="685" spans="1:20" ht="15">
      <c r="A685" s="41"/>
      <c r="B685" s="40" t="s">
        <v>259</v>
      </c>
      <c r="C685" s="19" t="s">
        <v>225</v>
      </c>
      <c r="D685" s="76">
        <f t="shared" ref="D685:S685" si="1122">D686+D687</f>
        <v>2150</v>
      </c>
      <c r="E685" s="76">
        <f t="shared" si="1122"/>
        <v>1448</v>
      </c>
      <c r="F685" s="76">
        <f t="shared" si="1122"/>
        <v>2150</v>
      </c>
      <c r="G685" s="76">
        <f t="shared" si="1122"/>
        <v>2150</v>
      </c>
      <c r="H685" s="76">
        <f t="shared" si="1122"/>
        <v>1942</v>
      </c>
      <c r="I685" s="330">
        <f t="shared" si="1122"/>
        <v>2412</v>
      </c>
      <c r="J685" s="76">
        <f t="shared" si="1122"/>
        <v>2385</v>
      </c>
      <c r="K685" s="72">
        <f t="shared" si="1083"/>
        <v>0</v>
      </c>
      <c r="L685" s="72">
        <f t="shared" si="1084"/>
        <v>2385</v>
      </c>
      <c r="M685" s="76">
        <f t="shared" ref="M685" si="1123">M686+M687</f>
        <v>625</v>
      </c>
      <c r="N685" s="76">
        <f t="shared" ref="N685" si="1124">N686+N687</f>
        <v>675</v>
      </c>
      <c r="O685" s="76">
        <f t="shared" ref="O685:P685" si="1125">O686+O687</f>
        <v>575</v>
      </c>
      <c r="P685" s="76">
        <f t="shared" si="1125"/>
        <v>510</v>
      </c>
      <c r="Q685" s="76">
        <f t="shared" si="1122"/>
        <v>2385</v>
      </c>
      <c r="R685" s="76">
        <f t="shared" si="1122"/>
        <v>2385</v>
      </c>
      <c r="S685" s="76">
        <f t="shared" si="1122"/>
        <v>2385</v>
      </c>
    </row>
    <row r="686" spans="1:20" ht="15" customHeight="1">
      <c r="A686" s="41"/>
      <c r="B686" s="40" t="s">
        <v>162</v>
      </c>
      <c r="C686" s="19">
        <v>10</v>
      </c>
      <c r="D686" s="75">
        <v>1350</v>
      </c>
      <c r="E686" s="75">
        <v>905</v>
      </c>
      <c r="F686" s="75">
        <v>1350</v>
      </c>
      <c r="G686" s="75">
        <v>1350</v>
      </c>
      <c r="H686" s="75">
        <v>1250</v>
      </c>
      <c r="I686" s="329">
        <v>1485</v>
      </c>
      <c r="J686" s="75">
        <v>1485</v>
      </c>
      <c r="K686" s="72">
        <f t="shared" si="1083"/>
        <v>0</v>
      </c>
      <c r="L686" s="72">
        <f t="shared" si="1084"/>
        <v>1485</v>
      </c>
      <c r="M686" s="75">
        <v>400</v>
      </c>
      <c r="N686" s="75">
        <v>400</v>
      </c>
      <c r="O686" s="75">
        <v>375</v>
      </c>
      <c r="P686" s="75">
        <v>310</v>
      </c>
      <c r="Q686" s="73">
        <v>1485</v>
      </c>
      <c r="R686" s="73">
        <v>1485</v>
      </c>
      <c r="S686" s="73">
        <v>1485</v>
      </c>
    </row>
    <row r="687" spans="1:20" ht="15.75" customHeight="1">
      <c r="A687" s="41"/>
      <c r="B687" s="40" t="s">
        <v>886</v>
      </c>
      <c r="C687" s="19">
        <v>20</v>
      </c>
      <c r="D687" s="75">
        <f>750+50</f>
        <v>800</v>
      </c>
      <c r="E687" s="75">
        <v>543</v>
      </c>
      <c r="F687" s="75">
        <v>800</v>
      </c>
      <c r="G687" s="75">
        <v>800</v>
      </c>
      <c r="H687" s="75">
        <v>692</v>
      </c>
      <c r="I687" s="329">
        <v>927</v>
      </c>
      <c r="J687" s="75">
        <v>900</v>
      </c>
      <c r="K687" s="72">
        <f t="shared" si="1083"/>
        <v>0</v>
      </c>
      <c r="L687" s="72">
        <f t="shared" si="1084"/>
        <v>900</v>
      </c>
      <c r="M687" s="75">
        <v>225</v>
      </c>
      <c r="N687" s="75">
        <f>225+50</f>
        <v>275</v>
      </c>
      <c r="O687" s="75">
        <v>200</v>
      </c>
      <c r="P687" s="75">
        <v>200</v>
      </c>
      <c r="Q687" s="73">
        <v>900</v>
      </c>
      <c r="R687" s="73">
        <v>900</v>
      </c>
      <c r="S687" s="73">
        <v>900</v>
      </c>
    </row>
    <row r="688" spans="1:20" ht="20.25" customHeight="1">
      <c r="A688" s="41"/>
      <c r="B688" s="33" t="s">
        <v>172</v>
      </c>
      <c r="C688" s="19"/>
      <c r="D688" s="75">
        <f t="shared" ref="D688" si="1126">D689</f>
        <v>0</v>
      </c>
      <c r="E688" s="75">
        <f>E689</f>
        <v>36</v>
      </c>
      <c r="F688" s="75">
        <f t="shared" ref="F688:S688" si="1127">F689</f>
        <v>0</v>
      </c>
      <c r="G688" s="75">
        <f t="shared" si="1127"/>
        <v>0</v>
      </c>
      <c r="H688" s="75">
        <f t="shared" si="1127"/>
        <v>0</v>
      </c>
      <c r="I688" s="329">
        <f t="shared" si="1127"/>
        <v>177</v>
      </c>
      <c r="J688" s="75">
        <f t="shared" si="1127"/>
        <v>57</v>
      </c>
      <c r="K688" s="72">
        <f t="shared" si="1083"/>
        <v>0</v>
      </c>
      <c r="L688" s="72">
        <f t="shared" si="1084"/>
        <v>57</v>
      </c>
      <c r="M688" s="75">
        <f t="shared" si="1127"/>
        <v>57</v>
      </c>
      <c r="N688" s="75">
        <f t="shared" si="1127"/>
        <v>0</v>
      </c>
      <c r="O688" s="75">
        <f t="shared" si="1127"/>
        <v>0</v>
      </c>
      <c r="P688" s="75">
        <f t="shared" si="1127"/>
        <v>0</v>
      </c>
      <c r="Q688" s="75">
        <f t="shared" si="1127"/>
        <v>0</v>
      </c>
      <c r="R688" s="75">
        <f t="shared" si="1127"/>
        <v>0</v>
      </c>
      <c r="S688" s="75">
        <f t="shared" si="1127"/>
        <v>0</v>
      </c>
    </row>
    <row r="689" spans="1:19" ht="18.75" customHeight="1">
      <c r="A689" s="41"/>
      <c r="B689" s="40" t="s">
        <v>178</v>
      </c>
      <c r="C689" s="19" t="s">
        <v>179</v>
      </c>
      <c r="D689" s="75">
        <v>0</v>
      </c>
      <c r="E689" s="75">
        <v>36</v>
      </c>
      <c r="F689" s="75"/>
      <c r="G689" s="75"/>
      <c r="H689" s="75"/>
      <c r="I689" s="329">
        <v>177</v>
      </c>
      <c r="J689" s="75">
        <v>57</v>
      </c>
      <c r="K689" s="72">
        <f t="shared" si="1083"/>
        <v>0</v>
      </c>
      <c r="L689" s="72">
        <f t="shared" si="1084"/>
        <v>57</v>
      </c>
      <c r="M689" s="75">
        <v>57</v>
      </c>
      <c r="N689" s="75"/>
      <c r="O689" s="75"/>
      <c r="P689" s="75"/>
      <c r="Q689" s="73"/>
      <c r="R689" s="73"/>
      <c r="S689" s="73"/>
    </row>
    <row r="690" spans="1:19" ht="14.25">
      <c r="A690" s="41" t="s">
        <v>477</v>
      </c>
      <c r="B690" s="57" t="s">
        <v>468</v>
      </c>
      <c r="C690" s="19" t="s">
        <v>334</v>
      </c>
      <c r="D690" s="81">
        <f t="shared" ref="D690:S690" si="1128">D691+D696</f>
        <v>7015</v>
      </c>
      <c r="E690" s="81">
        <f t="shared" si="1128"/>
        <v>5019</v>
      </c>
      <c r="F690" s="81">
        <f t="shared" si="1128"/>
        <v>7031</v>
      </c>
      <c r="G690" s="81">
        <f t="shared" si="1128"/>
        <v>7077</v>
      </c>
      <c r="H690" s="81">
        <f t="shared" si="1128"/>
        <v>6682</v>
      </c>
      <c r="I690" s="339">
        <f t="shared" si="1128"/>
        <v>8819</v>
      </c>
      <c r="J690" s="81">
        <f t="shared" si="1128"/>
        <v>6876</v>
      </c>
      <c r="K690" s="72">
        <f t="shared" si="1083"/>
        <v>0</v>
      </c>
      <c r="L690" s="72">
        <f t="shared" si="1084"/>
        <v>6876</v>
      </c>
      <c r="M690" s="81">
        <f t="shared" ref="M690" si="1129">M691+M696</f>
        <v>1926</v>
      </c>
      <c r="N690" s="81">
        <f t="shared" ref="N690" si="1130">N691+N696</f>
        <v>1750</v>
      </c>
      <c r="O690" s="81">
        <f t="shared" ref="O690:P690" si="1131">O691+O696</f>
        <v>1725</v>
      </c>
      <c r="P690" s="81">
        <f t="shared" si="1131"/>
        <v>1475</v>
      </c>
      <c r="Q690" s="81">
        <f t="shared" si="1128"/>
        <v>6900</v>
      </c>
      <c r="R690" s="81">
        <f t="shared" si="1128"/>
        <v>6900</v>
      </c>
      <c r="S690" s="81">
        <f t="shared" si="1128"/>
        <v>6900</v>
      </c>
    </row>
    <row r="691" spans="1:19" ht="14.25">
      <c r="A691" s="41"/>
      <c r="B691" s="31" t="s">
        <v>160</v>
      </c>
      <c r="C691" s="19"/>
      <c r="D691" s="81">
        <f t="shared" ref="D691:S692" si="1132">D692</f>
        <v>6300</v>
      </c>
      <c r="E691" s="81">
        <f t="shared" si="1132"/>
        <v>3415</v>
      </c>
      <c r="F691" s="81">
        <f t="shared" si="1132"/>
        <v>6300</v>
      </c>
      <c r="G691" s="81">
        <f t="shared" si="1132"/>
        <v>6300</v>
      </c>
      <c r="H691" s="81">
        <f t="shared" si="1132"/>
        <v>5952</v>
      </c>
      <c r="I691" s="339">
        <f t="shared" si="1132"/>
        <v>7957</v>
      </c>
      <c r="J691" s="81">
        <f t="shared" si="1132"/>
        <v>6800</v>
      </c>
      <c r="K691" s="72">
        <f t="shared" si="1083"/>
        <v>0</v>
      </c>
      <c r="L691" s="72">
        <f t="shared" si="1084"/>
        <v>6800</v>
      </c>
      <c r="M691" s="81">
        <f t="shared" si="1132"/>
        <v>1850</v>
      </c>
      <c r="N691" s="81">
        <f t="shared" si="1132"/>
        <v>1750</v>
      </c>
      <c r="O691" s="81">
        <f t="shared" si="1132"/>
        <v>1725</v>
      </c>
      <c r="P691" s="81">
        <f t="shared" si="1132"/>
        <v>1475</v>
      </c>
      <c r="Q691" s="81">
        <f t="shared" si="1132"/>
        <v>6900</v>
      </c>
      <c r="R691" s="81">
        <f t="shared" si="1132"/>
        <v>6900</v>
      </c>
      <c r="S691" s="81">
        <f t="shared" si="1132"/>
        <v>6900</v>
      </c>
    </row>
    <row r="692" spans="1:19" ht="15">
      <c r="A692" s="41"/>
      <c r="B692" s="40" t="s">
        <v>161</v>
      </c>
      <c r="C692" s="19">
        <v>1</v>
      </c>
      <c r="D692" s="76">
        <f t="shared" si="1132"/>
        <v>6300</v>
      </c>
      <c r="E692" s="76">
        <f t="shared" si="1132"/>
        <v>3415</v>
      </c>
      <c r="F692" s="76">
        <f t="shared" si="1132"/>
        <v>6300</v>
      </c>
      <c r="G692" s="76">
        <f t="shared" si="1132"/>
        <v>6300</v>
      </c>
      <c r="H692" s="76">
        <f t="shared" si="1132"/>
        <v>5952</v>
      </c>
      <c r="I692" s="330">
        <f t="shared" si="1132"/>
        <v>7957</v>
      </c>
      <c r="J692" s="76">
        <f t="shared" si="1132"/>
        <v>6800</v>
      </c>
      <c r="K692" s="72">
        <f t="shared" si="1083"/>
        <v>0</v>
      </c>
      <c r="L692" s="72">
        <f t="shared" si="1084"/>
        <v>6800</v>
      </c>
      <c r="M692" s="76">
        <f t="shared" si="1132"/>
        <v>1850</v>
      </c>
      <c r="N692" s="76">
        <f t="shared" si="1132"/>
        <v>1750</v>
      </c>
      <c r="O692" s="76">
        <f t="shared" si="1132"/>
        <v>1725</v>
      </c>
      <c r="P692" s="76">
        <f t="shared" si="1132"/>
        <v>1475</v>
      </c>
      <c r="Q692" s="76">
        <f t="shared" si="1132"/>
        <v>6900</v>
      </c>
      <c r="R692" s="76">
        <f t="shared" si="1132"/>
        <v>6900</v>
      </c>
      <c r="S692" s="76">
        <f t="shared" si="1132"/>
        <v>6900</v>
      </c>
    </row>
    <row r="693" spans="1:19" ht="15">
      <c r="A693" s="41"/>
      <c r="B693" s="40" t="s">
        <v>259</v>
      </c>
      <c r="C693" s="19" t="s">
        <v>225</v>
      </c>
      <c r="D693" s="76">
        <f t="shared" ref="D693:S693" si="1133">D694+D695</f>
        <v>6300</v>
      </c>
      <c r="E693" s="76">
        <f t="shared" si="1133"/>
        <v>3415</v>
      </c>
      <c r="F693" s="76">
        <f t="shared" si="1133"/>
        <v>6300</v>
      </c>
      <c r="G693" s="76">
        <f t="shared" si="1133"/>
        <v>6300</v>
      </c>
      <c r="H693" s="76">
        <f t="shared" si="1133"/>
        <v>5952</v>
      </c>
      <c r="I693" s="330">
        <f t="shared" si="1133"/>
        <v>7957</v>
      </c>
      <c r="J693" s="76">
        <f t="shared" si="1133"/>
        <v>6800</v>
      </c>
      <c r="K693" s="72">
        <f t="shared" si="1083"/>
        <v>0</v>
      </c>
      <c r="L693" s="72">
        <f t="shared" si="1084"/>
        <v>6800</v>
      </c>
      <c r="M693" s="76">
        <f t="shared" ref="M693" si="1134">M694+M695</f>
        <v>1850</v>
      </c>
      <c r="N693" s="76">
        <f t="shared" ref="N693" si="1135">N694+N695</f>
        <v>1750</v>
      </c>
      <c r="O693" s="76">
        <f t="shared" ref="O693:P693" si="1136">O694+O695</f>
        <v>1725</v>
      </c>
      <c r="P693" s="76">
        <f t="shared" si="1136"/>
        <v>1475</v>
      </c>
      <c r="Q693" s="76">
        <f t="shared" si="1133"/>
        <v>6900</v>
      </c>
      <c r="R693" s="76">
        <f t="shared" si="1133"/>
        <v>6900</v>
      </c>
      <c r="S693" s="76">
        <f t="shared" si="1133"/>
        <v>6900</v>
      </c>
    </row>
    <row r="694" spans="1:19" ht="16.5" customHeight="1">
      <c r="A694" s="41"/>
      <c r="B694" s="40" t="s">
        <v>162</v>
      </c>
      <c r="C694" s="19">
        <v>10</v>
      </c>
      <c r="D694" s="75">
        <v>3300</v>
      </c>
      <c r="E694" s="75">
        <v>1667</v>
      </c>
      <c r="F694" s="75">
        <v>3300</v>
      </c>
      <c r="G694" s="75">
        <v>3259</v>
      </c>
      <c r="H694" s="75">
        <v>3110</v>
      </c>
      <c r="I694" s="329">
        <v>3919</v>
      </c>
      <c r="J694" s="75">
        <v>3900</v>
      </c>
      <c r="K694" s="72">
        <f t="shared" si="1083"/>
        <v>0</v>
      </c>
      <c r="L694" s="72">
        <f t="shared" si="1084"/>
        <v>3900</v>
      </c>
      <c r="M694" s="75">
        <v>1100</v>
      </c>
      <c r="N694" s="75">
        <v>1000</v>
      </c>
      <c r="O694" s="75">
        <v>1000</v>
      </c>
      <c r="P694" s="75">
        <v>800</v>
      </c>
      <c r="Q694" s="73">
        <v>4000</v>
      </c>
      <c r="R694" s="73">
        <v>4000</v>
      </c>
      <c r="S694" s="73">
        <v>4000</v>
      </c>
    </row>
    <row r="695" spans="1:19" ht="15.75" customHeight="1">
      <c r="A695" s="41"/>
      <c r="B695" s="40" t="s">
        <v>886</v>
      </c>
      <c r="C695" s="19">
        <v>20</v>
      </c>
      <c r="D695" s="75">
        <f>2800+200</f>
        <v>3000</v>
      </c>
      <c r="E695" s="75">
        <v>1748</v>
      </c>
      <c r="F695" s="75">
        <v>3000</v>
      </c>
      <c r="G695" s="75">
        <v>3041</v>
      </c>
      <c r="H695" s="75">
        <v>2842</v>
      </c>
      <c r="I695" s="329">
        <v>4038</v>
      </c>
      <c r="J695" s="75">
        <v>2900</v>
      </c>
      <c r="K695" s="72">
        <f t="shared" si="1083"/>
        <v>0</v>
      </c>
      <c r="L695" s="72">
        <f t="shared" si="1084"/>
        <v>2900</v>
      </c>
      <c r="M695" s="75">
        <v>750</v>
      </c>
      <c r="N695" s="75">
        <v>750</v>
      </c>
      <c r="O695" s="75">
        <v>725</v>
      </c>
      <c r="P695" s="75">
        <v>675</v>
      </c>
      <c r="Q695" s="73">
        <v>2900</v>
      </c>
      <c r="R695" s="73">
        <v>2900</v>
      </c>
      <c r="S695" s="73">
        <v>2900</v>
      </c>
    </row>
    <row r="696" spans="1:19" ht="13.5" customHeight="1">
      <c r="A696" s="41"/>
      <c r="B696" s="33" t="s">
        <v>172</v>
      </c>
      <c r="C696" s="19"/>
      <c r="D696" s="76">
        <f t="shared" ref="D696:S696" si="1137">D697</f>
        <v>715</v>
      </c>
      <c r="E696" s="76">
        <f t="shared" si="1137"/>
        <v>1604</v>
      </c>
      <c r="F696" s="76">
        <f t="shared" si="1137"/>
        <v>731</v>
      </c>
      <c r="G696" s="76">
        <f t="shared" si="1137"/>
        <v>777</v>
      </c>
      <c r="H696" s="76">
        <f t="shared" si="1137"/>
        <v>730</v>
      </c>
      <c r="I696" s="330">
        <f t="shared" si="1137"/>
        <v>862</v>
      </c>
      <c r="J696" s="76">
        <f t="shared" si="1137"/>
        <v>76</v>
      </c>
      <c r="K696" s="72">
        <f t="shared" si="1083"/>
        <v>0</v>
      </c>
      <c r="L696" s="72">
        <f t="shared" si="1084"/>
        <v>76</v>
      </c>
      <c r="M696" s="76">
        <f t="shared" si="1137"/>
        <v>76</v>
      </c>
      <c r="N696" s="76">
        <f t="shared" si="1137"/>
        <v>0</v>
      </c>
      <c r="O696" s="76">
        <f t="shared" si="1137"/>
        <v>0</v>
      </c>
      <c r="P696" s="76">
        <f t="shared" si="1137"/>
        <v>0</v>
      </c>
      <c r="Q696" s="76">
        <f t="shared" si="1137"/>
        <v>0</v>
      </c>
      <c r="R696" s="76">
        <f t="shared" si="1137"/>
        <v>0</v>
      </c>
      <c r="S696" s="76">
        <f t="shared" si="1137"/>
        <v>0</v>
      </c>
    </row>
    <row r="697" spans="1:19" ht="15">
      <c r="A697" s="41"/>
      <c r="B697" s="40" t="s">
        <v>178</v>
      </c>
      <c r="C697" s="19" t="s">
        <v>179</v>
      </c>
      <c r="D697" s="75">
        <v>715</v>
      </c>
      <c r="E697" s="75">
        <v>1604</v>
      </c>
      <c r="F697" s="75">
        <v>731</v>
      </c>
      <c r="G697" s="75">
        <v>777</v>
      </c>
      <c r="H697" s="75">
        <v>730</v>
      </c>
      <c r="I697" s="329">
        <v>862</v>
      </c>
      <c r="J697" s="75">
        <f>76</f>
        <v>76</v>
      </c>
      <c r="K697" s="72">
        <f t="shared" si="1083"/>
        <v>0</v>
      </c>
      <c r="L697" s="72">
        <f t="shared" si="1084"/>
        <v>76</v>
      </c>
      <c r="M697" s="75">
        <v>76</v>
      </c>
      <c r="N697" s="75"/>
      <c r="O697" s="75"/>
      <c r="P697" s="75"/>
      <c r="Q697" s="73"/>
      <c r="R697" s="73"/>
      <c r="S697" s="73"/>
    </row>
    <row r="698" spans="1:19" ht="14.25">
      <c r="A698" s="41" t="s">
        <v>478</v>
      </c>
      <c r="B698" s="33" t="s">
        <v>335</v>
      </c>
      <c r="C698" s="19" t="s">
        <v>336</v>
      </c>
      <c r="D698" s="81">
        <f t="shared" ref="D698:S700" si="1138">D699</f>
        <v>13840</v>
      </c>
      <c r="E698" s="81">
        <f t="shared" si="1138"/>
        <v>13488</v>
      </c>
      <c r="F698" s="81">
        <f t="shared" si="1138"/>
        <v>13840</v>
      </c>
      <c r="G698" s="81">
        <f t="shared" si="1138"/>
        <v>13840</v>
      </c>
      <c r="H698" s="81">
        <f t="shared" si="1138"/>
        <v>13707</v>
      </c>
      <c r="I698" s="339">
        <f t="shared" si="1138"/>
        <v>13923</v>
      </c>
      <c r="J698" s="81">
        <f t="shared" si="1138"/>
        <v>14740</v>
      </c>
      <c r="K698" s="72">
        <f t="shared" si="1083"/>
        <v>0</v>
      </c>
      <c r="L698" s="72">
        <f t="shared" si="1084"/>
        <v>14740</v>
      </c>
      <c r="M698" s="81">
        <f t="shared" si="1138"/>
        <v>5270</v>
      </c>
      <c r="N698" s="81">
        <f t="shared" si="1138"/>
        <v>4770</v>
      </c>
      <c r="O698" s="81">
        <f t="shared" si="1138"/>
        <v>2101</v>
      </c>
      <c r="P698" s="81">
        <f t="shared" si="1138"/>
        <v>2599</v>
      </c>
      <c r="Q698" s="81">
        <f t="shared" si="1138"/>
        <v>13923</v>
      </c>
      <c r="R698" s="81">
        <f t="shared" si="1138"/>
        <v>13923</v>
      </c>
      <c r="S698" s="81">
        <f t="shared" si="1138"/>
        <v>13923</v>
      </c>
    </row>
    <row r="699" spans="1:19" ht="14.25">
      <c r="A699" s="41"/>
      <c r="B699" s="31" t="s">
        <v>160</v>
      </c>
      <c r="C699" s="19"/>
      <c r="D699" s="81">
        <f t="shared" si="1138"/>
        <v>13840</v>
      </c>
      <c r="E699" s="81">
        <f>E700+E702</f>
        <v>13488</v>
      </c>
      <c r="F699" s="81">
        <f t="shared" si="1138"/>
        <v>13840</v>
      </c>
      <c r="G699" s="81">
        <f t="shared" si="1138"/>
        <v>13840</v>
      </c>
      <c r="H699" s="81">
        <f t="shared" si="1138"/>
        <v>13707</v>
      </c>
      <c r="I699" s="339">
        <f t="shared" si="1138"/>
        <v>13923</v>
      </c>
      <c r="J699" s="81">
        <f t="shared" si="1138"/>
        <v>14740</v>
      </c>
      <c r="K699" s="72">
        <f t="shared" si="1083"/>
        <v>0</v>
      </c>
      <c r="L699" s="72">
        <f t="shared" si="1084"/>
        <v>14740</v>
      </c>
      <c r="M699" s="81">
        <f t="shared" si="1138"/>
        <v>5270</v>
      </c>
      <c r="N699" s="81">
        <f t="shared" si="1138"/>
        <v>4770</v>
      </c>
      <c r="O699" s="81">
        <f t="shared" si="1138"/>
        <v>2101</v>
      </c>
      <c r="P699" s="81">
        <f t="shared" si="1138"/>
        <v>2599</v>
      </c>
      <c r="Q699" s="81">
        <f t="shared" si="1138"/>
        <v>13923</v>
      </c>
      <c r="R699" s="81">
        <f t="shared" si="1138"/>
        <v>13923</v>
      </c>
      <c r="S699" s="81">
        <f t="shared" si="1138"/>
        <v>13923</v>
      </c>
    </row>
    <row r="700" spans="1:19" ht="15">
      <c r="A700" s="41"/>
      <c r="B700" s="40" t="s">
        <v>161</v>
      </c>
      <c r="C700" s="19">
        <v>1</v>
      </c>
      <c r="D700" s="76">
        <f t="shared" si="1138"/>
        <v>13840</v>
      </c>
      <c r="E700" s="76">
        <f t="shared" si="1138"/>
        <v>13491</v>
      </c>
      <c r="F700" s="76">
        <f t="shared" si="1138"/>
        <v>13840</v>
      </c>
      <c r="G700" s="76">
        <f t="shared" si="1138"/>
        <v>13840</v>
      </c>
      <c r="H700" s="76">
        <f t="shared" si="1138"/>
        <v>13707</v>
      </c>
      <c r="I700" s="330">
        <f t="shared" si="1138"/>
        <v>13923</v>
      </c>
      <c r="J700" s="76">
        <f t="shared" si="1138"/>
        <v>14740</v>
      </c>
      <c r="K700" s="72">
        <f t="shared" si="1083"/>
        <v>0</v>
      </c>
      <c r="L700" s="72">
        <f t="shared" si="1084"/>
        <v>14740</v>
      </c>
      <c r="M700" s="76">
        <f t="shared" si="1138"/>
        <v>5270</v>
      </c>
      <c r="N700" s="76">
        <f t="shared" si="1138"/>
        <v>4770</v>
      </c>
      <c r="O700" s="76">
        <f t="shared" si="1138"/>
        <v>2101</v>
      </c>
      <c r="P700" s="76">
        <f t="shared" si="1138"/>
        <v>2599</v>
      </c>
      <c r="Q700" s="76">
        <f t="shared" si="1138"/>
        <v>13923</v>
      </c>
      <c r="R700" s="76">
        <f t="shared" si="1138"/>
        <v>13923</v>
      </c>
      <c r="S700" s="76">
        <f t="shared" si="1138"/>
        <v>13923</v>
      </c>
    </row>
    <row r="701" spans="1:19" ht="14.25" customHeight="1">
      <c r="A701" s="41"/>
      <c r="B701" s="40" t="s">
        <v>337</v>
      </c>
      <c r="C701" s="19">
        <v>59.15</v>
      </c>
      <c r="D701" s="75">
        <f>13590+250</f>
        <v>13840</v>
      </c>
      <c r="E701" s="136">
        <v>13491</v>
      </c>
      <c r="F701" s="75">
        <v>13840</v>
      </c>
      <c r="G701" s="75">
        <v>13840</v>
      </c>
      <c r="H701" s="75">
        <v>13707</v>
      </c>
      <c r="I701" s="329">
        <v>13923</v>
      </c>
      <c r="J701" s="75">
        <f>13672+1068</f>
        <v>14740</v>
      </c>
      <c r="K701" s="72">
        <f t="shared" si="1083"/>
        <v>0</v>
      </c>
      <c r="L701" s="72">
        <f t="shared" si="1084"/>
        <v>14740</v>
      </c>
      <c r="M701" s="75">
        <f>5000+270</f>
        <v>5270</v>
      </c>
      <c r="N701" s="75">
        <f>4500+270</f>
        <v>4770</v>
      </c>
      <c r="O701" s="75">
        <f>1831+270</f>
        <v>2101</v>
      </c>
      <c r="P701" s="75">
        <f>2341+258</f>
        <v>2599</v>
      </c>
      <c r="Q701" s="75">
        <v>13923</v>
      </c>
      <c r="R701" s="75">
        <v>13923</v>
      </c>
      <c r="S701" s="75">
        <v>13923</v>
      </c>
    </row>
    <row r="702" spans="1:19" ht="15" hidden="1">
      <c r="A702" s="41"/>
      <c r="B702" s="40" t="s">
        <v>171</v>
      </c>
      <c r="C702" s="19" t="s">
        <v>260</v>
      </c>
      <c r="D702" s="75"/>
      <c r="E702" s="136">
        <v>-3</v>
      </c>
      <c r="F702" s="75"/>
      <c r="G702" s="75"/>
      <c r="H702" s="75"/>
      <c r="I702" s="329"/>
      <c r="J702" s="75"/>
      <c r="K702" s="72">
        <f t="shared" si="1083"/>
        <v>0</v>
      </c>
      <c r="L702" s="72">
        <f t="shared" si="1084"/>
        <v>0</v>
      </c>
      <c r="M702" s="75"/>
      <c r="N702" s="75"/>
      <c r="O702" s="75"/>
      <c r="P702" s="75"/>
      <c r="Q702" s="75"/>
      <c r="R702" s="75"/>
      <c r="S702" s="75"/>
    </row>
    <row r="703" spans="1:19" ht="14.25">
      <c r="A703" s="41" t="s">
        <v>479</v>
      </c>
      <c r="B703" s="57" t="s">
        <v>664</v>
      </c>
      <c r="C703" s="19" t="s">
        <v>338</v>
      </c>
      <c r="D703" s="81">
        <f t="shared" ref="D703:S703" si="1139">D704+D710</f>
        <v>1760</v>
      </c>
      <c r="E703" s="81">
        <f t="shared" si="1139"/>
        <v>1226</v>
      </c>
      <c r="F703" s="81">
        <f t="shared" si="1139"/>
        <v>1791</v>
      </c>
      <c r="G703" s="81">
        <f t="shared" si="1139"/>
        <v>1791</v>
      </c>
      <c r="H703" s="81">
        <f t="shared" si="1139"/>
        <v>1735</v>
      </c>
      <c r="I703" s="339">
        <f t="shared" si="1139"/>
        <v>2200</v>
      </c>
      <c r="J703" s="81">
        <f t="shared" si="1139"/>
        <v>1910</v>
      </c>
      <c r="K703" s="72">
        <f t="shared" si="1083"/>
        <v>0</v>
      </c>
      <c r="L703" s="72">
        <f t="shared" si="1084"/>
        <v>1910</v>
      </c>
      <c r="M703" s="81">
        <f t="shared" ref="M703" si="1140">M704+M710</f>
        <v>530</v>
      </c>
      <c r="N703" s="81">
        <f t="shared" ref="N703" si="1141">N704+N710</f>
        <v>480</v>
      </c>
      <c r="O703" s="81">
        <f t="shared" ref="O703:P703" si="1142">O704+O710</f>
        <v>480</v>
      </c>
      <c r="P703" s="81">
        <f t="shared" si="1142"/>
        <v>420</v>
      </c>
      <c r="Q703" s="118">
        <f t="shared" si="1139"/>
        <v>1910</v>
      </c>
      <c r="R703" s="118">
        <f t="shared" si="1139"/>
        <v>1910</v>
      </c>
      <c r="S703" s="118">
        <f t="shared" si="1139"/>
        <v>1910</v>
      </c>
    </row>
    <row r="704" spans="1:19" ht="14.25">
      <c r="A704" s="41"/>
      <c r="B704" s="31" t="s">
        <v>160</v>
      </c>
      <c r="C704" s="19"/>
      <c r="D704" s="81">
        <f t="shared" ref="D704:S704" si="1143">D705</f>
        <v>1760</v>
      </c>
      <c r="E704" s="81">
        <f t="shared" si="1143"/>
        <v>1218</v>
      </c>
      <c r="F704" s="81">
        <f t="shared" si="1143"/>
        <v>1760</v>
      </c>
      <c r="G704" s="81">
        <f t="shared" si="1143"/>
        <v>1760</v>
      </c>
      <c r="H704" s="81">
        <f t="shared" si="1143"/>
        <v>1706</v>
      </c>
      <c r="I704" s="339">
        <f t="shared" si="1143"/>
        <v>2200</v>
      </c>
      <c r="J704" s="81">
        <f t="shared" si="1143"/>
        <v>1910</v>
      </c>
      <c r="K704" s="72">
        <f t="shared" si="1083"/>
        <v>0</v>
      </c>
      <c r="L704" s="72">
        <f t="shared" si="1084"/>
        <v>1910</v>
      </c>
      <c r="M704" s="81">
        <f t="shared" si="1143"/>
        <v>530</v>
      </c>
      <c r="N704" s="81">
        <f t="shared" si="1143"/>
        <v>480</v>
      </c>
      <c r="O704" s="81">
        <f t="shared" si="1143"/>
        <v>480</v>
      </c>
      <c r="P704" s="81">
        <f t="shared" si="1143"/>
        <v>420</v>
      </c>
      <c r="Q704" s="118">
        <f t="shared" si="1143"/>
        <v>1910</v>
      </c>
      <c r="R704" s="118">
        <f t="shared" si="1143"/>
        <v>1910</v>
      </c>
      <c r="S704" s="118">
        <f t="shared" si="1143"/>
        <v>1910</v>
      </c>
    </row>
    <row r="705" spans="1:21" ht="15">
      <c r="A705" s="41"/>
      <c r="B705" s="40" t="s">
        <v>161</v>
      </c>
      <c r="C705" s="19">
        <v>1</v>
      </c>
      <c r="D705" s="76">
        <f t="shared" ref="D705:S705" si="1144">D706+D709</f>
        <v>1760</v>
      </c>
      <c r="E705" s="76">
        <f t="shared" si="1144"/>
        <v>1218</v>
      </c>
      <c r="F705" s="76">
        <f t="shared" si="1144"/>
        <v>1760</v>
      </c>
      <c r="G705" s="76">
        <f t="shared" si="1144"/>
        <v>1760</v>
      </c>
      <c r="H705" s="76">
        <f t="shared" si="1144"/>
        <v>1706</v>
      </c>
      <c r="I705" s="330">
        <f t="shared" si="1144"/>
        <v>2200</v>
      </c>
      <c r="J705" s="76">
        <f t="shared" si="1144"/>
        <v>1910</v>
      </c>
      <c r="K705" s="72">
        <f t="shared" si="1083"/>
        <v>0</v>
      </c>
      <c r="L705" s="72">
        <f t="shared" si="1084"/>
        <v>1910</v>
      </c>
      <c r="M705" s="76">
        <f t="shared" ref="M705" si="1145">M706+M709</f>
        <v>530</v>
      </c>
      <c r="N705" s="76">
        <f t="shared" ref="N705" si="1146">N706+N709</f>
        <v>480</v>
      </c>
      <c r="O705" s="76">
        <f t="shared" ref="O705:P705" si="1147">O706+O709</f>
        <v>480</v>
      </c>
      <c r="P705" s="76">
        <f t="shared" si="1147"/>
        <v>420</v>
      </c>
      <c r="Q705" s="76">
        <f t="shared" si="1144"/>
        <v>1910</v>
      </c>
      <c r="R705" s="76">
        <f t="shared" si="1144"/>
        <v>1910</v>
      </c>
      <c r="S705" s="76">
        <f t="shared" si="1144"/>
        <v>1910</v>
      </c>
    </row>
    <row r="706" spans="1:21" ht="15">
      <c r="A706" s="41"/>
      <c r="B706" s="40" t="s">
        <v>259</v>
      </c>
      <c r="C706" s="19" t="s">
        <v>225</v>
      </c>
      <c r="D706" s="76">
        <f t="shared" ref="D706:S706" si="1148">D707+D708</f>
        <v>1760</v>
      </c>
      <c r="E706" s="76">
        <f t="shared" si="1148"/>
        <v>1218</v>
      </c>
      <c r="F706" s="76">
        <f t="shared" si="1148"/>
        <v>1760</v>
      </c>
      <c r="G706" s="76">
        <f t="shared" si="1148"/>
        <v>1760</v>
      </c>
      <c r="H706" s="76">
        <f t="shared" si="1148"/>
        <v>1706</v>
      </c>
      <c r="I706" s="330">
        <f t="shared" si="1148"/>
        <v>2200</v>
      </c>
      <c r="J706" s="76">
        <f t="shared" si="1148"/>
        <v>1910</v>
      </c>
      <c r="K706" s="72">
        <f t="shared" si="1083"/>
        <v>0</v>
      </c>
      <c r="L706" s="72">
        <f t="shared" si="1084"/>
        <v>1910</v>
      </c>
      <c r="M706" s="76">
        <f t="shared" ref="M706" si="1149">M707+M708</f>
        <v>530</v>
      </c>
      <c r="N706" s="76">
        <f t="shared" ref="N706" si="1150">N707+N708</f>
        <v>480</v>
      </c>
      <c r="O706" s="76">
        <f t="shared" ref="O706:P706" si="1151">O707+O708</f>
        <v>480</v>
      </c>
      <c r="P706" s="76">
        <f t="shared" si="1151"/>
        <v>420</v>
      </c>
      <c r="Q706" s="117">
        <f t="shared" si="1148"/>
        <v>1910</v>
      </c>
      <c r="R706" s="117">
        <f t="shared" si="1148"/>
        <v>1910</v>
      </c>
      <c r="S706" s="117">
        <f t="shared" si="1148"/>
        <v>1910</v>
      </c>
    </row>
    <row r="707" spans="1:21" ht="14.25" customHeight="1">
      <c r="A707" s="41"/>
      <c r="B707" s="40" t="s">
        <v>162</v>
      </c>
      <c r="C707" s="19">
        <v>10</v>
      </c>
      <c r="D707" s="75">
        <v>460</v>
      </c>
      <c r="E707" s="75">
        <v>224</v>
      </c>
      <c r="F707" s="75">
        <v>460</v>
      </c>
      <c r="G707" s="75">
        <v>460</v>
      </c>
      <c r="H707" s="75">
        <v>448</v>
      </c>
      <c r="I707" s="329">
        <v>510</v>
      </c>
      <c r="J707" s="75">
        <v>510</v>
      </c>
      <c r="K707" s="72">
        <f t="shared" si="1083"/>
        <v>0</v>
      </c>
      <c r="L707" s="72">
        <f t="shared" si="1084"/>
        <v>510</v>
      </c>
      <c r="M707" s="75">
        <v>130</v>
      </c>
      <c r="N707" s="75">
        <v>130</v>
      </c>
      <c r="O707" s="75">
        <v>130</v>
      </c>
      <c r="P707" s="75">
        <v>120</v>
      </c>
      <c r="Q707" s="116">
        <v>510</v>
      </c>
      <c r="R707" s="116">
        <v>510</v>
      </c>
      <c r="S707" s="116">
        <v>510</v>
      </c>
    </row>
    <row r="708" spans="1:21" ht="13.5" customHeight="1">
      <c r="A708" s="41"/>
      <c r="B708" s="40" t="s">
        <v>886</v>
      </c>
      <c r="C708" s="19">
        <v>20</v>
      </c>
      <c r="D708" s="75">
        <f>1200+100</f>
        <v>1300</v>
      </c>
      <c r="E708" s="75">
        <v>994</v>
      </c>
      <c r="F708" s="75">
        <v>1300</v>
      </c>
      <c r="G708" s="75">
        <v>1300</v>
      </c>
      <c r="H708" s="75">
        <v>1258</v>
      </c>
      <c r="I708" s="329">
        <v>1690</v>
      </c>
      <c r="J708" s="75">
        <v>1400</v>
      </c>
      <c r="K708" s="72">
        <f t="shared" si="1083"/>
        <v>0</v>
      </c>
      <c r="L708" s="72">
        <f t="shared" si="1084"/>
        <v>1400</v>
      </c>
      <c r="M708" s="75">
        <v>400</v>
      </c>
      <c r="N708" s="75">
        <v>350</v>
      </c>
      <c r="O708" s="75">
        <v>350</v>
      </c>
      <c r="P708" s="75">
        <v>300</v>
      </c>
      <c r="Q708" s="116">
        <v>1400</v>
      </c>
      <c r="R708" s="116">
        <v>1400</v>
      </c>
      <c r="S708" s="116">
        <v>1400</v>
      </c>
    </row>
    <row r="709" spans="1:21" ht="14.25" hidden="1" customHeight="1">
      <c r="A709" s="41"/>
      <c r="B709" s="40" t="s">
        <v>536</v>
      </c>
      <c r="C709" s="19">
        <v>85.01</v>
      </c>
      <c r="D709" s="75"/>
      <c r="E709" s="75"/>
      <c r="F709" s="75"/>
      <c r="G709" s="75"/>
      <c r="H709" s="75"/>
      <c r="I709" s="329"/>
      <c r="J709" s="75"/>
      <c r="K709" s="72">
        <f t="shared" si="1083"/>
        <v>0</v>
      </c>
      <c r="L709" s="72">
        <f t="shared" si="1084"/>
        <v>0</v>
      </c>
      <c r="M709" s="75"/>
      <c r="N709" s="75"/>
      <c r="O709" s="75"/>
      <c r="P709" s="75"/>
      <c r="Q709" s="116"/>
      <c r="R709" s="116"/>
      <c r="S709" s="116"/>
    </row>
    <row r="710" spans="1:21" ht="16.5" hidden="1" customHeight="1">
      <c r="A710" s="41"/>
      <c r="B710" s="33" t="s">
        <v>172</v>
      </c>
      <c r="C710" s="19"/>
      <c r="D710" s="76">
        <f t="shared" ref="D710" si="1152">D711+D712</f>
        <v>0</v>
      </c>
      <c r="E710" s="76">
        <f>E712</f>
        <v>8</v>
      </c>
      <c r="F710" s="76">
        <f>F712</f>
        <v>31</v>
      </c>
      <c r="G710" s="76">
        <f>G712</f>
        <v>31</v>
      </c>
      <c r="H710" s="76">
        <f>H712</f>
        <v>29</v>
      </c>
      <c r="I710" s="330">
        <f t="shared" ref="I710:S710" si="1153">I712</f>
        <v>0</v>
      </c>
      <c r="J710" s="76">
        <f t="shared" si="1153"/>
        <v>0</v>
      </c>
      <c r="K710" s="72">
        <f t="shared" si="1083"/>
        <v>0</v>
      </c>
      <c r="L710" s="72">
        <f t="shared" si="1084"/>
        <v>0</v>
      </c>
      <c r="M710" s="76">
        <f t="shared" ref="M710" si="1154">M712</f>
        <v>0</v>
      </c>
      <c r="N710" s="76">
        <f t="shared" ref="N710" si="1155">N712</f>
        <v>0</v>
      </c>
      <c r="O710" s="76">
        <f t="shared" ref="O710:P710" si="1156">O712</f>
        <v>0</v>
      </c>
      <c r="P710" s="76">
        <f t="shared" si="1156"/>
        <v>0</v>
      </c>
      <c r="Q710" s="76">
        <f t="shared" si="1153"/>
        <v>0</v>
      </c>
      <c r="R710" s="76">
        <f t="shared" si="1153"/>
        <v>0</v>
      </c>
      <c r="S710" s="76">
        <f t="shared" si="1153"/>
        <v>0</v>
      </c>
    </row>
    <row r="711" spans="1:21" ht="0.75" hidden="1" customHeight="1">
      <c r="A711" s="41"/>
      <c r="B711" s="40" t="s">
        <v>339</v>
      </c>
      <c r="C711" s="19" t="s">
        <v>340</v>
      </c>
      <c r="D711" s="75"/>
      <c r="E711" s="75"/>
      <c r="F711" s="75"/>
      <c r="G711" s="75"/>
      <c r="H711" s="75"/>
      <c r="I711" s="329"/>
      <c r="J711" s="75"/>
      <c r="K711" s="72">
        <f t="shared" si="1083"/>
        <v>0</v>
      </c>
      <c r="L711" s="72">
        <f t="shared" si="1084"/>
        <v>0</v>
      </c>
      <c r="M711" s="75"/>
      <c r="N711" s="75"/>
      <c r="O711" s="75"/>
      <c r="P711" s="75"/>
      <c r="Q711" s="116"/>
      <c r="R711" s="116"/>
      <c r="S711" s="116"/>
    </row>
    <row r="712" spans="1:21" ht="18.75" hidden="1" customHeight="1">
      <c r="A712" s="41"/>
      <c r="B712" s="40" t="s">
        <v>178</v>
      </c>
      <c r="C712" s="19" t="s">
        <v>179</v>
      </c>
      <c r="D712" s="75">
        <v>0</v>
      </c>
      <c r="E712" s="75">
        <v>8</v>
      </c>
      <c r="F712" s="75">
        <v>31</v>
      </c>
      <c r="G712" s="75">
        <v>31</v>
      </c>
      <c r="H712" s="75">
        <v>29</v>
      </c>
      <c r="I712" s="329">
        <v>0</v>
      </c>
      <c r="J712" s="75"/>
      <c r="K712" s="72">
        <f t="shared" si="1083"/>
        <v>0</v>
      </c>
      <c r="L712" s="72">
        <f t="shared" si="1084"/>
        <v>0</v>
      </c>
      <c r="M712" s="75"/>
      <c r="N712" s="75"/>
      <c r="O712" s="75"/>
      <c r="P712" s="75"/>
      <c r="Q712" s="116">
        <v>0</v>
      </c>
      <c r="R712" s="116">
        <v>0</v>
      </c>
      <c r="S712" s="116">
        <v>0</v>
      </c>
    </row>
    <row r="713" spans="1:21" ht="14.25">
      <c r="A713" s="63" t="s">
        <v>480</v>
      </c>
      <c r="B713" s="59" t="s">
        <v>341</v>
      </c>
      <c r="C713" s="19" t="s">
        <v>342</v>
      </c>
      <c r="D713" s="81">
        <f t="shared" ref="D713:S713" si="1157">D714</f>
        <v>1200</v>
      </c>
      <c r="E713" s="81">
        <f t="shared" si="1157"/>
        <v>661</v>
      </c>
      <c r="F713" s="81">
        <f t="shared" si="1157"/>
        <v>930</v>
      </c>
      <c r="G713" s="81">
        <f t="shared" si="1157"/>
        <v>1200</v>
      </c>
      <c r="H713" s="81">
        <f t="shared" si="1157"/>
        <v>930</v>
      </c>
      <c r="I713" s="339">
        <f t="shared" si="1157"/>
        <v>1100</v>
      </c>
      <c r="J713" s="81">
        <f t="shared" si="1157"/>
        <v>1000</v>
      </c>
      <c r="K713" s="72">
        <f t="shared" si="1083"/>
        <v>0</v>
      </c>
      <c r="L713" s="72">
        <f t="shared" si="1084"/>
        <v>1000</v>
      </c>
      <c r="M713" s="81">
        <f t="shared" si="1157"/>
        <v>300</v>
      </c>
      <c r="N713" s="81">
        <f t="shared" si="1157"/>
        <v>300</v>
      </c>
      <c r="O713" s="81">
        <f t="shared" si="1157"/>
        <v>300</v>
      </c>
      <c r="P713" s="81">
        <f t="shared" si="1157"/>
        <v>100</v>
      </c>
      <c r="Q713" s="81">
        <f t="shared" si="1157"/>
        <v>1000</v>
      </c>
      <c r="R713" s="81">
        <f t="shared" si="1157"/>
        <v>1000</v>
      </c>
      <c r="S713" s="81">
        <f t="shared" si="1157"/>
        <v>1000</v>
      </c>
    </row>
    <row r="714" spans="1:21" ht="14.25">
      <c r="A714" s="41"/>
      <c r="B714" s="31" t="s">
        <v>160</v>
      </c>
      <c r="C714" s="19"/>
      <c r="D714" s="81">
        <f t="shared" ref="D714:S714" si="1158">D716</f>
        <v>1200</v>
      </c>
      <c r="E714" s="81">
        <f t="shared" si="1158"/>
        <v>661</v>
      </c>
      <c r="F714" s="81">
        <f t="shared" si="1158"/>
        <v>930</v>
      </c>
      <c r="G714" s="81">
        <f t="shared" si="1158"/>
        <v>1200</v>
      </c>
      <c r="H714" s="81">
        <f t="shared" si="1158"/>
        <v>930</v>
      </c>
      <c r="I714" s="339">
        <f t="shared" si="1158"/>
        <v>1100</v>
      </c>
      <c r="J714" s="81">
        <f t="shared" si="1158"/>
        <v>1000</v>
      </c>
      <c r="K714" s="72">
        <f t="shared" si="1083"/>
        <v>0</v>
      </c>
      <c r="L714" s="72">
        <f t="shared" si="1084"/>
        <v>1000</v>
      </c>
      <c r="M714" s="81">
        <f t="shared" ref="M714" si="1159">M716</f>
        <v>300</v>
      </c>
      <c r="N714" s="81">
        <f t="shared" ref="N714" si="1160">N716</f>
        <v>300</v>
      </c>
      <c r="O714" s="81">
        <f t="shared" ref="O714:P714" si="1161">O716</f>
        <v>300</v>
      </c>
      <c r="P714" s="81">
        <f t="shared" si="1161"/>
        <v>100</v>
      </c>
      <c r="Q714" s="81">
        <f t="shared" si="1158"/>
        <v>1000</v>
      </c>
      <c r="R714" s="81">
        <f t="shared" si="1158"/>
        <v>1000</v>
      </c>
      <c r="S714" s="81">
        <f t="shared" si="1158"/>
        <v>1000</v>
      </c>
    </row>
    <row r="715" spans="1:21" ht="15">
      <c r="A715" s="41"/>
      <c r="B715" s="40" t="s">
        <v>161</v>
      </c>
      <c r="C715" s="19">
        <v>1</v>
      </c>
      <c r="D715" s="76">
        <f t="shared" ref="D715:S715" si="1162">D716</f>
        <v>1200</v>
      </c>
      <c r="E715" s="76">
        <f t="shared" si="1162"/>
        <v>661</v>
      </c>
      <c r="F715" s="76">
        <f t="shared" si="1162"/>
        <v>930</v>
      </c>
      <c r="G715" s="76">
        <f t="shared" si="1162"/>
        <v>1200</v>
      </c>
      <c r="H715" s="76">
        <f t="shared" si="1162"/>
        <v>930</v>
      </c>
      <c r="I715" s="330">
        <f t="shared" si="1162"/>
        <v>1100</v>
      </c>
      <c r="J715" s="76">
        <f t="shared" si="1162"/>
        <v>1000</v>
      </c>
      <c r="K715" s="72">
        <f t="shared" si="1083"/>
        <v>0</v>
      </c>
      <c r="L715" s="72">
        <f t="shared" si="1084"/>
        <v>1000</v>
      </c>
      <c r="M715" s="76">
        <f t="shared" si="1162"/>
        <v>300</v>
      </c>
      <c r="N715" s="76">
        <f t="shared" si="1162"/>
        <v>300</v>
      </c>
      <c r="O715" s="76">
        <f t="shared" si="1162"/>
        <v>300</v>
      </c>
      <c r="P715" s="76">
        <f t="shared" si="1162"/>
        <v>100</v>
      </c>
      <c r="Q715" s="76">
        <f t="shared" si="1162"/>
        <v>1000</v>
      </c>
      <c r="R715" s="76">
        <f t="shared" si="1162"/>
        <v>1000</v>
      </c>
      <c r="S715" s="76">
        <f t="shared" si="1162"/>
        <v>1000</v>
      </c>
    </row>
    <row r="716" spans="1:21" ht="16.5" customHeight="1">
      <c r="A716" s="41"/>
      <c r="B716" s="40" t="s">
        <v>886</v>
      </c>
      <c r="C716" s="19">
        <v>20</v>
      </c>
      <c r="D716" s="75">
        <f>1000+200</f>
        <v>1200</v>
      </c>
      <c r="E716" s="75">
        <v>661</v>
      </c>
      <c r="F716" s="75">
        <v>930</v>
      </c>
      <c r="G716" s="75">
        <v>1200</v>
      </c>
      <c r="H716" s="75">
        <v>930</v>
      </c>
      <c r="I716" s="329">
        <v>1100</v>
      </c>
      <c r="J716" s="75">
        <v>1000</v>
      </c>
      <c r="K716" s="72">
        <f t="shared" ref="K716:K779" si="1163">J716-L716</f>
        <v>0</v>
      </c>
      <c r="L716" s="72">
        <f t="shared" ref="L716:L779" si="1164">M716+N716+O716+P716</f>
        <v>1000</v>
      </c>
      <c r="M716" s="75">
        <v>300</v>
      </c>
      <c r="N716" s="75">
        <v>300</v>
      </c>
      <c r="O716" s="75">
        <v>300</v>
      </c>
      <c r="P716" s="75">
        <v>100</v>
      </c>
      <c r="Q716" s="73">
        <v>1000</v>
      </c>
      <c r="R716" s="73">
        <v>1000</v>
      </c>
      <c r="S716" s="73">
        <v>1000</v>
      </c>
    </row>
    <row r="717" spans="1:21" ht="16.5" customHeight="1">
      <c r="A717" s="60" t="s">
        <v>481</v>
      </c>
      <c r="B717" s="33" t="s">
        <v>645</v>
      </c>
      <c r="C717" s="19" t="s">
        <v>647</v>
      </c>
      <c r="D717" s="75"/>
      <c r="E717" s="76">
        <f>E718</f>
        <v>0</v>
      </c>
      <c r="F717" s="76">
        <f t="shared" ref="F717:S718" si="1165">F718</f>
        <v>454</v>
      </c>
      <c r="G717" s="76">
        <f t="shared" si="1165"/>
        <v>500</v>
      </c>
      <c r="H717" s="76">
        <f t="shared" si="1165"/>
        <v>454</v>
      </c>
      <c r="I717" s="330">
        <f t="shared" si="1165"/>
        <v>300</v>
      </c>
      <c r="J717" s="76">
        <f t="shared" si="1165"/>
        <v>300</v>
      </c>
      <c r="K717" s="72">
        <f t="shared" si="1163"/>
        <v>0</v>
      </c>
      <c r="L717" s="72">
        <f t="shared" si="1164"/>
        <v>300</v>
      </c>
      <c r="M717" s="76">
        <f t="shared" si="1165"/>
        <v>0</v>
      </c>
      <c r="N717" s="76">
        <f t="shared" si="1165"/>
        <v>150</v>
      </c>
      <c r="O717" s="76">
        <f t="shared" si="1165"/>
        <v>150</v>
      </c>
      <c r="P717" s="76">
        <f t="shared" si="1165"/>
        <v>0</v>
      </c>
      <c r="Q717" s="76">
        <f t="shared" si="1165"/>
        <v>300</v>
      </c>
      <c r="R717" s="76">
        <f t="shared" si="1165"/>
        <v>300</v>
      </c>
      <c r="S717" s="76">
        <f t="shared" si="1165"/>
        <v>300</v>
      </c>
    </row>
    <row r="718" spans="1:21" ht="16.5" customHeight="1">
      <c r="A718" s="41"/>
      <c r="B718" s="31" t="s">
        <v>160</v>
      </c>
      <c r="C718" s="19"/>
      <c r="D718" s="75"/>
      <c r="E718" s="76">
        <f>E719</f>
        <v>0</v>
      </c>
      <c r="F718" s="76">
        <f t="shared" si="1165"/>
        <v>454</v>
      </c>
      <c r="G718" s="76">
        <f t="shared" si="1165"/>
        <v>500</v>
      </c>
      <c r="H718" s="76">
        <f t="shared" si="1165"/>
        <v>454</v>
      </c>
      <c r="I718" s="330">
        <f t="shared" si="1165"/>
        <v>300</v>
      </c>
      <c r="J718" s="76">
        <f t="shared" si="1165"/>
        <v>300</v>
      </c>
      <c r="K718" s="72">
        <f t="shared" si="1163"/>
        <v>0</v>
      </c>
      <c r="L718" s="72">
        <f t="shared" si="1164"/>
        <v>300</v>
      </c>
      <c r="M718" s="76">
        <f t="shared" si="1165"/>
        <v>0</v>
      </c>
      <c r="N718" s="76">
        <f t="shared" si="1165"/>
        <v>150</v>
      </c>
      <c r="O718" s="76">
        <f t="shared" si="1165"/>
        <v>150</v>
      </c>
      <c r="P718" s="76">
        <f t="shared" si="1165"/>
        <v>0</v>
      </c>
      <c r="Q718" s="76">
        <f t="shared" si="1165"/>
        <v>300</v>
      </c>
      <c r="R718" s="76">
        <f t="shared" si="1165"/>
        <v>300</v>
      </c>
      <c r="S718" s="76">
        <f t="shared" si="1165"/>
        <v>300</v>
      </c>
    </row>
    <row r="719" spans="1:21" ht="16.5" customHeight="1">
      <c r="A719" s="41"/>
      <c r="B719" s="40" t="s">
        <v>646</v>
      </c>
      <c r="C719" s="19" t="s">
        <v>648</v>
      </c>
      <c r="D719" s="75"/>
      <c r="E719" s="75"/>
      <c r="F719" s="75">
        <v>454</v>
      </c>
      <c r="G719" s="75">
        <v>500</v>
      </c>
      <c r="H719" s="75">
        <v>454</v>
      </c>
      <c r="I719" s="329">
        <v>300</v>
      </c>
      <c r="J719" s="75">
        <v>300</v>
      </c>
      <c r="K719" s="72">
        <f t="shared" si="1163"/>
        <v>0</v>
      </c>
      <c r="L719" s="72">
        <f t="shared" si="1164"/>
        <v>300</v>
      </c>
      <c r="M719" s="75">
        <v>0</v>
      </c>
      <c r="N719" s="75">
        <v>150</v>
      </c>
      <c r="O719" s="75">
        <v>150</v>
      </c>
      <c r="P719" s="75">
        <v>0</v>
      </c>
      <c r="Q719" s="73">
        <v>300</v>
      </c>
      <c r="R719" s="73">
        <v>300</v>
      </c>
      <c r="S719" s="73">
        <v>300</v>
      </c>
    </row>
    <row r="720" spans="1:21" ht="14.25">
      <c r="A720" s="48">
        <v>4</v>
      </c>
      <c r="B720" s="464" t="s">
        <v>861</v>
      </c>
      <c r="C720" s="461">
        <v>68.02</v>
      </c>
      <c r="D720" s="462">
        <f t="shared" ref="D720:J720" si="1166">D734+D744+D799+D867+D919</f>
        <v>146172.88</v>
      </c>
      <c r="E720" s="462">
        <f t="shared" si="1166"/>
        <v>251629</v>
      </c>
      <c r="F720" s="462">
        <f t="shared" si="1166"/>
        <v>146559</v>
      </c>
      <c r="G720" s="462">
        <f t="shared" si="1166"/>
        <v>145358.32</v>
      </c>
      <c r="H720" s="462">
        <f t="shared" si="1166"/>
        <v>134380.74</v>
      </c>
      <c r="I720" s="463">
        <f t="shared" si="1166"/>
        <v>172989.32</v>
      </c>
      <c r="J720" s="462">
        <f t="shared" si="1166"/>
        <v>141602</v>
      </c>
      <c r="K720" s="462">
        <f t="shared" si="1163"/>
        <v>0</v>
      </c>
      <c r="L720" s="462">
        <f t="shared" si="1164"/>
        <v>141602</v>
      </c>
      <c r="M720" s="462">
        <f t="shared" ref="M720" si="1167">M734+M744+M799+M867+M919</f>
        <v>61032</v>
      </c>
      <c r="N720" s="462">
        <f t="shared" ref="N720" si="1168">N734+N744+N799+N867+N919</f>
        <v>34439</v>
      </c>
      <c r="O720" s="462">
        <f t="shared" ref="O720:P720" si="1169">O734+O744+O799+O867+O919</f>
        <v>31860</v>
      </c>
      <c r="P720" s="462">
        <f t="shared" si="1169"/>
        <v>14271</v>
      </c>
      <c r="Q720" s="462">
        <f>Q734+Q744+Q799+Q867+Q919</f>
        <v>120057</v>
      </c>
      <c r="R720" s="462">
        <f>R734+R744+R799+R867+R919</f>
        <v>105305</v>
      </c>
      <c r="S720" s="466">
        <f>S734+S744+S799+S867+S919</f>
        <v>111220</v>
      </c>
      <c r="U720" s="2">
        <v>201578</v>
      </c>
    </row>
    <row r="721" spans="1:23" ht="14.25">
      <c r="A721" s="41"/>
      <c r="B721" s="31" t="s">
        <v>160</v>
      </c>
      <c r="C721" s="92"/>
      <c r="D721" s="81">
        <f t="shared" ref="D721:J721" si="1170">D735+D744+D800+D868+D920</f>
        <v>142416.88</v>
      </c>
      <c r="E721" s="81">
        <f t="shared" si="1170"/>
        <v>248287</v>
      </c>
      <c r="F721" s="81">
        <f t="shared" si="1170"/>
        <v>141932</v>
      </c>
      <c r="G721" s="81">
        <f t="shared" si="1170"/>
        <v>138884.32</v>
      </c>
      <c r="H721" s="81">
        <f t="shared" si="1170"/>
        <v>130228.58</v>
      </c>
      <c r="I721" s="339">
        <f t="shared" si="1170"/>
        <v>159546</v>
      </c>
      <c r="J721" s="81">
        <f t="shared" si="1170"/>
        <v>130450</v>
      </c>
      <c r="K721" s="72">
        <f t="shared" si="1163"/>
        <v>0</v>
      </c>
      <c r="L721" s="72">
        <f t="shared" si="1164"/>
        <v>130450</v>
      </c>
      <c r="M721" s="81">
        <f t="shared" ref="M721" si="1171">M735+M744+M800+M868+M920</f>
        <v>58171</v>
      </c>
      <c r="N721" s="81">
        <f t="shared" ref="N721" si="1172">N735+N744+N800+N868+N920</f>
        <v>29742</v>
      </c>
      <c r="O721" s="81">
        <f t="shared" ref="O721:P721" si="1173">O735+O744+O800+O868+O920</f>
        <v>28864</v>
      </c>
      <c r="P721" s="81">
        <f t="shared" si="1173"/>
        <v>13673</v>
      </c>
      <c r="Q721" s="81">
        <f>Q735+Q744+Q800+Q868+Q920</f>
        <v>107033</v>
      </c>
      <c r="R721" s="81">
        <f>R735+R744+R800+R868+R920</f>
        <v>101160</v>
      </c>
      <c r="S721" s="81">
        <f>S735+S744+S800+S868+S920</f>
        <v>107610</v>
      </c>
      <c r="U721" s="121" t="e">
        <f>#REF!+#REF!+#REF!+#REF!+#REF!+#REF!+#REF!</f>
        <v>#REF!</v>
      </c>
      <c r="V721" s="121" t="e">
        <f>#REF!</f>
        <v>#REF!</v>
      </c>
      <c r="W721" s="121" t="e">
        <f>U721-V721</f>
        <v>#REF!</v>
      </c>
    </row>
    <row r="722" spans="1:23" ht="15">
      <c r="A722" s="41"/>
      <c r="B722" s="40" t="s">
        <v>161</v>
      </c>
      <c r="C722" s="92">
        <v>1</v>
      </c>
      <c r="D722" s="81">
        <f t="shared" ref="D722:J722" si="1174">D736+D744+D801+D869+D921</f>
        <v>142416.88</v>
      </c>
      <c r="E722" s="81">
        <f t="shared" si="1174"/>
        <v>248302</v>
      </c>
      <c r="F722" s="81">
        <f t="shared" si="1174"/>
        <v>141932</v>
      </c>
      <c r="G722" s="81">
        <f t="shared" si="1174"/>
        <v>138884.32</v>
      </c>
      <c r="H722" s="81">
        <f t="shared" si="1174"/>
        <v>130228.58</v>
      </c>
      <c r="I722" s="339">
        <f t="shared" si="1174"/>
        <v>159546</v>
      </c>
      <c r="J722" s="81">
        <f t="shared" si="1174"/>
        <v>130450</v>
      </c>
      <c r="K722" s="72">
        <f t="shared" si="1163"/>
        <v>0</v>
      </c>
      <c r="L722" s="72">
        <f t="shared" si="1164"/>
        <v>130450</v>
      </c>
      <c r="M722" s="81">
        <f t="shared" ref="M722" si="1175">M736+M744+M801+M869+M921</f>
        <v>58171</v>
      </c>
      <c r="N722" s="81">
        <f t="shared" ref="N722" si="1176">N736+N744+N801+N869+N921</f>
        <v>29742</v>
      </c>
      <c r="O722" s="81">
        <f t="shared" ref="O722:P722" si="1177">O736+O744+O801+O869+O921</f>
        <v>28864</v>
      </c>
      <c r="P722" s="81">
        <f t="shared" si="1177"/>
        <v>13673</v>
      </c>
      <c r="Q722" s="81">
        <f>Q736+Q744+Q801+Q869+Q921</f>
        <v>107033</v>
      </c>
      <c r="R722" s="81">
        <f>R736+R744+R801+R869+R921</f>
        <v>101160</v>
      </c>
      <c r="S722" s="81">
        <f>S736+S744+S801+S869+S921</f>
        <v>107610</v>
      </c>
      <c r="U722" s="121" t="e">
        <f>U720-U721</f>
        <v>#REF!</v>
      </c>
    </row>
    <row r="723" spans="1:23" ht="15">
      <c r="A723" s="41"/>
      <c r="B723" s="40" t="s">
        <v>162</v>
      </c>
      <c r="C723" s="92">
        <v>10</v>
      </c>
      <c r="D723" s="81">
        <f t="shared" ref="D723:J723" si="1178">D737+D802</f>
        <v>107906.88</v>
      </c>
      <c r="E723" s="81">
        <f t="shared" si="1178"/>
        <v>87159</v>
      </c>
      <c r="F723" s="81">
        <f t="shared" si="1178"/>
        <v>107915</v>
      </c>
      <c r="G723" s="81">
        <f t="shared" si="1178"/>
        <v>104580.38</v>
      </c>
      <c r="H723" s="81">
        <f t="shared" si="1178"/>
        <v>100491.41</v>
      </c>
      <c r="I723" s="339">
        <f t="shared" si="1178"/>
        <v>118153</v>
      </c>
      <c r="J723" s="81">
        <f t="shared" si="1178"/>
        <v>97086</v>
      </c>
      <c r="K723" s="72">
        <f t="shared" si="1163"/>
        <v>0</v>
      </c>
      <c r="L723" s="72">
        <f t="shared" si="1164"/>
        <v>97086</v>
      </c>
      <c r="M723" s="81">
        <f t="shared" ref="M723" si="1179">M737+M802</f>
        <v>47218</v>
      </c>
      <c r="N723" s="81">
        <f t="shared" ref="N723" si="1180">N737+N802</f>
        <v>21210</v>
      </c>
      <c r="O723" s="81">
        <f t="shared" ref="O723:P723" si="1181">O737+O802</f>
        <v>21182</v>
      </c>
      <c r="P723" s="81">
        <f t="shared" si="1181"/>
        <v>7476</v>
      </c>
      <c r="Q723" s="81">
        <f>Q737+Q802</f>
        <v>72416</v>
      </c>
      <c r="R723" s="81">
        <f>R737+R802</f>
        <v>66493</v>
      </c>
      <c r="S723" s="81">
        <f>S737+S802</f>
        <v>72943</v>
      </c>
    </row>
    <row r="724" spans="1:23" ht="15">
      <c r="A724" s="41"/>
      <c r="B724" s="40" t="s">
        <v>886</v>
      </c>
      <c r="C724" s="92">
        <v>20</v>
      </c>
      <c r="D724" s="81">
        <f t="shared" ref="D724:J724" si="1182">D738+D745+D803</f>
        <v>18950</v>
      </c>
      <c r="E724" s="81">
        <f t="shared" si="1182"/>
        <v>14826</v>
      </c>
      <c r="F724" s="81">
        <f t="shared" si="1182"/>
        <v>18913</v>
      </c>
      <c r="G724" s="81">
        <f t="shared" si="1182"/>
        <v>19241.25</v>
      </c>
      <c r="H724" s="81">
        <f t="shared" si="1182"/>
        <v>16725.53</v>
      </c>
      <c r="I724" s="339">
        <f t="shared" si="1182"/>
        <v>23533</v>
      </c>
      <c r="J724" s="81">
        <f t="shared" si="1182"/>
        <v>16975</v>
      </c>
      <c r="K724" s="72">
        <f t="shared" si="1163"/>
        <v>0</v>
      </c>
      <c r="L724" s="72">
        <f t="shared" si="1164"/>
        <v>16975</v>
      </c>
      <c r="M724" s="81">
        <f t="shared" ref="M724" si="1183">M738+M745+M803</f>
        <v>6600</v>
      </c>
      <c r="N724" s="81">
        <f t="shared" ref="N724" si="1184">N738+N745+N803</f>
        <v>4220</v>
      </c>
      <c r="O724" s="81">
        <f t="shared" ref="O724:P724" si="1185">O738+O745+O803</f>
        <v>3550</v>
      </c>
      <c r="P724" s="81">
        <f t="shared" si="1185"/>
        <v>2605</v>
      </c>
      <c r="Q724" s="81">
        <f>Q738+Q745+Q803</f>
        <v>16975</v>
      </c>
      <c r="R724" s="81">
        <f>R738+R745+R803</f>
        <v>16975</v>
      </c>
      <c r="S724" s="81">
        <f>S738+S745+S803</f>
        <v>16975</v>
      </c>
    </row>
    <row r="725" spans="1:23" ht="15">
      <c r="A725" s="41"/>
      <c r="B725" s="40" t="s">
        <v>259</v>
      </c>
      <c r="C725" s="92">
        <v>51</v>
      </c>
      <c r="D725" s="81">
        <f t="shared" ref="D725:S725" si="1186">D870</f>
        <v>11965</v>
      </c>
      <c r="E725" s="81">
        <f t="shared" si="1186"/>
        <v>9478</v>
      </c>
      <c r="F725" s="81">
        <f t="shared" si="1186"/>
        <v>12005</v>
      </c>
      <c r="G725" s="81">
        <f t="shared" si="1186"/>
        <v>11897</v>
      </c>
      <c r="H725" s="81">
        <f t="shared" si="1186"/>
        <v>11030</v>
      </c>
      <c r="I725" s="339">
        <f t="shared" si="1186"/>
        <v>13541</v>
      </c>
      <c r="J725" s="81">
        <f t="shared" si="1186"/>
        <v>13303</v>
      </c>
      <c r="K725" s="72">
        <f t="shared" si="1163"/>
        <v>0</v>
      </c>
      <c r="L725" s="72">
        <f t="shared" si="1164"/>
        <v>13303</v>
      </c>
      <c r="M725" s="81">
        <f t="shared" ref="M725" si="1187">M870</f>
        <v>3363</v>
      </c>
      <c r="N725" s="81">
        <f t="shared" ref="N725" si="1188">N870</f>
        <v>3342</v>
      </c>
      <c r="O725" s="81">
        <f t="shared" ref="O725:P725" si="1189">O870</f>
        <v>3363</v>
      </c>
      <c r="P725" s="81">
        <f t="shared" si="1189"/>
        <v>3235</v>
      </c>
      <c r="Q725" s="81">
        <f t="shared" si="1186"/>
        <v>12710</v>
      </c>
      <c r="R725" s="81">
        <f t="shared" si="1186"/>
        <v>12710</v>
      </c>
      <c r="S725" s="81">
        <f t="shared" si="1186"/>
        <v>12710</v>
      </c>
    </row>
    <row r="726" spans="1:23" ht="15">
      <c r="A726" s="41"/>
      <c r="B726" s="40" t="s">
        <v>168</v>
      </c>
      <c r="C726" s="92">
        <v>57</v>
      </c>
      <c r="D726" s="81">
        <f t="shared" ref="D726:J726" si="1190">D739+D746+D922</f>
        <v>3295</v>
      </c>
      <c r="E726" s="81">
        <f t="shared" si="1190"/>
        <v>136773</v>
      </c>
      <c r="F726" s="81">
        <f t="shared" si="1190"/>
        <v>2799</v>
      </c>
      <c r="G726" s="81">
        <f t="shared" si="1190"/>
        <v>2865.69</v>
      </c>
      <c r="H726" s="81">
        <f t="shared" si="1190"/>
        <v>2387</v>
      </c>
      <c r="I726" s="339">
        <f t="shared" si="1190"/>
        <v>4007</v>
      </c>
      <c r="J726" s="81">
        <f t="shared" si="1190"/>
        <v>2774</v>
      </c>
      <c r="K726" s="72">
        <f t="shared" si="1163"/>
        <v>0</v>
      </c>
      <c r="L726" s="72">
        <f t="shared" si="1164"/>
        <v>2774</v>
      </c>
      <c r="M726" s="81">
        <f t="shared" ref="M726" si="1191">M739+M746+M922</f>
        <v>890</v>
      </c>
      <c r="N726" s="81">
        <f t="shared" ref="N726" si="1192">N739+N746+N922</f>
        <v>870</v>
      </c>
      <c r="O726" s="81">
        <f t="shared" ref="O726:P726" si="1193">O739+O746+O922</f>
        <v>657</v>
      </c>
      <c r="P726" s="81">
        <f t="shared" si="1193"/>
        <v>357</v>
      </c>
      <c r="Q726" s="81">
        <f>Q739+Q746+Q922</f>
        <v>4620</v>
      </c>
      <c r="R726" s="81">
        <f>R739+R746+R922</f>
        <v>4670</v>
      </c>
      <c r="S726" s="81">
        <f>S739+S746+S922</f>
        <v>4670</v>
      </c>
    </row>
    <row r="727" spans="1:23" ht="16.5" customHeight="1">
      <c r="A727" s="41"/>
      <c r="B727" s="40" t="s">
        <v>185</v>
      </c>
      <c r="C727" s="92">
        <v>59</v>
      </c>
      <c r="D727" s="81">
        <f t="shared" ref="D727:S727" si="1194">D742</f>
        <v>300</v>
      </c>
      <c r="E727" s="81">
        <f t="shared" si="1194"/>
        <v>240</v>
      </c>
      <c r="F727" s="81">
        <f t="shared" si="1194"/>
        <v>300</v>
      </c>
      <c r="G727" s="81">
        <f t="shared" si="1194"/>
        <v>300</v>
      </c>
      <c r="H727" s="81">
        <f t="shared" si="1194"/>
        <v>267.64</v>
      </c>
      <c r="I727" s="339">
        <f t="shared" si="1194"/>
        <v>312</v>
      </c>
      <c r="J727" s="81">
        <f t="shared" si="1194"/>
        <v>312</v>
      </c>
      <c r="K727" s="72">
        <f t="shared" si="1163"/>
        <v>0</v>
      </c>
      <c r="L727" s="72">
        <f t="shared" si="1164"/>
        <v>312</v>
      </c>
      <c r="M727" s="81">
        <f t="shared" ref="M727" si="1195">M742</f>
        <v>100</v>
      </c>
      <c r="N727" s="81">
        <f t="shared" ref="N727" si="1196">N742</f>
        <v>100</v>
      </c>
      <c r="O727" s="81">
        <f t="shared" ref="O727:P727" si="1197">O742</f>
        <v>112</v>
      </c>
      <c r="P727" s="81">
        <f t="shared" si="1197"/>
        <v>0</v>
      </c>
      <c r="Q727" s="81">
        <f t="shared" si="1194"/>
        <v>312</v>
      </c>
      <c r="R727" s="81">
        <f t="shared" si="1194"/>
        <v>312</v>
      </c>
      <c r="S727" s="81">
        <f t="shared" si="1194"/>
        <v>312</v>
      </c>
    </row>
    <row r="728" spans="1:23" ht="17.25" customHeight="1">
      <c r="A728" s="41"/>
      <c r="B728" s="40" t="s">
        <v>171</v>
      </c>
      <c r="C728" s="92">
        <v>85</v>
      </c>
      <c r="D728" s="81">
        <f t="shared" ref="D728:J728" si="1198">D743+D871</f>
        <v>0</v>
      </c>
      <c r="E728" s="81">
        <f t="shared" si="1198"/>
        <v>-189</v>
      </c>
      <c r="F728" s="81">
        <f t="shared" si="1198"/>
        <v>0</v>
      </c>
      <c r="G728" s="81">
        <f t="shared" si="1198"/>
        <v>0</v>
      </c>
      <c r="H728" s="81">
        <f t="shared" si="1198"/>
        <v>-673</v>
      </c>
      <c r="I728" s="339">
        <f t="shared" si="1198"/>
        <v>0</v>
      </c>
      <c r="J728" s="81">
        <f t="shared" si="1198"/>
        <v>0</v>
      </c>
      <c r="K728" s="72">
        <f t="shared" si="1163"/>
        <v>0</v>
      </c>
      <c r="L728" s="72">
        <f t="shared" si="1164"/>
        <v>0</v>
      </c>
      <c r="M728" s="81">
        <f t="shared" ref="M728" si="1199">M743+M871</f>
        <v>0</v>
      </c>
      <c r="N728" s="81">
        <f t="shared" ref="N728" si="1200">N743+N871</f>
        <v>0</v>
      </c>
      <c r="O728" s="81">
        <f t="shared" ref="O728:P728" si="1201">O743+O871</f>
        <v>0</v>
      </c>
      <c r="P728" s="81">
        <f t="shared" si="1201"/>
        <v>0</v>
      </c>
      <c r="Q728" s="81">
        <f>Q743+Q871</f>
        <v>0</v>
      </c>
      <c r="R728" s="81">
        <f>R743+R871</f>
        <v>0</v>
      </c>
      <c r="S728" s="81">
        <f>S743+S871</f>
        <v>0</v>
      </c>
    </row>
    <row r="729" spans="1:23" ht="13.5" customHeight="1">
      <c r="A729" s="41"/>
      <c r="B729" s="33" t="s">
        <v>172</v>
      </c>
      <c r="C729" s="92"/>
      <c r="D729" s="81">
        <f t="shared" ref="D729:J729" si="1202">D749+D804+D872</f>
        <v>3756</v>
      </c>
      <c r="E729" s="81">
        <f t="shared" si="1202"/>
        <v>3342</v>
      </c>
      <c r="F729" s="81">
        <f t="shared" si="1202"/>
        <v>4627</v>
      </c>
      <c r="G729" s="81">
        <f t="shared" si="1202"/>
        <v>6474</v>
      </c>
      <c r="H729" s="81">
        <f t="shared" si="1202"/>
        <v>4152.16</v>
      </c>
      <c r="I729" s="339">
        <f t="shared" si="1202"/>
        <v>13443.32</v>
      </c>
      <c r="J729" s="81">
        <f t="shared" si="1202"/>
        <v>11152</v>
      </c>
      <c r="K729" s="72">
        <f t="shared" si="1163"/>
        <v>0</v>
      </c>
      <c r="L729" s="72">
        <f t="shared" si="1164"/>
        <v>11152</v>
      </c>
      <c r="M729" s="81">
        <f t="shared" ref="M729" si="1203">M749+M804+M872</f>
        <v>2861</v>
      </c>
      <c r="N729" s="81">
        <f t="shared" ref="N729" si="1204">N749+N804+N872</f>
        <v>4697</v>
      </c>
      <c r="O729" s="81">
        <f t="shared" ref="O729:P729" si="1205">O749+O804+O872</f>
        <v>2996</v>
      </c>
      <c r="P729" s="81">
        <f t="shared" si="1205"/>
        <v>598</v>
      </c>
      <c r="Q729" s="81">
        <f>Q749+Q804+Q872</f>
        <v>13024</v>
      </c>
      <c r="R729" s="81">
        <f>R749+R804+R872</f>
        <v>4145</v>
      </c>
      <c r="S729" s="81">
        <f>S749+S804+S872</f>
        <v>3610</v>
      </c>
    </row>
    <row r="730" spans="1:23" ht="12.75" customHeight="1">
      <c r="A730" s="41"/>
      <c r="B730" s="40" t="s">
        <v>178</v>
      </c>
      <c r="C730" s="92">
        <v>51</v>
      </c>
      <c r="D730" s="81">
        <f t="shared" ref="D730:S730" si="1206">D873</f>
        <v>1252</v>
      </c>
      <c r="E730" s="81">
        <f t="shared" si="1206"/>
        <v>1569</v>
      </c>
      <c r="F730" s="81">
        <f t="shared" si="1206"/>
        <v>1412</v>
      </c>
      <c r="G730" s="81">
        <f t="shared" si="1206"/>
        <v>2068</v>
      </c>
      <c r="H730" s="81">
        <f t="shared" si="1206"/>
        <v>1820</v>
      </c>
      <c r="I730" s="339">
        <f t="shared" si="1206"/>
        <v>948</v>
      </c>
      <c r="J730" s="81">
        <f t="shared" si="1206"/>
        <v>198</v>
      </c>
      <c r="K730" s="72">
        <f t="shared" si="1163"/>
        <v>0</v>
      </c>
      <c r="L730" s="72">
        <f t="shared" si="1164"/>
        <v>198</v>
      </c>
      <c r="M730" s="81">
        <f t="shared" ref="M730" si="1207">M873</f>
        <v>198</v>
      </c>
      <c r="N730" s="81">
        <f t="shared" ref="N730" si="1208">N873</f>
        <v>0</v>
      </c>
      <c r="O730" s="81">
        <f t="shared" ref="O730:P730" si="1209">O873</f>
        <v>0</v>
      </c>
      <c r="P730" s="81">
        <f t="shared" si="1209"/>
        <v>0</v>
      </c>
      <c r="Q730" s="81">
        <f t="shared" si="1206"/>
        <v>0</v>
      </c>
      <c r="R730" s="81">
        <f t="shared" si="1206"/>
        <v>0</v>
      </c>
      <c r="S730" s="81">
        <f t="shared" si="1206"/>
        <v>0</v>
      </c>
    </row>
    <row r="731" spans="1:23" ht="18.75" hidden="1" customHeight="1">
      <c r="A731" s="41"/>
      <c r="B731" s="40" t="s">
        <v>181</v>
      </c>
      <c r="C731" s="92">
        <v>56</v>
      </c>
      <c r="D731" s="81"/>
      <c r="E731" s="81"/>
      <c r="F731" s="81"/>
      <c r="G731" s="81"/>
      <c r="H731" s="81"/>
      <c r="I731" s="339"/>
      <c r="J731" s="81"/>
      <c r="K731" s="72">
        <f t="shared" si="1163"/>
        <v>0</v>
      </c>
      <c r="L731" s="72">
        <f t="shared" si="1164"/>
        <v>0</v>
      </c>
      <c r="M731" s="81"/>
      <c r="N731" s="81"/>
      <c r="O731" s="81"/>
      <c r="P731" s="81"/>
      <c r="Q731" s="81"/>
      <c r="R731" s="81"/>
      <c r="S731" s="81"/>
    </row>
    <row r="732" spans="1:23" ht="18.75" customHeight="1">
      <c r="A732" s="41"/>
      <c r="B732" s="40" t="s">
        <v>181</v>
      </c>
      <c r="C732" s="92">
        <v>58</v>
      </c>
      <c r="D732" s="81">
        <f t="shared" ref="D732:S732" si="1210">D750</f>
        <v>1981</v>
      </c>
      <c r="E732" s="81">
        <f t="shared" si="1210"/>
        <v>107</v>
      </c>
      <c r="F732" s="81">
        <f t="shared" si="1210"/>
        <v>2020</v>
      </c>
      <c r="G732" s="81">
        <f t="shared" si="1210"/>
        <v>2020</v>
      </c>
      <c r="H732" s="81">
        <f t="shared" si="1210"/>
        <v>919</v>
      </c>
      <c r="I732" s="339">
        <f t="shared" si="1210"/>
        <v>11723</v>
      </c>
      <c r="J732" s="81">
        <f t="shared" si="1210"/>
        <v>10388</v>
      </c>
      <c r="K732" s="72">
        <f t="shared" si="1163"/>
        <v>0</v>
      </c>
      <c r="L732" s="72">
        <f t="shared" si="1164"/>
        <v>10388</v>
      </c>
      <c r="M732" s="81">
        <f t="shared" ref="M732" si="1211">M750</f>
        <v>2097</v>
      </c>
      <c r="N732" s="81">
        <f t="shared" ref="N732" si="1212">N750</f>
        <v>4697</v>
      </c>
      <c r="O732" s="81">
        <f t="shared" ref="O732:P732" si="1213">O750</f>
        <v>2996</v>
      </c>
      <c r="P732" s="81">
        <f t="shared" si="1213"/>
        <v>598</v>
      </c>
      <c r="Q732" s="81">
        <f t="shared" si="1210"/>
        <v>13024</v>
      </c>
      <c r="R732" s="81">
        <f t="shared" si="1210"/>
        <v>4145</v>
      </c>
      <c r="S732" s="81">
        <f t="shared" si="1210"/>
        <v>3610</v>
      </c>
    </row>
    <row r="733" spans="1:23" ht="14.25" customHeight="1">
      <c r="A733" s="41"/>
      <c r="B733" s="40" t="s">
        <v>201</v>
      </c>
      <c r="C733" s="92">
        <v>70</v>
      </c>
      <c r="D733" s="76">
        <f t="shared" ref="D733:J733" si="1214">D755+D805</f>
        <v>523</v>
      </c>
      <c r="E733" s="76">
        <f t="shared" si="1214"/>
        <v>1666</v>
      </c>
      <c r="F733" s="76">
        <f t="shared" si="1214"/>
        <v>1195</v>
      </c>
      <c r="G733" s="76">
        <f t="shared" si="1214"/>
        <v>2386</v>
      </c>
      <c r="H733" s="76">
        <f t="shared" si="1214"/>
        <v>1413.1599999999999</v>
      </c>
      <c r="I733" s="330">
        <f t="shared" si="1214"/>
        <v>772.31999999999994</v>
      </c>
      <c r="J733" s="76">
        <f t="shared" si="1214"/>
        <v>566</v>
      </c>
      <c r="K733" s="72">
        <f t="shared" si="1163"/>
        <v>0</v>
      </c>
      <c r="L733" s="72">
        <f t="shared" si="1164"/>
        <v>566</v>
      </c>
      <c r="M733" s="76">
        <f t="shared" ref="M733" si="1215">M755+M805</f>
        <v>566</v>
      </c>
      <c r="N733" s="76">
        <f t="shared" ref="N733" si="1216">N755+N805</f>
        <v>0</v>
      </c>
      <c r="O733" s="76">
        <f t="shared" ref="O733:P733" si="1217">O755+O805</f>
        <v>0</v>
      </c>
      <c r="P733" s="76">
        <f t="shared" si="1217"/>
        <v>0</v>
      </c>
      <c r="Q733" s="76">
        <f>Q755+Q805</f>
        <v>0</v>
      </c>
      <c r="R733" s="76">
        <f>R755+R805</f>
        <v>0</v>
      </c>
      <c r="S733" s="76">
        <f>S755+S805</f>
        <v>0</v>
      </c>
    </row>
    <row r="734" spans="1:23" ht="37.5" customHeight="1">
      <c r="A734" s="119" t="s">
        <v>493</v>
      </c>
      <c r="B734" s="38" t="s">
        <v>492</v>
      </c>
      <c r="C734" s="92" t="s">
        <v>343</v>
      </c>
      <c r="D734" s="81">
        <f t="shared" ref="D734:S734" si="1218">D735+D749</f>
        <v>84720.88</v>
      </c>
      <c r="E734" s="81">
        <f t="shared" si="1218"/>
        <v>67110</v>
      </c>
      <c r="F734" s="81">
        <f t="shared" si="1218"/>
        <v>84768</v>
      </c>
      <c r="G734" s="81">
        <f t="shared" si="1218"/>
        <v>82913.320000000007</v>
      </c>
      <c r="H734" s="81">
        <f t="shared" si="1218"/>
        <v>77868.740000000005</v>
      </c>
      <c r="I734" s="339">
        <f t="shared" si="1218"/>
        <v>103947.3</v>
      </c>
      <c r="J734" s="81">
        <f t="shared" si="1218"/>
        <v>76854</v>
      </c>
      <c r="K734" s="72">
        <f t="shared" si="1163"/>
        <v>0</v>
      </c>
      <c r="L734" s="72">
        <f t="shared" si="1164"/>
        <v>76854</v>
      </c>
      <c r="M734" s="81">
        <f t="shared" ref="M734" si="1219">M735+M749</f>
        <v>38047</v>
      </c>
      <c r="N734" s="81">
        <f t="shared" ref="N734" si="1220">N735+N749</f>
        <v>19677</v>
      </c>
      <c r="O734" s="81">
        <f t="shared" ref="O734:P734" si="1221">O735+O749</f>
        <v>17340</v>
      </c>
      <c r="P734" s="81">
        <f t="shared" si="1221"/>
        <v>1790</v>
      </c>
      <c r="Q734" s="81">
        <f t="shared" si="1218"/>
        <v>62602</v>
      </c>
      <c r="R734" s="81">
        <f t="shared" si="1218"/>
        <v>47800</v>
      </c>
      <c r="S734" s="81">
        <f t="shared" si="1218"/>
        <v>53715</v>
      </c>
    </row>
    <row r="735" spans="1:23" ht="14.25">
      <c r="A735" s="41"/>
      <c r="B735" s="31" t="s">
        <v>160</v>
      </c>
      <c r="C735" s="92"/>
      <c r="D735" s="81">
        <f t="shared" ref="D735:S735" si="1222">D736</f>
        <v>82416.88</v>
      </c>
      <c r="E735" s="81">
        <f t="shared" si="1222"/>
        <v>65663</v>
      </c>
      <c r="F735" s="81">
        <f t="shared" si="1222"/>
        <v>82388</v>
      </c>
      <c r="G735" s="81">
        <f t="shared" si="1222"/>
        <v>79675.820000000007</v>
      </c>
      <c r="H735" s="81">
        <f t="shared" si="1222"/>
        <v>76138.58</v>
      </c>
      <c r="I735" s="339">
        <f t="shared" si="1222"/>
        <v>92004</v>
      </c>
      <c r="J735" s="81">
        <f t="shared" si="1222"/>
        <v>66434</v>
      </c>
      <c r="K735" s="72">
        <f t="shared" si="1163"/>
        <v>0</v>
      </c>
      <c r="L735" s="72">
        <f t="shared" si="1164"/>
        <v>66434</v>
      </c>
      <c r="M735" s="81">
        <f t="shared" si="1222"/>
        <v>35918</v>
      </c>
      <c r="N735" s="81">
        <f t="shared" si="1222"/>
        <v>14980</v>
      </c>
      <c r="O735" s="81">
        <f t="shared" si="1222"/>
        <v>14344</v>
      </c>
      <c r="P735" s="81">
        <f t="shared" si="1222"/>
        <v>1192</v>
      </c>
      <c r="Q735" s="81">
        <f t="shared" si="1222"/>
        <v>49578</v>
      </c>
      <c r="R735" s="81">
        <f t="shared" si="1222"/>
        <v>43655</v>
      </c>
      <c r="S735" s="81">
        <f t="shared" si="1222"/>
        <v>50105</v>
      </c>
    </row>
    <row r="736" spans="1:23" ht="15">
      <c r="A736" s="41"/>
      <c r="B736" s="40" t="s">
        <v>161</v>
      </c>
      <c r="C736" s="19">
        <v>1</v>
      </c>
      <c r="D736" s="76">
        <f t="shared" ref="D736:S736" si="1223">D737+D738+D739+D742+D743</f>
        <v>82416.88</v>
      </c>
      <c r="E736" s="76">
        <f t="shared" si="1223"/>
        <v>65663</v>
      </c>
      <c r="F736" s="76">
        <f t="shared" si="1223"/>
        <v>82388</v>
      </c>
      <c r="G736" s="76">
        <f t="shared" si="1223"/>
        <v>79675.820000000007</v>
      </c>
      <c r="H736" s="76">
        <f t="shared" si="1223"/>
        <v>76138.58</v>
      </c>
      <c r="I736" s="330">
        <f t="shared" si="1223"/>
        <v>92004</v>
      </c>
      <c r="J736" s="76">
        <f t="shared" si="1223"/>
        <v>66434</v>
      </c>
      <c r="K736" s="72">
        <f t="shared" si="1163"/>
        <v>0</v>
      </c>
      <c r="L736" s="72">
        <f t="shared" si="1164"/>
        <v>66434</v>
      </c>
      <c r="M736" s="76">
        <f t="shared" ref="M736" si="1224">M737+M738+M739+M742+M743</f>
        <v>35918</v>
      </c>
      <c r="N736" s="76">
        <f t="shared" ref="N736" si="1225">N737+N738+N739+N742+N743</f>
        <v>14980</v>
      </c>
      <c r="O736" s="76">
        <f t="shared" ref="O736:P736" si="1226">O737+O738+O739+O742+O743</f>
        <v>14344</v>
      </c>
      <c r="P736" s="76">
        <f t="shared" si="1226"/>
        <v>1192</v>
      </c>
      <c r="Q736" s="76">
        <f t="shared" si="1223"/>
        <v>49578</v>
      </c>
      <c r="R736" s="76">
        <f t="shared" si="1223"/>
        <v>43655</v>
      </c>
      <c r="S736" s="76">
        <f t="shared" si="1223"/>
        <v>50105</v>
      </c>
    </row>
    <row r="737" spans="1:19" ht="15.75" customHeight="1">
      <c r="A737" s="41"/>
      <c r="B737" s="40" t="s">
        <v>162</v>
      </c>
      <c r="C737" s="19">
        <v>10</v>
      </c>
      <c r="D737" s="75">
        <f>71000+12.66+4.22</f>
        <v>71016.88</v>
      </c>
      <c r="E737" s="136">
        <v>57906</v>
      </c>
      <c r="F737" s="75">
        <v>71025</v>
      </c>
      <c r="G737" s="75">
        <v>68092.38</v>
      </c>
      <c r="H737" s="75">
        <v>66840.41</v>
      </c>
      <c r="I737" s="329">
        <v>76884</v>
      </c>
      <c r="J737" s="75">
        <f>76000-19000-600</f>
        <v>56400</v>
      </c>
      <c r="K737" s="72">
        <f t="shared" si="1163"/>
        <v>0</v>
      </c>
      <c r="L737" s="72">
        <f t="shared" si="1164"/>
        <v>56400</v>
      </c>
      <c r="M737" s="75">
        <f>35418-4000-5000+5000</f>
        <v>31418</v>
      </c>
      <c r="N737" s="75">
        <f>3000+9000+7000-5000-2000+500</f>
        <v>12500</v>
      </c>
      <c r="O737" s="75">
        <f>17982-7000+2000-500</f>
        <v>12482</v>
      </c>
      <c r="P737" s="75"/>
      <c r="Q737" s="73">
        <f>57000-27113+1622+8007</f>
        <v>39516</v>
      </c>
      <c r="R737" s="73">
        <f>57000-32826+2462+6957</f>
        <v>33593</v>
      </c>
      <c r="S737" s="73">
        <f>57000-25671+2757+5957</f>
        <v>40043</v>
      </c>
    </row>
    <row r="738" spans="1:19" ht="14.25" customHeight="1">
      <c r="A738" s="41"/>
      <c r="B738" s="40" t="s">
        <v>886</v>
      </c>
      <c r="C738" s="19">
        <v>20</v>
      </c>
      <c r="D738" s="75">
        <v>9900</v>
      </c>
      <c r="E738" s="136">
        <v>6985</v>
      </c>
      <c r="F738" s="75">
        <v>9863</v>
      </c>
      <c r="G738" s="75">
        <v>10122.75</v>
      </c>
      <c r="H738" s="75">
        <v>8839.5300000000007</v>
      </c>
      <c r="I738" s="329">
        <v>13586</v>
      </c>
      <c r="J738" s="75">
        <v>8500</v>
      </c>
      <c r="K738" s="72">
        <f t="shared" si="1163"/>
        <v>0</v>
      </c>
      <c r="L738" s="72">
        <f t="shared" si="1164"/>
        <v>8500</v>
      </c>
      <c r="M738" s="75">
        <v>4000</v>
      </c>
      <c r="N738" s="75">
        <v>2000</v>
      </c>
      <c r="O738" s="75">
        <v>1500</v>
      </c>
      <c r="P738" s="75">
        <v>1000</v>
      </c>
      <c r="Q738" s="73">
        <v>8500</v>
      </c>
      <c r="R738" s="73">
        <v>8500</v>
      </c>
      <c r="S738" s="73">
        <v>8500</v>
      </c>
    </row>
    <row r="739" spans="1:19" ht="15.75" customHeight="1">
      <c r="A739" s="41"/>
      <c r="B739" s="40" t="s">
        <v>266</v>
      </c>
      <c r="C739" s="19">
        <v>57</v>
      </c>
      <c r="D739" s="73">
        <f t="shared" ref="D739:S739" si="1227">D740+D741</f>
        <v>1200</v>
      </c>
      <c r="E739" s="73">
        <f t="shared" si="1227"/>
        <v>706</v>
      </c>
      <c r="F739" s="73">
        <f t="shared" si="1227"/>
        <v>1200</v>
      </c>
      <c r="G739" s="73">
        <v>1160.69</v>
      </c>
      <c r="H739" s="73">
        <f t="shared" ref="H739" si="1228">H740+H741</f>
        <v>864</v>
      </c>
      <c r="I739" s="202">
        <f t="shared" si="1227"/>
        <v>1222</v>
      </c>
      <c r="J739" s="73">
        <f t="shared" si="1227"/>
        <v>1222</v>
      </c>
      <c r="K739" s="72">
        <f t="shared" si="1163"/>
        <v>0</v>
      </c>
      <c r="L739" s="72">
        <f t="shared" si="1164"/>
        <v>1222</v>
      </c>
      <c r="M739" s="73">
        <f t="shared" ref="M739" si="1229">M740+M741</f>
        <v>400</v>
      </c>
      <c r="N739" s="73">
        <f t="shared" ref="N739" si="1230">N740+N741</f>
        <v>380</v>
      </c>
      <c r="O739" s="73">
        <f t="shared" ref="O739:P739" si="1231">O740+O741</f>
        <v>250</v>
      </c>
      <c r="P739" s="73">
        <f t="shared" si="1231"/>
        <v>192</v>
      </c>
      <c r="Q739" s="73">
        <f t="shared" si="1227"/>
        <v>1250</v>
      </c>
      <c r="R739" s="73">
        <f t="shared" si="1227"/>
        <v>1250</v>
      </c>
      <c r="S739" s="73">
        <f t="shared" si="1227"/>
        <v>1250</v>
      </c>
    </row>
    <row r="740" spans="1:19" ht="18" customHeight="1">
      <c r="A740" s="41"/>
      <c r="B740" s="40" t="s">
        <v>184</v>
      </c>
      <c r="C740" s="19" t="s">
        <v>278</v>
      </c>
      <c r="D740" s="75">
        <v>620</v>
      </c>
      <c r="E740" s="136">
        <v>339</v>
      </c>
      <c r="F740" s="75">
        <v>625</v>
      </c>
      <c r="G740" s="75">
        <v>584.4</v>
      </c>
      <c r="H740" s="75">
        <v>405</v>
      </c>
      <c r="I740" s="329">
        <v>570</v>
      </c>
      <c r="J740" s="75">
        <v>570</v>
      </c>
      <c r="K740" s="72">
        <f t="shared" si="1163"/>
        <v>0</v>
      </c>
      <c r="L740" s="72">
        <f t="shared" si="1164"/>
        <v>570</v>
      </c>
      <c r="M740" s="75">
        <v>200</v>
      </c>
      <c r="N740" s="75">
        <v>180</v>
      </c>
      <c r="O740" s="75">
        <v>100</v>
      </c>
      <c r="P740" s="75">
        <v>90</v>
      </c>
      <c r="Q740" s="73">
        <v>600</v>
      </c>
      <c r="R740" s="73">
        <v>600</v>
      </c>
      <c r="S740" s="73">
        <v>600</v>
      </c>
    </row>
    <row r="741" spans="1:19" ht="18" customHeight="1">
      <c r="A741" s="41"/>
      <c r="B741" s="40" t="s">
        <v>344</v>
      </c>
      <c r="C741" s="19" t="s">
        <v>289</v>
      </c>
      <c r="D741" s="75">
        <v>580</v>
      </c>
      <c r="E741" s="136">
        <v>367</v>
      </c>
      <c r="F741" s="75">
        <v>575</v>
      </c>
      <c r="G741" s="75">
        <v>576.29</v>
      </c>
      <c r="H741" s="75">
        <v>459</v>
      </c>
      <c r="I741" s="329">
        <v>652</v>
      </c>
      <c r="J741" s="75">
        <v>652</v>
      </c>
      <c r="K741" s="72">
        <f t="shared" si="1163"/>
        <v>0</v>
      </c>
      <c r="L741" s="72">
        <f t="shared" si="1164"/>
        <v>652</v>
      </c>
      <c r="M741" s="75">
        <v>200</v>
      </c>
      <c r="N741" s="75">
        <v>200</v>
      </c>
      <c r="O741" s="75">
        <v>150</v>
      </c>
      <c r="P741" s="75">
        <v>102</v>
      </c>
      <c r="Q741" s="73">
        <v>650</v>
      </c>
      <c r="R741" s="73">
        <v>650</v>
      </c>
      <c r="S741" s="73">
        <v>650</v>
      </c>
    </row>
    <row r="742" spans="1:19" ht="16.5" customHeight="1">
      <c r="A742" s="41"/>
      <c r="B742" s="40" t="s">
        <v>345</v>
      </c>
      <c r="C742" s="19">
        <v>59</v>
      </c>
      <c r="D742" s="75">
        <v>300</v>
      </c>
      <c r="E742" s="136">
        <v>240</v>
      </c>
      <c r="F742" s="75">
        <v>300</v>
      </c>
      <c r="G742" s="75">
        <v>300</v>
      </c>
      <c r="H742" s="75">
        <v>267.64</v>
      </c>
      <c r="I742" s="329">
        <v>312</v>
      </c>
      <c r="J742" s="75">
        <v>312</v>
      </c>
      <c r="K742" s="72">
        <f t="shared" si="1163"/>
        <v>0</v>
      </c>
      <c r="L742" s="72">
        <f t="shared" si="1164"/>
        <v>312</v>
      </c>
      <c r="M742" s="75">
        <v>100</v>
      </c>
      <c r="N742" s="75">
        <v>100</v>
      </c>
      <c r="O742" s="75">
        <v>112</v>
      </c>
      <c r="P742" s="75"/>
      <c r="Q742" s="73">
        <v>312</v>
      </c>
      <c r="R742" s="73">
        <v>312</v>
      </c>
      <c r="S742" s="73">
        <v>312</v>
      </c>
    </row>
    <row r="743" spans="1:19" ht="0.75" customHeight="1">
      <c r="A743" s="41"/>
      <c r="B743" s="40" t="s">
        <v>171</v>
      </c>
      <c r="C743" s="19"/>
      <c r="D743" s="75"/>
      <c r="E743" s="136">
        <v>-174</v>
      </c>
      <c r="F743" s="75"/>
      <c r="G743" s="75"/>
      <c r="H743" s="201">
        <v>-673</v>
      </c>
      <c r="I743" s="329"/>
      <c r="J743" s="75"/>
      <c r="K743" s="72">
        <f t="shared" si="1163"/>
        <v>0</v>
      </c>
      <c r="L743" s="72">
        <f t="shared" si="1164"/>
        <v>0</v>
      </c>
      <c r="M743" s="75"/>
      <c r="N743" s="75"/>
      <c r="O743" s="75"/>
      <c r="P743" s="75"/>
      <c r="Q743" s="73"/>
      <c r="R743" s="73"/>
      <c r="S743" s="73"/>
    </row>
    <row r="744" spans="1:19" ht="13.5" customHeight="1">
      <c r="A744" s="120" t="s">
        <v>494</v>
      </c>
      <c r="B744" s="33" t="s">
        <v>346</v>
      </c>
      <c r="C744" s="92" t="s">
        <v>343</v>
      </c>
      <c r="D744" s="81">
        <f t="shared" ref="D744:S744" si="1232">D745+D746</f>
        <v>1525</v>
      </c>
      <c r="E744" s="81">
        <f t="shared" si="1232"/>
        <v>136442</v>
      </c>
      <c r="F744" s="81">
        <f t="shared" si="1232"/>
        <v>1135</v>
      </c>
      <c r="G744" s="81">
        <f t="shared" si="1232"/>
        <v>1135</v>
      </c>
      <c r="H744" s="81">
        <f t="shared" si="1232"/>
        <v>1059</v>
      </c>
      <c r="I744" s="339">
        <f t="shared" si="1232"/>
        <v>2200</v>
      </c>
      <c r="J744" s="81">
        <f t="shared" si="1232"/>
        <v>967</v>
      </c>
      <c r="K744" s="72">
        <f t="shared" si="1163"/>
        <v>0</v>
      </c>
      <c r="L744" s="72">
        <f t="shared" si="1164"/>
        <v>967</v>
      </c>
      <c r="M744" s="81">
        <f t="shared" ref="M744" si="1233">M745+M746</f>
        <v>330</v>
      </c>
      <c r="N744" s="81">
        <f t="shared" ref="N744" si="1234">N745+N746</f>
        <v>330</v>
      </c>
      <c r="O744" s="81">
        <f t="shared" ref="O744:P744" si="1235">O745+O746</f>
        <v>307</v>
      </c>
      <c r="P744" s="81">
        <f t="shared" si="1235"/>
        <v>0</v>
      </c>
      <c r="Q744" s="81">
        <f t="shared" si="1232"/>
        <v>2800</v>
      </c>
      <c r="R744" s="81">
        <f t="shared" si="1232"/>
        <v>2850</v>
      </c>
      <c r="S744" s="81">
        <f t="shared" si="1232"/>
        <v>2850</v>
      </c>
    </row>
    <row r="745" spans="1:19" ht="12" hidden="1" customHeight="1">
      <c r="A745" s="41"/>
      <c r="B745" s="40" t="s">
        <v>347</v>
      </c>
      <c r="C745" s="19">
        <v>20</v>
      </c>
      <c r="D745" s="75"/>
      <c r="E745" s="75">
        <v>896</v>
      </c>
      <c r="F745" s="75"/>
      <c r="G745" s="75"/>
      <c r="H745" s="75"/>
      <c r="I745" s="329"/>
      <c r="J745" s="75"/>
      <c r="K745" s="72">
        <f t="shared" si="1163"/>
        <v>0</v>
      </c>
      <c r="L745" s="72">
        <f t="shared" si="1164"/>
        <v>0</v>
      </c>
      <c r="M745" s="75"/>
      <c r="N745" s="75"/>
      <c r="O745" s="75"/>
      <c r="P745" s="75"/>
      <c r="Q745" s="73"/>
      <c r="R745" s="73"/>
      <c r="S745" s="73"/>
    </row>
    <row r="746" spans="1:19" ht="15.75" customHeight="1">
      <c r="A746" s="41"/>
      <c r="B746" s="40" t="s">
        <v>348</v>
      </c>
      <c r="C746" s="92">
        <v>57.02</v>
      </c>
      <c r="D746" s="76">
        <f t="shared" ref="D746:S746" si="1236">D747+D748</f>
        <v>1525</v>
      </c>
      <c r="E746" s="76">
        <f t="shared" si="1236"/>
        <v>135546</v>
      </c>
      <c r="F746" s="76">
        <f t="shared" si="1236"/>
        <v>1135</v>
      </c>
      <c r="G746" s="76">
        <f t="shared" si="1236"/>
        <v>1135</v>
      </c>
      <c r="H746" s="76">
        <f t="shared" si="1236"/>
        <v>1059</v>
      </c>
      <c r="I746" s="330">
        <f t="shared" si="1236"/>
        <v>2200</v>
      </c>
      <c r="J746" s="76">
        <f t="shared" si="1236"/>
        <v>967</v>
      </c>
      <c r="K746" s="72">
        <f t="shared" si="1163"/>
        <v>0</v>
      </c>
      <c r="L746" s="72">
        <f t="shared" si="1164"/>
        <v>967</v>
      </c>
      <c r="M746" s="76">
        <f t="shared" ref="M746" si="1237">M747+M748</f>
        <v>330</v>
      </c>
      <c r="N746" s="76">
        <f t="shared" ref="N746" si="1238">N747+N748</f>
        <v>330</v>
      </c>
      <c r="O746" s="76">
        <f t="shared" ref="O746:P746" si="1239">O747+O748</f>
        <v>307</v>
      </c>
      <c r="P746" s="76">
        <f t="shared" si="1239"/>
        <v>0</v>
      </c>
      <c r="Q746" s="76">
        <f t="shared" si="1236"/>
        <v>2800</v>
      </c>
      <c r="R746" s="76">
        <f t="shared" si="1236"/>
        <v>2850</v>
      </c>
      <c r="S746" s="76">
        <f t="shared" si="1236"/>
        <v>2850</v>
      </c>
    </row>
    <row r="747" spans="1:19" ht="19.5" customHeight="1">
      <c r="A747" s="41"/>
      <c r="B747" s="40" t="s">
        <v>184</v>
      </c>
      <c r="C747" s="19" t="s">
        <v>278</v>
      </c>
      <c r="D747" s="75">
        <v>217</v>
      </c>
      <c r="E747" s="75">
        <v>134330</v>
      </c>
      <c r="F747" s="75">
        <v>105</v>
      </c>
      <c r="G747" s="75">
        <v>105</v>
      </c>
      <c r="H747" s="75">
        <v>99</v>
      </c>
      <c r="I747" s="329">
        <v>200</v>
      </c>
      <c r="J747" s="75">
        <v>101</v>
      </c>
      <c r="K747" s="72">
        <f t="shared" si="1163"/>
        <v>0</v>
      </c>
      <c r="L747" s="72">
        <f t="shared" si="1164"/>
        <v>101</v>
      </c>
      <c r="M747" s="75">
        <v>30</v>
      </c>
      <c r="N747" s="75">
        <v>30</v>
      </c>
      <c r="O747" s="75">
        <v>41</v>
      </c>
      <c r="P747" s="75">
        <v>0</v>
      </c>
      <c r="Q747" s="73">
        <v>300</v>
      </c>
      <c r="R747" s="73">
        <v>350</v>
      </c>
      <c r="S747" s="73">
        <v>350</v>
      </c>
    </row>
    <row r="748" spans="1:19" ht="17.25" customHeight="1">
      <c r="A748" s="41"/>
      <c r="B748" s="40" t="s">
        <v>349</v>
      </c>
      <c r="C748" s="19" t="s">
        <v>289</v>
      </c>
      <c r="D748" s="75">
        <v>1308</v>
      </c>
      <c r="E748" s="75">
        <v>1216</v>
      </c>
      <c r="F748" s="75">
        <v>1030</v>
      </c>
      <c r="G748" s="75">
        <v>1030</v>
      </c>
      <c r="H748" s="75">
        <v>960</v>
      </c>
      <c r="I748" s="329">
        <v>2000</v>
      </c>
      <c r="J748" s="75">
        <v>866</v>
      </c>
      <c r="K748" s="72">
        <f t="shared" si="1163"/>
        <v>0</v>
      </c>
      <c r="L748" s="72">
        <f t="shared" si="1164"/>
        <v>866</v>
      </c>
      <c r="M748" s="75">
        <v>300</v>
      </c>
      <c r="N748" s="75">
        <v>300</v>
      </c>
      <c r="O748" s="75">
        <v>266</v>
      </c>
      <c r="P748" s="75">
        <v>0</v>
      </c>
      <c r="Q748" s="73">
        <v>2500</v>
      </c>
      <c r="R748" s="73">
        <v>2500</v>
      </c>
      <c r="S748" s="73">
        <v>2500</v>
      </c>
    </row>
    <row r="749" spans="1:19" ht="12.75" customHeight="1">
      <c r="A749" s="41"/>
      <c r="B749" s="33" t="s">
        <v>172</v>
      </c>
      <c r="C749" s="19"/>
      <c r="D749" s="81">
        <f t="shared" ref="D749:S749" si="1240">D750+D754+D755</f>
        <v>2304</v>
      </c>
      <c r="E749" s="81">
        <f t="shared" si="1240"/>
        <v>1447</v>
      </c>
      <c r="F749" s="81">
        <f t="shared" si="1240"/>
        <v>2380</v>
      </c>
      <c r="G749" s="81">
        <f t="shared" si="1240"/>
        <v>3237.5</v>
      </c>
      <c r="H749" s="81">
        <f t="shared" si="1240"/>
        <v>1730.1599999999999</v>
      </c>
      <c r="I749" s="339">
        <f t="shared" si="1240"/>
        <v>11943.3</v>
      </c>
      <c r="J749" s="81">
        <f t="shared" si="1240"/>
        <v>10420</v>
      </c>
      <c r="K749" s="72">
        <f t="shared" si="1163"/>
        <v>0</v>
      </c>
      <c r="L749" s="72">
        <f t="shared" si="1164"/>
        <v>10420</v>
      </c>
      <c r="M749" s="81">
        <f t="shared" ref="M749" si="1241">M750+M754+M755</f>
        <v>2129</v>
      </c>
      <c r="N749" s="81">
        <f t="shared" ref="N749" si="1242">N750+N754+N755</f>
        <v>4697</v>
      </c>
      <c r="O749" s="81">
        <f t="shared" ref="O749:P749" si="1243">O750+O754+O755</f>
        <v>2996</v>
      </c>
      <c r="P749" s="81">
        <f t="shared" si="1243"/>
        <v>598</v>
      </c>
      <c r="Q749" s="81">
        <f t="shared" si="1240"/>
        <v>13024</v>
      </c>
      <c r="R749" s="81">
        <f t="shared" si="1240"/>
        <v>4145</v>
      </c>
      <c r="S749" s="81">
        <f t="shared" si="1240"/>
        <v>3610</v>
      </c>
    </row>
    <row r="750" spans="1:19" ht="15" customHeight="1">
      <c r="A750" s="41"/>
      <c r="B750" s="40" t="s">
        <v>181</v>
      </c>
      <c r="C750" s="92">
        <v>58</v>
      </c>
      <c r="D750" s="73">
        <f>D761+D767+D773+D778+D783+D788+D793</f>
        <v>1981</v>
      </c>
      <c r="E750" s="73">
        <f t="shared" ref="E750:S750" si="1244">E761+E767+E773+E778+E783+E788+E793</f>
        <v>107</v>
      </c>
      <c r="F750" s="73">
        <f t="shared" si="1244"/>
        <v>2020</v>
      </c>
      <c r="G750" s="73">
        <f t="shared" si="1244"/>
        <v>2020</v>
      </c>
      <c r="H750" s="73">
        <f t="shared" si="1244"/>
        <v>919</v>
      </c>
      <c r="I750" s="202">
        <f t="shared" si="1244"/>
        <v>11723</v>
      </c>
      <c r="J750" s="73">
        <f t="shared" si="1244"/>
        <v>10388</v>
      </c>
      <c r="K750" s="72">
        <f t="shared" si="1163"/>
        <v>0</v>
      </c>
      <c r="L750" s="72">
        <f t="shared" si="1164"/>
        <v>10388</v>
      </c>
      <c r="M750" s="73">
        <f t="shared" ref="M750" si="1245">M761+M767+M773+M778+M783+M788+M793</f>
        <v>2097</v>
      </c>
      <c r="N750" s="73">
        <f t="shared" ref="N750" si="1246">N761+N767+N773+N778+N783+N788+N793</f>
        <v>4697</v>
      </c>
      <c r="O750" s="73">
        <f t="shared" ref="O750:P750" si="1247">O761+O767+O773+O778+O783+O788+O793</f>
        <v>2996</v>
      </c>
      <c r="P750" s="73">
        <f t="shared" si="1247"/>
        <v>598</v>
      </c>
      <c r="Q750" s="73">
        <f t="shared" si="1244"/>
        <v>13024</v>
      </c>
      <c r="R750" s="73">
        <f t="shared" si="1244"/>
        <v>4145</v>
      </c>
      <c r="S750" s="73">
        <f t="shared" si="1244"/>
        <v>3610</v>
      </c>
    </row>
    <row r="751" spans="1:19" ht="0.75" customHeight="1">
      <c r="A751" s="41"/>
      <c r="B751" s="40" t="s">
        <v>350</v>
      </c>
      <c r="C751" s="19" t="s">
        <v>213</v>
      </c>
      <c r="D751" s="75">
        <v>0</v>
      </c>
      <c r="E751" s="75"/>
      <c r="F751" s="75"/>
      <c r="G751" s="75"/>
      <c r="H751" s="75"/>
      <c r="I751" s="329"/>
      <c r="J751" s="75"/>
      <c r="K751" s="72">
        <f t="shared" si="1163"/>
        <v>0</v>
      </c>
      <c r="L751" s="72">
        <f t="shared" si="1164"/>
        <v>0</v>
      </c>
      <c r="M751" s="75"/>
      <c r="N751" s="75"/>
      <c r="O751" s="75"/>
      <c r="P751" s="75"/>
      <c r="Q751" s="73"/>
      <c r="R751" s="73"/>
      <c r="S751" s="73"/>
    </row>
    <row r="752" spans="1:19" ht="14.25" hidden="1" customHeight="1">
      <c r="A752" s="41"/>
      <c r="B752" s="40" t="s">
        <v>214</v>
      </c>
      <c r="C752" s="19" t="s">
        <v>215</v>
      </c>
      <c r="D752" s="75">
        <v>0</v>
      </c>
      <c r="E752" s="75"/>
      <c r="F752" s="75"/>
      <c r="G752" s="75"/>
      <c r="H752" s="75"/>
      <c r="I752" s="329"/>
      <c r="J752" s="75"/>
      <c r="K752" s="72">
        <f t="shared" si="1163"/>
        <v>0</v>
      </c>
      <c r="L752" s="72">
        <f t="shared" si="1164"/>
        <v>0</v>
      </c>
      <c r="M752" s="75"/>
      <c r="N752" s="75"/>
      <c r="O752" s="75"/>
      <c r="P752" s="75"/>
      <c r="Q752" s="73"/>
      <c r="R752" s="73"/>
      <c r="S752" s="73"/>
    </row>
    <row r="753" spans="1:19" ht="18" hidden="1" customHeight="1">
      <c r="A753" s="41"/>
      <c r="B753" s="40" t="s">
        <v>217</v>
      </c>
      <c r="C753" s="19" t="s">
        <v>216</v>
      </c>
      <c r="D753" s="75">
        <v>0</v>
      </c>
      <c r="E753" s="75"/>
      <c r="F753" s="75"/>
      <c r="G753" s="75"/>
      <c r="H753" s="75"/>
      <c r="I753" s="329"/>
      <c r="J753" s="75"/>
      <c r="K753" s="72">
        <f t="shared" si="1163"/>
        <v>0</v>
      </c>
      <c r="L753" s="72">
        <f t="shared" si="1164"/>
        <v>0</v>
      </c>
      <c r="M753" s="75"/>
      <c r="N753" s="75"/>
      <c r="O753" s="75"/>
      <c r="P753" s="75"/>
      <c r="Q753" s="73"/>
      <c r="R753" s="73"/>
      <c r="S753" s="73"/>
    </row>
    <row r="754" spans="1:19" ht="14.25" hidden="1" customHeight="1">
      <c r="A754" s="41"/>
      <c r="B754" s="40" t="s">
        <v>181</v>
      </c>
      <c r="C754" s="92" t="s">
        <v>351</v>
      </c>
      <c r="D754" s="83">
        <v>0</v>
      </c>
      <c r="E754" s="83"/>
      <c r="F754" s="83"/>
      <c r="G754" s="83"/>
      <c r="H754" s="83"/>
      <c r="I754" s="340"/>
      <c r="J754" s="83"/>
      <c r="K754" s="72">
        <f t="shared" si="1163"/>
        <v>0</v>
      </c>
      <c r="L754" s="72">
        <f t="shared" si="1164"/>
        <v>0</v>
      </c>
      <c r="M754" s="83"/>
      <c r="N754" s="83"/>
      <c r="O754" s="83"/>
      <c r="P754" s="83"/>
      <c r="Q754" s="73"/>
      <c r="R754" s="73"/>
      <c r="S754" s="73"/>
    </row>
    <row r="755" spans="1:19" ht="15" customHeight="1">
      <c r="A755" s="41"/>
      <c r="B755" s="40" t="s">
        <v>201</v>
      </c>
      <c r="C755" s="92">
        <v>70</v>
      </c>
      <c r="D755" s="81">
        <f>323</f>
        <v>323</v>
      </c>
      <c r="E755" s="81">
        <v>1340</v>
      </c>
      <c r="F755" s="81">
        <v>360</v>
      </c>
      <c r="G755" s="81">
        <v>1217.5</v>
      </c>
      <c r="H755" s="81">
        <v>811.16</v>
      </c>
      <c r="I755" s="339">
        <v>220.3</v>
      </c>
      <c r="J755" s="81">
        <v>32</v>
      </c>
      <c r="K755" s="72">
        <f t="shared" si="1163"/>
        <v>0</v>
      </c>
      <c r="L755" s="72">
        <f t="shared" si="1164"/>
        <v>32</v>
      </c>
      <c r="M755" s="81">
        <v>32</v>
      </c>
      <c r="N755" s="81"/>
      <c r="O755" s="81"/>
      <c r="P755" s="81"/>
      <c r="Q755" s="81">
        <v>0</v>
      </c>
      <c r="R755" s="81">
        <v>0</v>
      </c>
      <c r="S755" s="81">
        <v>0</v>
      </c>
    </row>
    <row r="756" spans="1:19" ht="0.75" customHeight="1">
      <c r="A756" s="41"/>
      <c r="B756" s="40" t="s">
        <v>202</v>
      </c>
      <c r="C756" s="19" t="s">
        <v>203</v>
      </c>
      <c r="D756" s="75">
        <v>0</v>
      </c>
      <c r="E756" s="75"/>
      <c r="F756" s="75"/>
      <c r="G756" s="75"/>
      <c r="H756" s="75"/>
      <c r="I756" s="329"/>
      <c r="J756" s="75"/>
      <c r="K756" s="72">
        <f t="shared" si="1163"/>
        <v>0</v>
      </c>
      <c r="L756" s="72">
        <f t="shared" si="1164"/>
        <v>0</v>
      </c>
      <c r="M756" s="75"/>
      <c r="N756" s="75"/>
      <c r="O756" s="75"/>
      <c r="P756" s="75"/>
      <c r="Q756" s="73"/>
      <c r="R756" s="73"/>
      <c r="S756" s="73"/>
    </row>
    <row r="757" spans="1:19" ht="21" hidden="1" customHeight="1">
      <c r="A757" s="41"/>
      <c r="B757" s="40" t="s">
        <v>254</v>
      </c>
      <c r="C757" s="19" t="s">
        <v>205</v>
      </c>
      <c r="D757" s="75">
        <v>0</v>
      </c>
      <c r="E757" s="75"/>
      <c r="F757" s="75"/>
      <c r="G757" s="75"/>
      <c r="H757" s="75"/>
      <c r="I757" s="329"/>
      <c r="J757" s="75"/>
      <c r="K757" s="72">
        <f t="shared" si="1163"/>
        <v>0</v>
      </c>
      <c r="L757" s="72">
        <f t="shared" si="1164"/>
        <v>0</v>
      </c>
      <c r="M757" s="75"/>
      <c r="N757" s="75"/>
      <c r="O757" s="75"/>
      <c r="P757" s="75"/>
      <c r="Q757" s="73"/>
      <c r="R757" s="73"/>
      <c r="S757" s="73"/>
    </row>
    <row r="758" spans="1:19" ht="21" hidden="1" customHeight="1">
      <c r="A758" s="41"/>
      <c r="B758" s="40" t="s">
        <v>352</v>
      </c>
      <c r="C758" s="19" t="s">
        <v>207</v>
      </c>
      <c r="D758" s="75">
        <v>0</v>
      </c>
      <c r="E758" s="75"/>
      <c r="F758" s="75"/>
      <c r="G758" s="75"/>
      <c r="H758" s="75"/>
      <c r="I758" s="329"/>
      <c r="J758" s="75"/>
      <c r="K758" s="72">
        <f t="shared" si="1163"/>
        <v>0</v>
      </c>
      <c r="L758" s="72">
        <f t="shared" si="1164"/>
        <v>0</v>
      </c>
      <c r="M758" s="75"/>
      <c r="N758" s="75"/>
      <c r="O758" s="75"/>
      <c r="P758" s="75"/>
      <c r="Q758" s="73"/>
      <c r="R758" s="73"/>
      <c r="S758" s="73"/>
    </row>
    <row r="759" spans="1:19" ht="21" hidden="1" customHeight="1">
      <c r="A759" s="41"/>
      <c r="B759" s="40" t="s">
        <v>208</v>
      </c>
      <c r="C759" s="19" t="s">
        <v>209</v>
      </c>
      <c r="D759" s="75"/>
      <c r="E759" s="75"/>
      <c r="F759" s="75"/>
      <c r="G759" s="75"/>
      <c r="H759" s="75"/>
      <c r="I759" s="329"/>
      <c r="J759" s="75"/>
      <c r="K759" s="72">
        <f t="shared" si="1163"/>
        <v>0</v>
      </c>
      <c r="L759" s="72">
        <f t="shared" si="1164"/>
        <v>0</v>
      </c>
      <c r="M759" s="75"/>
      <c r="N759" s="75"/>
      <c r="O759" s="75"/>
      <c r="P759" s="75"/>
      <c r="Q759" s="73"/>
      <c r="R759" s="73"/>
      <c r="S759" s="73"/>
    </row>
    <row r="760" spans="1:19" ht="21" hidden="1" customHeight="1">
      <c r="A760" s="41"/>
      <c r="B760" s="40" t="s">
        <v>210</v>
      </c>
      <c r="C760" s="19">
        <v>71.03</v>
      </c>
      <c r="D760" s="75"/>
      <c r="E760" s="75"/>
      <c r="F760" s="75"/>
      <c r="G760" s="75"/>
      <c r="H760" s="75"/>
      <c r="I760" s="329"/>
      <c r="J760" s="75"/>
      <c r="K760" s="72">
        <f t="shared" si="1163"/>
        <v>0</v>
      </c>
      <c r="L760" s="72">
        <f t="shared" si="1164"/>
        <v>0</v>
      </c>
      <c r="M760" s="75"/>
      <c r="N760" s="75"/>
      <c r="O760" s="75"/>
      <c r="P760" s="75"/>
      <c r="Q760" s="73"/>
      <c r="R760" s="73"/>
      <c r="S760" s="73"/>
    </row>
    <row r="761" spans="1:19" ht="30" customHeight="1">
      <c r="A761" s="41"/>
      <c r="B761" s="56" t="s">
        <v>530</v>
      </c>
      <c r="C761" s="100" t="s">
        <v>343</v>
      </c>
      <c r="D761" s="85">
        <f t="shared" ref="D761:S762" si="1248">D762</f>
        <v>971</v>
      </c>
      <c r="E761" s="85">
        <f t="shared" si="1248"/>
        <v>7</v>
      </c>
      <c r="F761" s="85">
        <f t="shared" si="1248"/>
        <v>971</v>
      </c>
      <c r="G761" s="85">
        <f t="shared" si="1248"/>
        <v>971</v>
      </c>
      <c r="H761" s="85">
        <f t="shared" si="1248"/>
        <v>405</v>
      </c>
      <c r="I761" s="346">
        <f t="shared" si="1248"/>
        <v>1608</v>
      </c>
      <c r="J761" s="85">
        <f t="shared" si="1248"/>
        <v>1608</v>
      </c>
      <c r="K761" s="72">
        <f t="shared" si="1163"/>
        <v>0</v>
      </c>
      <c r="L761" s="72">
        <f t="shared" si="1164"/>
        <v>1608</v>
      </c>
      <c r="M761" s="85">
        <f t="shared" si="1248"/>
        <v>461</v>
      </c>
      <c r="N761" s="85">
        <f t="shared" si="1248"/>
        <v>460</v>
      </c>
      <c r="O761" s="85">
        <f t="shared" si="1248"/>
        <v>460</v>
      </c>
      <c r="P761" s="85">
        <f t="shared" si="1248"/>
        <v>227</v>
      </c>
      <c r="Q761" s="85">
        <f t="shared" si="1248"/>
        <v>2193</v>
      </c>
      <c r="R761" s="85">
        <f t="shared" si="1248"/>
        <v>2990</v>
      </c>
      <c r="S761" s="85">
        <f t="shared" si="1248"/>
        <v>3555</v>
      </c>
    </row>
    <row r="762" spans="1:19" ht="21" customHeight="1">
      <c r="A762" s="41"/>
      <c r="B762" s="40" t="s">
        <v>172</v>
      </c>
      <c r="C762" s="141"/>
      <c r="D762" s="73">
        <f t="shared" si="1248"/>
        <v>971</v>
      </c>
      <c r="E762" s="73">
        <f t="shared" si="1248"/>
        <v>7</v>
      </c>
      <c r="F762" s="73">
        <f t="shared" si="1248"/>
        <v>971</v>
      </c>
      <c r="G762" s="73">
        <f t="shared" si="1248"/>
        <v>971</v>
      </c>
      <c r="H762" s="73">
        <f t="shared" si="1248"/>
        <v>405</v>
      </c>
      <c r="I762" s="202">
        <f t="shared" si="1248"/>
        <v>1608</v>
      </c>
      <c r="J762" s="73">
        <f t="shared" si="1248"/>
        <v>1608</v>
      </c>
      <c r="K762" s="72">
        <f t="shared" si="1163"/>
        <v>0</v>
      </c>
      <c r="L762" s="72">
        <f t="shared" si="1164"/>
        <v>1608</v>
      </c>
      <c r="M762" s="73">
        <f t="shared" si="1248"/>
        <v>461</v>
      </c>
      <c r="N762" s="73">
        <f t="shared" si="1248"/>
        <v>460</v>
      </c>
      <c r="O762" s="73">
        <f t="shared" si="1248"/>
        <v>460</v>
      </c>
      <c r="P762" s="73">
        <f t="shared" si="1248"/>
        <v>227</v>
      </c>
      <c r="Q762" s="73">
        <f t="shared" si="1248"/>
        <v>2193</v>
      </c>
      <c r="R762" s="73">
        <f t="shared" si="1248"/>
        <v>2990</v>
      </c>
      <c r="S762" s="73">
        <f t="shared" si="1248"/>
        <v>3555</v>
      </c>
    </row>
    <row r="763" spans="1:19" ht="30" customHeight="1">
      <c r="A763" s="41"/>
      <c r="B763" s="39" t="s">
        <v>462</v>
      </c>
      <c r="C763" s="19">
        <v>58</v>
      </c>
      <c r="D763" s="73">
        <f t="shared" ref="D763:S763" si="1249">D764+D765+D766</f>
        <v>971</v>
      </c>
      <c r="E763" s="76">
        <f t="shared" si="1249"/>
        <v>7</v>
      </c>
      <c r="F763" s="73">
        <f t="shared" si="1249"/>
        <v>971</v>
      </c>
      <c r="G763" s="73">
        <f t="shared" si="1249"/>
        <v>971</v>
      </c>
      <c r="H763" s="73">
        <f t="shared" si="1249"/>
        <v>405</v>
      </c>
      <c r="I763" s="202">
        <f t="shared" si="1249"/>
        <v>1608</v>
      </c>
      <c r="J763" s="73">
        <f t="shared" si="1249"/>
        <v>1608</v>
      </c>
      <c r="K763" s="72">
        <f t="shared" si="1163"/>
        <v>0</v>
      </c>
      <c r="L763" s="72">
        <f t="shared" si="1164"/>
        <v>1608</v>
      </c>
      <c r="M763" s="73">
        <f t="shared" ref="M763" si="1250">M764+M765+M766</f>
        <v>461</v>
      </c>
      <c r="N763" s="73">
        <f t="shared" ref="N763" si="1251">N764+N765+N766</f>
        <v>460</v>
      </c>
      <c r="O763" s="73">
        <f t="shared" ref="O763:P763" si="1252">O764+O765+O766</f>
        <v>460</v>
      </c>
      <c r="P763" s="73">
        <f t="shared" si="1252"/>
        <v>227</v>
      </c>
      <c r="Q763" s="73">
        <f t="shared" si="1249"/>
        <v>2193</v>
      </c>
      <c r="R763" s="73">
        <f t="shared" si="1249"/>
        <v>2990</v>
      </c>
      <c r="S763" s="73">
        <f t="shared" si="1249"/>
        <v>3555</v>
      </c>
    </row>
    <row r="764" spans="1:19" ht="15" customHeight="1">
      <c r="A764" s="41"/>
      <c r="B764" s="28" t="s">
        <v>500</v>
      </c>
      <c r="C764" s="19" t="s">
        <v>512</v>
      </c>
      <c r="D764" s="75">
        <v>132</v>
      </c>
      <c r="E764" s="76"/>
      <c r="F764" s="75">
        <v>132</v>
      </c>
      <c r="G764" s="75">
        <v>132</v>
      </c>
      <c r="H764" s="75">
        <v>51</v>
      </c>
      <c r="I764" s="329">
        <v>218</v>
      </c>
      <c r="J764" s="75">
        <v>218</v>
      </c>
      <c r="K764" s="72">
        <f t="shared" si="1163"/>
        <v>0</v>
      </c>
      <c r="L764" s="72">
        <f t="shared" si="1164"/>
        <v>218</v>
      </c>
      <c r="M764" s="75">
        <v>39</v>
      </c>
      <c r="N764" s="75">
        <v>71</v>
      </c>
      <c r="O764" s="75">
        <v>71</v>
      </c>
      <c r="P764" s="75">
        <v>37</v>
      </c>
      <c r="Q764" s="73"/>
      <c r="R764" s="73"/>
      <c r="S764" s="73"/>
    </row>
    <row r="765" spans="1:19" ht="17.25" customHeight="1">
      <c r="A765" s="41"/>
      <c r="B765" s="28" t="s">
        <v>502</v>
      </c>
      <c r="C765" s="19" t="s">
        <v>513</v>
      </c>
      <c r="D765" s="75">
        <v>819</v>
      </c>
      <c r="E765" s="76">
        <v>7</v>
      </c>
      <c r="F765" s="75">
        <v>819</v>
      </c>
      <c r="G765" s="75">
        <v>819</v>
      </c>
      <c r="H765" s="75">
        <v>343</v>
      </c>
      <c r="I765" s="329">
        <v>1357</v>
      </c>
      <c r="J765" s="75">
        <v>1357</v>
      </c>
      <c r="K765" s="72">
        <f t="shared" si="1163"/>
        <v>0</v>
      </c>
      <c r="L765" s="72">
        <f t="shared" si="1164"/>
        <v>1357</v>
      </c>
      <c r="M765" s="75">
        <v>389</v>
      </c>
      <c r="N765" s="75">
        <v>389</v>
      </c>
      <c r="O765" s="75">
        <v>389</v>
      </c>
      <c r="P765" s="75">
        <v>190</v>
      </c>
      <c r="Q765" s="73">
        <v>2193</v>
      </c>
      <c r="R765" s="73">
        <v>2990</v>
      </c>
      <c r="S765" s="73">
        <v>3555</v>
      </c>
    </row>
    <row r="766" spans="1:19" ht="17.25" customHeight="1">
      <c r="A766" s="41"/>
      <c r="B766" s="28" t="s">
        <v>503</v>
      </c>
      <c r="C766" s="19" t="s">
        <v>514</v>
      </c>
      <c r="D766" s="75">
        <v>20</v>
      </c>
      <c r="E766" s="76"/>
      <c r="F766" s="75">
        <v>20</v>
      </c>
      <c r="G766" s="75">
        <v>20</v>
      </c>
      <c r="H766" s="75">
        <v>11</v>
      </c>
      <c r="I766" s="329">
        <v>33</v>
      </c>
      <c r="J766" s="75">
        <v>33</v>
      </c>
      <c r="K766" s="72">
        <f t="shared" si="1163"/>
        <v>0</v>
      </c>
      <c r="L766" s="72">
        <f t="shared" si="1164"/>
        <v>33</v>
      </c>
      <c r="M766" s="75">
        <v>33</v>
      </c>
      <c r="N766" s="75"/>
      <c r="O766" s="75"/>
      <c r="P766" s="75"/>
      <c r="Q766" s="73"/>
      <c r="R766" s="73"/>
      <c r="S766" s="73"/>
    </row>
    <row r="767" spans="1:19" ht="30" customHeight="1">
      <c r="A767" s="41"/>
      <c r="B767" s="56" t="s">
        <v>534</v>
      </c>
      <c r="C767" s="101" t="s">
        <v>343</v>
      </c>
      <c r="D767" s="86">
        <f t="shared" ref="D767:S768" si="1253">D768</f>
        <v>164</v>
      </c>
      <c r="E767" s="86">
        <f t="shared" si="1253"/>
        <v>100</v>
      </c>
      <c r="F767" s="86">
        <f t="shared" si="1253"/>
        <v>164</v>
      </c>
      <c r="G767" s="86">
        <f t="shared" si="1253"/>
        <v>164</v>
      </c>
      <c r="H767" s="86">
        <f t="shared" si="1253"/>
        <v>103</v>
      </c>
      <c r="I767" s="345">
        <f t="shared" si="1253"/>
        <v>55</v>
      </c>
      <c r="J767" s="86">
        <f t="shared" si="1253"/>
        <v>55</v>
      </c>
      <c r="K767" s="72">
        <f t="shared" si="1163"/>
        <v>0</v>
      </c>
      <c r="L767" s="72">
        <f t="shared" si="1164"/>
        <v>55</v>
      </c>
      <c r="M767" s="86">
        <f t="shared" si="1253"/>
        <v>55</v>
      </c>
      <c r="N767" s="86">
        <f t="shared" si="1253"/>
        <v>0</v>
      </c>
      <c r="O767" s="86">
        <f t="shared" si="1253"/>
        <v>0</v>
      </c>
      <c r="P767" s="86">
        <f t="shared" si="1253"/>
        <v>0</v>
      </c>
      <c r="Q767" s="86">
        <f t="shared" si="1253"/>
        <v>0</v>
      </c>
      <c r="R767" s="86">
        <f t="shared" si="1253"/>
        <v>0</v>
      </c>
      <c r="S767" s="86">
        <f t="shared" si="1253"/>
        <v>0</v>
      </c>
    </row>
    <row r="768" spans="1:19" ht="21" customHeight="1">
      <c r="A768" s="41"/>
      <c r="B768" s="40" t="s">
        <v>172</v>
      </c>
      <c r="C768" s="141"/>
      <c r="D768" s="73">
        <f t="shared" si="1253"/>
        <v>164</v>
      </c>
      <c r="E768" s="73">
        <f t="shared" si="1253"/>
        <v>100</v>
      </c>
      <c r="F768" s="73">
        <f t="shared" si="1253"/>
        <v>164</v>
      </c>
      <c r="G768" s="73">
        <f t="shared" si="1253"/>
        <v>164</v>
      </c>
      <c r="H768" s="73">
        <f t="shared" si="1253"/>
        <v>103</v>
      </c>
      <c r="I768" s="202">
        <f t="shared" si="1253"/>
        <v>55</v>
      </c>
      <c r="J768" s="73">
        <f t="shared" si="1253"/>
        <v>55</v>
      </c>
      <c r="K768" s="72">
        <f t="shared" si="1163"/>
        <v>0</v>
      </c>
      <c r="L768" s="72">
        <f t="shared" si="1164"/>
        <v>55</v>
      </c>
      <c r="M768" s="73">
        <f t="shared" si="1253"/>
        <v>55</v>
      </c>
      <c r="N768" s="73">
        <f t="shared" si="1253"/>
        <v>0</v>
      </c>
      <c r="O768" s="73">
        <f t="shared" si="1253"/>
        <v>0</v>
      </c>
      <c r="P768" s="73">
        <f t="shared" si="1253"/>
        <v>0</v>
      </c>
      <c r="Q768" s="73">
        <f t="shared" si="1253"/>
        <v>0</v>
      </c>
      <c r="R768" s="73">
        <f t="shared" si="1253"/>
        <v>0</v>
      </c>
      <c r="S768" s="73">
        <f t="shared" si="1253"/>
        <v>0</v>
      </c>
    </row>
    <row r="769" spans="1:19" ht="27.75" customHeight="1">
      <c r="A769" s="41"/>
      <c r="B769" s="39" t="s">
        <v>462</v>
      </c>
      <c r="C769" s="19">
        <v>58</v>
      </c>
      <c r="D769" s="73">
        <f t="shared" ref="D769:S769" si="1254">D770+D771+D772</f>
        <v>164</v>
      </c>
      <c r="E769" s="76">
        <f t="shared" si="1254"/>
        <v>100</v>
      </c>
      <c r="F769" s="73">
        <f t="shared" si="1254"/>
        <v>164</v>
      </c>
      <c r="G769" s="73">
        <f t="shared" si="1254"/>
        <v>164</v>
      </c>
      <c r="H769" s="73">
        <f t="shared" si="1254"/>
        <v>103</v>
      </c>
      <c r="I769" s="202">
        <f t="shared" si="1254"/>
        <v>55</v>
      </c>
      <c r="J769" s="73">
        <f t="shared" si="1254"/>
        <v>55</v>
      </c>
      <c r="K769" s="72">
        <f t="shared" si="1163"/>
        <v>0</v>
      </c>
      <c r="L769" s="72">
        <f t="shared" si="1164"/>
        <v>55</v>
      </c>
      <c r="M769" s="73">
        <f t="shared" ref="M769" si="1255">M770+M771+M772</f>
        <v>55</v>
      </c>
      <c r="N769" s="73">
        <f t="shared" ref="N769" si="1256">N770+N771+N772</f>
        <v>0</v>
      </c>
      <c r="O769" s="73">
        <f t="shared" ref="O769:P769" si="1257">O770+O771+O772</f>
        <v>0</v>
      </c>
      <c r="P769" s="73">
        <f t="shared" si="1257"/>
        <v>0</v>
      </c>
      <c r="Q769" s="73">
        <f t="shared" si="1254"/>
        <v>0</v>
      </c>
      <c r="R769" s="73">
        <f t="shared" si="1254"/>
        <v>0</v>
      </c>
      <c r="S769" s="73">
        <f t="shared" si="1254"/>
        <v>0</v>
      </c>
    </row>
    <row r="770" spans="1:19" ht="17.25" customHeight="1">
      <c r="A770" s="41"/>
      <c r="B770" s="28" t="s">
        <v>500</v>
      </c>
      <c r="C770" s="19" t="s">
        <v>531</v>
      </c>
      <c r="D770" s="75"/>
      <c r="E770" s="76"/>
      <c r="F770" s="75"/>
      <c r="G770" s="75"/>
      <c r="H770" s="75"/>
      <c r="I770" s="329"/>
      <c r="J770" s="75"/>
      <c r="K770" s="72">
        <f t="shared" si="1163"/>
        <v>0</v>
      </c>
      <c r="L770" s="72">
        <f t="shared" si="1164"/>
        <v>0</v>
      </c>
      <c r="M770" s="75"/>
      <c r="N770" s="75"/>
      <c r="O770" s="75"/>
      <c r="P770" s="75"/>
      <c r="Q770" s="73"/>
      <c r="R770" s="73"/>
      <c r="S770" s="73"/>
    </row>
    <row r="771" spans="1:19" ht="17.25" customHeight="1">
      <c r="A771" s="41"/>
      <c r="B771" s="28" t="s">
        <v>502</v>
      </c>
      <c r="C771" s="19" t="s">
        <v>532</v>
      </c>
      <c r="D771" s="75">
        <v>131</v>
      </c>
      <c r="E771" s="76">
        <v>76</v>
      </c>
      <c r="F771" s="75">
        <v>131</v>
      </c>
      <c r="G771" s="75">
        <v>131</v>
      </c>
      <c r="H771" s="75">
        <v>81</v>
      </c>
      <c r="I771" s="329">
        <v>44</v>
      </c>
      <c r="J771" s="75">
        <v>44</v>
      </c>
      <c r="K771" s="72">
        <f t="shared" si="1163"/>
        <v>0</v>
      </c>
      <c r="L771" s="72">
        <f t="shared" si="1164"/>
        <v>44</v>
      </c>
      <c r="M771" s="75">
        <v>44</v>
      </c>
      <c r="N771" s="75"/>
      <c r="O771" s="75"/>
      <c r="P771" s="75"/>
      <c r="Q771" s="73">
        <v>0</v>
      </c>
      <c r="R771" s="73">
        <v>0</v>
      </c>
      <c r="S771" s="73">
        <v>0</v>
      </c>
    </row>
    <row r="772" spans="1:19" ht="17.25" customHeight="1">
      <c r="A772" s="41"/>
      <c r="B772" s="28" t="s">
        <v>503</v>
      </c>
      <c r="C772" s="19" t="s">
        <v>533</v>
      </c>
      <c r="D772" s="75">
        <v>33</v>
      </c>
      <c r="E772" s="76">
        <v>24</v>
      </c>
      <c r="F772" s="75">
        <v>33</v>
      </c>
      <c r="G772" s="75">
        <v>33</v>
      </c>
      <c r="H772" s="75">
        <v>22</v>
      </c>
      <c r="I772" s="329">
        <v>11</v>
      </c>
      <c r="J772" s="75">
        <v>11</v>
      </c>
      <c r="K772" s="72">
        <f t="shared" si="1163"/>
        <v>0</v>
      </c>
      <c r="L772" s="72">
        <f t="shared" si="1164"/>
        <v>11</v>
      </c>
      <c r="M772" s="75">
        <v>11</v>
      </c>
      <c r="N772" s="75"/>
      <c r="O772" s="75"/>
      <c r="P772" s="75"/>
      <c r="Q772" s="73">
        <v>0</v>
      </c>
      <c r="R772" s="73">
        <v>0</v>
      </c>
      <c r="S772" s="73">
        <v>0</v>
      </c>
    </row>
    <row r="773" spans="1:19" ht="42" customHeight="1">
      <c r="A773" s="41"/>
      <c r="B773" s="56" t="s">
        <v>594</v>
      </c>
      <c r="C773" s="100"/>
      <c r="D773" s="85">
        <f t="shared" ref="D773:R773" si="1258">D774</f>
        <v>145</v>
      </c>
      <c r="E773" s="85">
        <f t="shared" si="1258"/>
        <v>0</v>
      </c>
      <c r="F773" s="85">
        <f t="shared" si="1258"/>
        <v>145</v>
      </c>
      <c r="G773" s="85">
        <f t="shared" si="1258"/>
        <v>145</v>
      </c>
      <c r="H773" s="85">
        <f t="shared" si="1258"/>
        <v>103</v>
      </c>
      <c r="I773" s="346">
        <f t="shared" si="1258"/>
        <v>2603</v>
      </c>
      <c r="J773" s="85">
        <f t="shared" si="1258"/>
        <v>2143</v>
      </c>
      <c r="K773" s="72">
        <f t="shared" si="1163"/>
        <v>0</v>
      </c>
      <c r="L773" s="72">
        <f t="shared" si="1164"/>
        <v>2143</v>
      </c>
      <c r="M773" s="85">
        <f t="shared" si="1258"/>
        <v>370</v>
      </c>
      <c r="N773" s="85">
        <f t="shared" si="1258"/>
        <v>1165</v>
      </c>
      <c r="O773" s="85">
        <f t="shared" si="1258"/>
        <v>543</v>
      </c>
      <c r="P773" s="85">
        <f t="shared" si="1258"/>
        <v>65</v>
      </c>
      <c r="Q773" s="85">
        <f t="shared" si="1258"/>
        <v>2087</v>
      </c>
      <c r="R773" s="85">
        <f t="shared" si="1258"/>
        <v>0</v>
      </c>
      <c r="S773" s="85"/>
    </row>
    <row r="774" spans="1:19" ht="30" customHeight="1">
      <c r="A774" s="41"/>
      <c r="B774" s="39" t="s">
        <v>462</v>
      </c>
      <c r="C774" s="19">
        <v>58</v>
      </c>
      <c r="D774" s="73">
        <f t="shared" ref="D774:S774" si="1259">D775+D776+D777</f>
        <v>145</v>
      </c>
      <c r="E774" s="73">
        <f t="shared" si="1259"/>
        <v>0</v>
      </c>
      <c r="F774" s="73">
        <f t="shared" si="1259"/>
        <v>145</v>
      </c>
      <c r="G774" s="73">
        <f t="shared" si="1259"/>
        <v>145</v>
      </c>
      <c r="H774" s="73">
        <f t="shared" si="1259"/>
        <v>103</v>
      </c>
      <c r="I774" s="202">
        <f t="shared" si="1259"/>
        <v>2603</v>
      </c>
      <c r="J774" s="73">
        <f t="shared" si="1259"/>
        <v>2143</v>
      </c>
      <c r="K774" s="72">
        <f t="shared" si="1163"/>
        <v>0</v>
      </c>
      <c r="L774" s="72">
        <f t="shared" si="1164"/>
        <v>2143</v>
      </c>
      <c r="M774" s="73">
        <f t="shared" ref="M774" si="1260">M775+M776+M777</f>
        <v>370</v>
      </c>
      <c r="N774" s="73">
        <f t="shared" ref="N774" si="1261">N775+N776+N777</f>
        <v>1165</v>
      </c>
      <c r="O774" s="73">
        <f t="shared" ref="O774:P774" si="1262">O775+O776+O777</f>
        <v>543</v>
      </c>
      <c r="P774" s="73">
        <f t="shared" si="1262"/>
        <v>65</v>
      </c>
      <c r="Q774" s="73">
        <f t="shared" si="1259"/>
        <v>2087</v>
      </c>
      <c r="R774" s="73">
        <f t="shared" si="1259"/>
        <v>0</v>
      </c>
      <c r="S774" s="73">
        <f t="shared" si="1259"/>
        <v>0</v>
      </c>
    </row>
    <row r="775" spans="1:19" ht="17.25" customHeight="1">
      <c r="A775" s="41"/>
      <c r="B775" s="28" t="s">
        <v>500</v>
      </c>
      <c r="C775" s="19" t="s">
        <v>501</v>
      </c>
      <c r="D775" s="75">
        <v>14</v>
      </c>
      <c r="E775" s="75"/>
      <c r="F775" s="75">
        <v>14</v>
      </c>
      <c r="G775" s="75">
        <v>14</v>
      </c>
      <c r="H775" s="75">
        <v>13</v>
      </c>
      <c r="I775" s="329">
        <v>245</v>
      </c>
      <c r="J775" s="75">
        <v>245</v>
      </c>
      <c r="K775" s="72">
        <f t="shared" si="1163"/>
        <v>0</v>
      </c>
      <c r="L775" s="72">
        <f t="shared" si="1164"/>
        <v>245</v>
      </c>
      <c r="M775" s="75">
        <v>20</v>
      </c>
      <c r="N775" s="75">
        <v>165</v>
      </c>
      <c r="O775" s="75">
        <v>45</v>
      </c>
      <c r="P775" s="75">
        <v>15</v>
      </c>
      <c r="Q775" s="73"/>
      <c r="R775" s="73">
        <v>0</v>
      </c>
      <c r="S775" s="73">
        <v>0</v>
      </c>
    </row>
    <row r="776" spans="1:19" ht="15.75" customHeight="1">
      <c r="A776" s="41"/>
      <c r="B776" s="28" t="s">
        <v>502</v>
      </c>
      <c r="C776" s="19" t="s">
        <v>464</v>
      </c>
      <c r="D776" s="75">
        <v>91</v>
      </c>
      <c r="E776" s="75"/>
      <c r="F776" s="75">
        <v>91</v>
      </c>
      <c r="G776" s="75">
        <v>91</v>
      </c>
      <c r="H776" s="75">
        <v>82</v>
      </c>
      <c r="I776" s="329">
        <v>1598</v>
      </c>
      <c r="J776" s="75">
        <v>1598</v>
      </c>
      <c r="K776" s="72">
        <f t="shared" si="1163"/>
        <v>0</v>
      </c>
      <c r="L776" s="72">
        <f t="shared" si="1164"/>
        <v>1598</v>
      </c>
      <c r="M776" s="75">
        <v>50</v>
      </c>
      <c r="N776" s="75">
        <v>1000</v>
      </c>
      <c r="O776" s="75">
        <v>498</v>
      </c>
      <c r="P776" s="75">
        <v>50</v>
      </c>
      <c r="Q776" s="73">
        <v>2087</v>
      </c>
      <c r="R776" s="73">
        <v>0</v>
      </c>
      <c r="S776" s="73">
        <v>0</v>
      </c>
    </row>
    <row r="777" spans="1:19" ht="15" customHeight="1">
      <c r="A777" s="41"/>
      <c r="B777" s="28" t="s">
        <v>503</v>
      </c>
      <c r="C777" s="19" t="s">
        <v>465</v>
      </c>
      <c r="D777" s="75">
        <f>3+37</f>
        <v>40</v>
      </c>
      <c r="E777" s="75"/>
      <c r="F777" s="75">
        <v>40</v>
      </c>
      <c r="G777" s="75">
        <v>40</v>
      </c>
      <c r="H777" s="75">
        <v>8</v>
      </c>
      <c r="I777" s="329">
        <v>760</v>
      </c>
      <c r="J777" s="75">
        <v>300</v>
      </c>
      <c r="K777" s="72">
        <f t="shared" si="1163"/>
        <v>0</v>
      </c>
      <c r="L777" s="72">
        <f t="shared" si="1164"/>
        <v>300</v>
      </c>
      <c r="M777" s="75">
        <v>300</v>
      </c>
      <c r="N777" s="75"/>
      <c r="O777" s="75"/>
      <c r="P777" s="75"/>
      <c r="Q777" s="73"/>
      <c r="R777" s="73">
        <v>0</v>
      </c>
      <c r="S777" s="73">
        <v>0</v>
      </c>
    </row>
    <row r="778" spans="1:19" ht="43.5" customHeight="1">
      <c r="A778" s="41"/>
      <c r="B778" s="56" t="s">
        <v>595</v>
      </c>
      <c r="C778" s="100"/>
      <c r="D778" s="86">
        <f t="shared" ref="D778:S778" si="1263">D779</f>
        <v>177</v>
      </c>
      <c r="E778" s="86">
        <f t="shared" si="1263"/>
        <v>0</v>
      </c>
      <c r="F778" s="86">
        <f t="shared" si="1263"/>
        <v>177</v>
      </c>
      <c r="G778" s="86">
        <f t="shared" si="1263"/>
        <v>177</v>
      </c>
      <c r="H778" s="86">
        <f t="shared" si="1263"/>
        <v>156</v>
      </c>
      <c r="I778" s="345">
        <f t="shared" si="1263"/>
        <v>2540</v>
      </c>
      <c r="J778" s="86">
        <f t="shared" si="1263"/>
        <v>2187</v>
      </c>
      <c r="K778" s="72">
        <f t="shared" si="1163"/>
        <v>0</v>
      </c>
      <c r="L778" s="72">
        <f t="shared" si="1164"/>
        <v>2187</v>
      </c>
      <c r="M778" s="86">
        <f t="shared" si="1263"/>
        <v>451</v>
      </c>
      <c r="N778" s="86">
        <f t="shared" si="1263"/>
        <v>1250</v>
      </c>
      <c r="O778" s="86">
        <f t="shared" si="1263"/>
        <v>300</v>
      </c>
      <c r="P778" s="86">
        <f t="shared" si="1263"/>
        <v>186</v>
      </c>
      <c r="Q778" s="86">
        <f t="shared" si="1263"/>
        <v>2649</v>
      </c>
      <c r="R778" s="86">
        <f t="shared" si="1263"/>
        <v>211</v>
      </c>
      <c r="S778" s="86">
        <f t="shared" si="1263"/>
        <v>0</v>
      </c>
    </row>
    <row r="779" spans="1:19" ht="27" customHeight="1">
      <c r="A779" s="41"/>
      <c r="B779" s="39" t="s">
        <v>462</v>
      </c>
      <c r="C779" s="19">
        <v>58</v>
      </c>
      <c r="D779" s="73">
        <f t="shared" ref="D779:S779" si="1264">D780+D782+D781</f>
        <v>177</v>
      </c>
      <c r="E779" s="73">
        <f t="shared" si="1264"/>
        <v>0</v>
      </c>
      <c r="F779" s="73">
        <f t="shared" si="1264"/>
        <v>177</v>
      </c>
      <c r="G779" s="73">
        <f t="shared" si="1264"/>
        <v>177</v>
      </c>
      <c r="H779" s="73">
        <f t="shared" si="1264"/>
        <v>156</v>
      </c>
      <c r="I779" s="202">
        <f t="shared" si="1264"/>
        <v>2540</v>
      </c>
      <c r="J779" s="73">
        <f t="shared" si="1264"/>
        <v>2187</v>
      </c>
      <c r="K779" s="72">
        <f t="shared" si="1163"/>
        <v>0</v>
      </c>
      <c r="L779" s="72">
        <f t="shared" si="1164"/>
        <v>2187</v>
      </c>
      <c r="M779" s="73">
        <f t="shared" ref="M779" si="1265">M780+M782+M781</f>
        <v>451</v>
      </c>
      <c r="N779" s="73">
        <f t="shared" ref="N779" si="1266">N780+N782+N781</f>
        <v>1250</v>
      </c>
      <c r="O779" s="73">
        <f t="shared" ref="O779:P779" si="1267">O780+O782+O781</f>
        <v>300</v>
      </c>
      <c r="P779" s="73">
        <f t="shared" si="1267"/>
        <v>186</v>
      </c>
      <c r="Q779" s="73">
        <f t="shared" si="1264"/>
        <v>2649</v>
      </c>
      <c r="R779" s="73">
        <f t="shared" si="1264"/>
        <v>211</v>
      </c>
      <c r="S779" s="73">
        <f t="shared" si="1264"/>
        <v>0</v>
      </c>
    </row>
    <row r="780" spans="1:19" ht="18" customHeight="1">
      <c r="A780" s="41"/>
      <c r="B780" s="28" t="s">
        <v>500</v>
      </c>
      <c r="C780" s="19" t="s">
        <v>501</v>
      </c>
      <c r="D780" s="75">
        <v>3</v>
      </c>
      <c r="E780" s="75"/>
      <c r="F780" s="75">
        <v>3</v>
      </c>
      <c r="G780" s="75">
        <v>3</v>
      </c>
      <c r="H780" s="75">
        <v>2</v>
      </c>
      <c r="I780" s="329">
        <v>251</v>
      </c>
      <c r="J780" s="75">
        <v>251</v>
      </c>
      <c r="K780" s="72">
        <f t="shared" ref="K780:K843" si="1268">J780-L780</f>
        <v>0</v>
      </c>
      <c r="L780" s="72">
        <f t="shared" ref="L780:L843" si="1269">M780+N780+O780+P780</f>
        <v>251</v>
      </c>
      <c r="M780" s="75">
        <v>23</v>
      </c>
      <c r="N780" s="75">
        <v>150</v>
      </c>
      <c r="O780" s="75">
        <v>50</v>
      </c>
      <c r="P780" s="75">
        <v>28</v>
      </c>
      <c r="Q780" s="73"/>
      <c r="R780" s="73"/>
      <c r="S780" s="73"/>
    </row>
    <row r="781" spans="1:19" ht="16.5" customHeight="1">
      <c r="A781" s="41"/>
      <c r="B781" s="28" t="s">
        <v>502</v>
      </c>
      <c r="C781" s="19" t="s">
        <v>464</v>
      </c>
      <c r="D781" s="75">
        <v>19</v>
      </c>
      <c r="E781" s="75"/>
      <c r="F781" s="75">
        <v>19</v>
      </c>
      <c r="G781" s="75">
        <v>19</v>
      </c>
      <c r="H781" s="75">
        <v>8</v>
      </c>
      <c r="I781" s="329">
        <v>1636</v>
      </c>
      <c r="J781" s="75">
        <v>1636</v>
      </c>
      <c r="K781" s="72">
        <f t="shared" si="1268"/>
        <v>0</v>
      </c>
      <c r="L781" s="72">
        <f t="shared" si="1269"/>
        <v>1636</v>
      </c>
      <c r="M781" s="75">
        <v>128</v>
      </c>
      <c r="N781" s="75">
        <v>1100</v>
      </c>
      <c r="O781" s="75">
        <v>250</v>
      </c>
      <c r="P781" s="75">
        <v>158</v>
      </c>
      <c r="Q781" s="73">
        <v>2649</v>
      </c>
      <c r="R781" s="73">
        <v>211</v>
      </c>
      <c r="S781" s="73"/>
    </row>
    <row r="782" spans="1:19" ht="13.5" customHeight="1">
      <c r="A782" s="41"/>
      <c r="B782" s="28" t="s">
        <v>503</v>
      </c>
      <c r="C782" s="19" t="s">
        <v>465</v>
      </c>
      <c r="D782" s="75">
        <f>1+154</f>
        <v>155</v>
      </c>
      <c r="E782" s="75"/>
      <c r="F782" s="75">
        <v>155</v>
      </c>
      <c r="G782" s="75">
        <v>155</v>
      </c>
      <c r="H782" s="75">
        <v>146</v>
      </c>
      <c r="I782" s="329">
        <v>653</v>
      </c>
      <c r="J782" s="75">
        <v>300</v>
      </c>
      <c r="K782" s="72">
        <f t="shared" si="1268"/>
        <v>0</v>
      </c>
      <c r="L782" s="72">
        <f t="shared" si="1269"/>
        <v>300</v>
      </c>
      <c r="M782" s="75">
        <v>300</v>
      </c>
      <c r="N782" s="75"/>
      <c r="O782" s="75"/>
      <c r="P782" s="75"/>
      <c r="Q782" s="73"/>
      <c r="R782" s="73"/>
      <c r="S782" s="73"/>
    </row>
    <row r="783" spans="1:19" ht="46.5" customHeight="1">
      <c r="A783" s="41"/>
      <c r="B783" s="56" t="s">
        <v>596</v>
      </c>
      <c r="C783" s="100"/>
      <c r="D783" s="86">
        <f t="shared" ref="D783:S783" si="1270">D784</f>
        <v>192</v>
      </c>
      <c r="E783" s="86">
        <f t="shared" si="1270"/>
        <v>0</v>
      </c>
      <c r="F783" s="86">
        <f t="shared" si="1270"/>
        <v>192</v>
      </c>
      <c r="G783" s="86">
        <f t="shared" si="1270"/>
        <v>192</v>
      </c>
      <c r="H783" s="86">
        <f t="shared" si="1270"/>
        <v>103</v>
      </c>
      <c r="I783" s="345">
        <f t="shared" si="1270"/>
        <v>2213</v>
      </c>
      <c r="J783" s="86">
        <f t="shared" si="1270"/>
        <v>1959</v>
      </c>
      <c r="K783" s="72">
        <f t="shared" si="1268"/>
        <v>0</v>
      </c>
      <c r="L783" s="72">
        <f t="shared" si="1269"/>
        <v>1959</v>
      </c>
      <c r="M783" s="86">
        <f t="shared" si="1270"/>
        <v>266</v>
      </c>
      <c r="N783" s="86">
        <f t="shared" si="1270"/>
        <v>860</v>
      </c>
      <c r="O783" s="86">
        <f t="shared" si="1270"/>
        <v>800</v>
      </c>
      <c r="P783" s="86">
        <f t="shared" si="1270"/>
        <v>33</v>
      </c>
      <c r="Q783" s="86">
        <f t="shared" si="1270"/>
        <v>2724</v>
      </c>
      <c r="R783" s="86">
        <f t="shared" si="1270"/>
        <v>384</v>
      </c>
      <c r="S783" s="86">
        <f t="shared" si="1270"/>
        <v>0</v>
      </c>
    </row>
    <row r="784" spans="1:19" ht="27.75" customHeight="1">
      <c r="A784" s="41"/>
      <c r="B784" s="39" t="s">
        <v>462</v>
      </c>
      <c r="C784" s="19">
        <v>58</v>
      </c>
      <c r="D784" s="73">
        <f t="shared" ref="D784:S784" si="1271">D785+D786+D787</f>
        <v>192</v>
      </c>
      <c r="E784" s="73">
        <f t="shared" si="1271"/>
        <v>0</v>
      </c>
      <c r="F784" s="73">
        <f t="shared" si="1271"/>
        <v>192</v>
      </c>
      <c r="G784" s="73">
        <f t="shared" si="1271"/>
        <v>192</v>
      </c>
      <c r="H784" s="73">
        <f t="shared" si="1271"/>
        <v>103</v>
      </c>
      <c r="I784" s="202">
        <f t="shared" si="1271"/>
        <v>2213</v>
      </c>
      <c r="J784" s="73">
        <f t="shared" si="1271"/>
        <v>1959</v>
      </c>
      <c r="K784" s="72">
        <f t="shared" si="1268"/>
        <v>0</v>
      </c>
      <c r="L784" s="72">
        <f t="shared" si="1269"/>
        <v>1959</v>
      </c>
      <c r="M784" s="73">
        <f t="shared" ref="M784" si="1272">M785+M786+M787</f>
        <v>266</v>
      </c>
      <c r="N784" s="73">
        <f t="shared" ref="N784" si="1273">N785+N786+N787</f>
        <v>860</v>
      </c>
      <c r="O784" s="73">
        <f t="shared" ref="O784:P784" si="1274">O785+O786+O787</f>
        <v>800</v>
      </c>
      <c r="P784" s="73">
        <f t="shared" si="1274"/>
        <v>33</v>
      </c>
      <c r="Q784" s="73">
        <f t="shared" si="1271"/>
        <v>2724</v>
      </c>
      <c r="R784" s="73">
        <f t="shared" si="1271"/>
        <v>384</v>
      </c>
      <c r="S784" s="73">
        <f t="shared" si="1271"/>
        <v>0</v>
      </c>
    </row>
    <row r="785" spans="1:19" ht="18.75" customHeight="1">
      <c r="A785" s="41"/>
      <c r="B785" s="28" t="s">
        <v>500</v>
      </c>
      <c r="C785" s="19" t="s">
        <v>501</v>
      </c>
      <c r="D785" s="75">
        <v>4</v>
      </c>
      <c r="E785" s="75"/>
      <c r="F785" s="75">
        <v>4</v>
      </c>
      <c r="G785" s="75">
        <v>4</v>
      </c>
      <c r="H785" s="75">
        <v>1</v>
      </c>
      <c r="I785" s="329">
        <v>227</v>
      </c>
      <c r="J785" s="75">
        <v>227</v>
      </c>
      <c r="K785" s="72">
        <f t="shared" si="1268"/>
        <v>0</v>
      </c>
      <c r="L785" s="72">
        <f t="shared" si="1269"/>
        <v>227</v>
      </c>
      <c r="M785" s="75">
        <v>2</v>
      </c>
      <c r="N785" s="75">
        <v>115</v>
      </c>
      <c r="O785" s="75">
        <v>100</v>
      </c>
      <c r="P785" s="75">
        <v>10</v>
      </c>
      <c r="Q785" s="73"/>
      <c r="R785" s="73"/>
      <c r="S785" s="73"/>
    </row>
    <row r="786" spans="1:19" ht="16.5" customHeight="1">
      <c r="A786" s="41"/>
      <c r="B786" s="28" t="s">
        <v>502</v>
      </c>
      <c r="C786" s="19" t="s">
        <v>464</v>
      </c>
      <c r="D786" s="75">
        <v>23</v>
      </c>
      <c r="E786" s="75"/>
      <c r="F786" s="75">
        <v>23</v>
      </c>
      <c r="G786" s="75">
        <v>23</v>
      </c>
      <c r="H786" s="75">
        <v>5</v>
      </c>
      <c r="I786" s="329">
        <v>1482</v>
      </c>
      <c r="J786" s="75">
        <v>1482</v>
      </c>
      <c r="K786" s="72">
        <f t="shared" si="1268"/>
        <v>0</v>
      </c>
      <c r="L786" s="72">
        <f t="shared" si="1269"/>
        <v>1482</v>
      </c>
      <c r="M786" s="75">
        <v>14</v>
      </c>
      <c r="N786" s="75">
        <v>745</v>
      </c>
      <c r="O786" s="75">
        <v>700</v>
      </c>
      <c r="P786" s="75">
        <v>23</v>
      </c>
      <c r="Q786" s="73">
        <v>2724</v>
      </c>
      <c r="R786" s="73">
        <v>384</v>
      </c>
      <c r="S786" s="73"/>
    </row>
    <row r="787" spans="1:19" ht="15.75" customHeight="1">
      <c r="A787" s="41"/>
      <c r="B787" s="28" t="s">
        <v>503</v>
      </c>
      <c r="C787" s="19" t="s">
        <v>465</v>
      </c>
      <c r="D787" s="75">
        <f>1+164</f>
        <v>165</v>
      </c>
      <c r="E787" s="75"/>
      <c r="F787" s="75">
        <v>165</v>
      </c>
      <c r="G787" s="75">
        <v>165</v>
      </c>
      <c r="H787" s="75">
        <v>97</v>
      </c>
      <c r="I787" s="329">
        <v>504</v>
      </c>
      <c r="J787" s="75">
        <v>250</v>
      </c>
      <c r="K787" s="72">
        <f t="shared" si="1268"/>
        <v>0</v>
      </c>
      <c r="L787" s="72">
        <f t="shared" si="1269"/>
        <v>250</v>
      </c>
      <c r="M787" s="75">
        <v>250</v>
      </c>
      <c r="N787" s="75"/>
      <c r="O787" s="75"/>
      <c r="P787" s="75"/>
      <c r="Q787" s="73"/>
      <c r="R787" s="73"/>
      <c r="S787" s="73"/>
    </row>
    <row r="788" spans="1:19" ht="43.5" customHeight="1">
      <c r="A788" s="41"/>
      <c r="B788" s="56" t="s">
        <v>597</v>
      </c>
      <c r="C788" s="100"/>
      <c r="D788" s="86">
        <f t="shared" ref="D788:S788" si="1275">D789</f>
        <v>186</v>
      </c>
      <c r="E788" s="86">
        <f t="shared" si="1275"/>
        <v>0</v>
      </c>
      <c r="F788" s="86">
        <f t="shared" si="1275"/>
        <v>186</v>
      </c>
      <c r="G788" s="86">
        <f t="shared" si="1275"/>
        <v>186</v>
      </c>
      <c r="H788" s="86">
        <f t="shared" si="1275"/>
        <v>9</v>
      </c>
      <c r="I788" s="345">
        <f t="shared" si="1275"/>
        <v>2303</v>
      </c>
      <c r="J788" s="86">
        <f t="shared" si="1275"/>
        <v>2035</v>
      </c>
      <c r="K788" s="72">
        <f t="shared" si="1268"/>
        <v>0</v>
      </c>
      <c r="L788" s="72">
        <f t="shared" si="1269"/>
        <v>2035</v>
      </c>
      <c r="M788" s="86">
        <f t="shared" si="1275"/>
        <v>291</v>
      </c>
      <c r="N788" s="86">
        <f t="shared" si="1275"/>
        <v>892</v>
      </c>
      <c r="O788" s="86">
        <f t="shared" si="1275"/>
        <v>823</v>
      </c>
      <c r="P788" s="86">
        <f t="shared" si="1275"/>
        <v>29</v>
      </c>
      <c r="Q788" s="86">
        <f t="shared" si="1275"/>
        <v>3046</v>
      </c>
      <c r="R788" s="86">
        <f t="shared" si="1275"/>
        <v>235</v>
      </c>
      <c r="S788" s="86">
        <f t="shared" si="1275"/>
        <v>0</v>
      </c>
    </row>
    <row r="789" spans="1:19" ht="30.75" customHeight="1">
      <c r="A789" s="41"/>
      <c r="B789" s="39" t="s">
        <v>462</v>
      </c>
      <c r="C789" s="19">
        <v>58</v>
      </c>
      <c r="D789" s="73">
        <f t="shared" ref="D789:S789" si="1276">D790+D791+D792</f>
        <v>186</v>
      </c>
      <c r="E789" s="73">
        <f t="shared" si="1276"/>
        <v>0</v>
      </c>
      <c r="F789" s="73">
        <f t="shared" si="1276"/>
        <v>186</v>
      </c>
      <c r="G789" s="73">
        <f t="shared" si="1276"/>
        <v>186</v>
      </c>
      <c r="H789" s="73">
        <f t="shared" si="1276"/>
        <v>9</v>
      </c>
      <c r="I789" s="202">
        <f t="shared" si="1276"/>
        <v>2303</v>
      </c>
      <c r="J789" s="73">
        <f t="shared" si="1276"/>
        <v>2035</v>
      </c>
      <c r="K789" s="72">
        <f t="shared" si="1268"/>
        <v>0</v>
      </c>
      <c r="L789" s="72">
        <f t="shared" si="1269"/>
        <v>2035</v>
      </c>
      <c r="M789" s="73">
        <f t="shared" ref="M789" si="1277">M790+M791+M792</f>
        <v>291</v>
      </c>
      <c r="N789" s="73">
        <f t="shared" ref="N789" si="1278">N790+N791+N792</f>
        <v>892</v>
      </c>
      <c r="O789" s="73">
        <f t="shared" ref="O789:P789" si="1279">O790+O791+O792</f>
        <v>823</v>
      </c>
      <c r="P789" s="73">
        <f t="shared" si="1279"/>
        <v>29</v>
      </c>
      <c r="Q789" s="73">
        <f t="shared" si="1276"/>
        <v>3046</v>
      </c>
      <c r="R789" s="73">
        <f t="shared" si="1276"/>
        <v>235</v>
      </c>
      <c r="S789" s="73">
        <f t="shared" si="1276"/>
        <v>0</v>
      </c>
    </row>
    <row r="790" spans="1:19" ht="15" customHeight="1">
      <c r="A790" s="41"/>
      <c r="B790" s="28" t="s">
        <v>500</v>
      </c>
      <c r="C790" s="19" t="s">
        <v>501</v>
      </c>
      <c r="D790" s="75">
        <v>3</v>
      </c>
      <c r="E790" s="75"/>
      <c r="F790" s="75">
        <v>3</v>
      </c>
      <c r="G790" s="75">
        <v>3</v>
      </c>
      <c r="H790" s="75">
        <v>1</v>
      </c>
      <c r="I790" s="329">
        <v>237</v>
      </c>
      <c r="J790" s="75">
        <v>237</v>
      </c>
      <c r="K790" s="72">
        <f t="shared" si="1268"/>
        <v>0</v>
      </c>
      <c r="L790" s="72">
        <f t="shared" si="1269"/>
        <v>237</v>
      </c>
      <c r="M790" s="75">
        <v>6</v>
      </c>
      <c r="N790" s="75">
        <v>122</v>
      </c>
      <c r="O790" s="75">
        <v>100</v>
      </c>
      <c r="P790" s="75">
        <v>9</v>
      </c>
      <c r="Q790" s="73"/>
      <c r="R790" s="73"/>
      <c r="S790" s="73"/>
    </row>
    <row r="791" spans="1:19" ht="17.25" customHeight="1">
      <c r="A791" s="41"/>
      <c r="B791" s="28" t="s">
        <v>502</v>
      </c>
      <c r="C791" s="19" t="s">
        <v>464</v>
      </c>
      <c r="D791" s="75">
        <v>19</v>
      </c>
      <c r="E791" s="75"/>
      <c r="F791" s="75">
        <v>19</v>
      </c>
      <c r="G791" s="75">
        <v>19</v>
      </c>
      <c r="H791" s="75">
        <v>7</v>
      </c>
      <c r="I791" s="329">
        <v>1548</v>
      </c>
      <c r="J791" s="75">
        <v>1548</v>
      </c>
      <c r="K791" s="72">
        <f t="shared" si="1268"/>
        <v>0</v>
      </c>
      <c r="L791" s="72">
        <f t="shared" si="1269"/>
        <v>1548</v>
      </c>
      <c r="M791" s="75">
        <v>35</v>
      </c>
      <c r="N791" s="75">
        <v>770</v>
      </c>
      <c r="O791" s="75">
        <v>723</v>
      </c>
      <c r="P791" s="75">
        <v>20</v>
      </c>
      <c r="Q791" s="73">
        <v>3046</v>
      </c>
      <c r="R791" s="73">
        <v>235</v>
      </c>
      <c r="S791" s="73">
        <v>0</v>
      </c>
    </row>
    <row r="792" spans="1:19" ht="18" customHeight="1">
      <c r="A792" s="41"/>
      <c r="B792" s="28" t="s">
        <v>503</v>
      </c>
      <c r="C792" s="19" t="s">
        <v>465</v>
      </c>
      <c r="D792" s="75">
        <v>164</v>
      </c>
      <c r="E792" s="75"/>
      <c r="F792" s="75">
        <v>164</v>
      </c>
      <c r="G792" s="75">
        <v>164</v>
      </c>
      <c r="H792" s="75">
        <v>1</v>
      </c>
      <c r="I792" s="329">
        <v>518</v>
      </c>
      <c r="J792" s="75">
        <v>250</v>
      </c>
      <c r="K792" s="72">
        <f t="shared" si="1268"/>
        <v>0</v>
      </c>
      <c r="L792" s="72">
        <f t="shared" si="1269"/>
        <v>250</v>
      </c>
      <c r="M792" s="75">
        <v>250</v>
      </c>
      <c r="N792" s="75"/>
      <c r="O792" s="75"/>
      <c r="P792" s="75"/>
      <c r="Q792" s="73"/>
      <c r="R792" s="73"/>
      <c r="S792" s="73"/>
    </row>
    <row r="793" spans="1:19" ht="30" customHeight="1">
      <c r="A793" s="41"/>
      <c r="B793" s="56" t="s">
        <v>812</v>
      </c>
      <c r="C793" s="101"/>
      <c r="D793" s="86">
        <f>D794</f>
        <v>146</v>
      </c>
      <c r="E793" s="86">
        <f t="shared" ref="E793:S794" si="1280">E794</f>
        <v>0</v>
      </c>
      <c r="F793" s="86">
        <f t="shared" si="1280"/>
        <v>185</v>
      </c>
      <c r="G793" s="86">
        <f t="shared" si="1280"/>
        <v>185</v>
      </c>
      <c r="H793" s="86">
        <f t="shared" si="1280"/>
        <v>40</v>
      </c>
      <c r="I793" s="345">
        <f t="shared" si="1280"/>
        <v>401</v>
      </c>
      <c r="J793" s="86">
        <f t="shared" si="1280"/>
        <v>401</v>
      </c>
      <c r="K793" s="72">
        <f t="shared" si="1268"/>
        <v>0</v>
      </c>
      <c r="L793" s="72">
        <f t="shared" si="1269"/>
        <v>401</v>
      </c>
      <c r="M793" s="86">
        <f t="shared" si="1280"/>
        <v>203</v>
      </c>
      <c r="N793" s="86">
        <f t="shared" si="1280"/>
        <v>70</v>
      </c>
      <c r="O793" s="86">
        <f t="shared" si="1280"/>
        <v>70</v>
      </c>
      <c r="P793" s="86">
        <f t="shared" si="1280"/>
        <v>58</v>
      </c>
      <c r="Q793" s="86">
        <f t="shared" si="1280"/>
        <v>325</v>
      </c>
      <c r="R793" s="86">
        <f t="shared" si="1280"/>
        <v>325</v>
      </c>
      <c r="S793" s="86">
        <f t="shared" si="1280"/>
        <v>55</v>
      </c>
    </row>
    <row r="794" spans="1:19" ht="21" customHeight="1">
      <c r="A794" s="41"/>
      <c r="B794" s="40" t="s">
        <v>172</v>
      </c>
      <c r="C794" s="19"/>
      <c r="D794" s="75">
        <f>D795</f>
        <v>146</v>
      </c>
      <c r="E794" s="75">
        <f t="shared" si="1280"/>
        <v>0</v>
      </c>
      <c r="F794" s="75">
        <f t="shared" si="1280"/>
        <v>185</v>
      </c>
      <c r="G794" s="75">
        <f t="shared" si="1280"/>
        <v>185</v>
      </c>
      <c r="H794" s="75">
        <f t="shared" si="1280"/>
        <v>40</v>
      </c>
      <c r="I794" s="329">
        <f t="shared" si="1280"/>
        <v>401</v>
      </c>
      <c r="J794" s="75">
        <f t="shared" si="1280"/>
        <v>401</v>
      </c>
      <c r="K794" s="72">
        <f t="shared" si="1268"/>
        <v>0</v>
      </c>
      <c r="L794" s="72">
        <f t="shared" si="1269"/>
        <v>401</v>
      </c>
      <c r="M794" s="75">
        <f t="shared" si="1280"/>
        <v>203</v>
      </c>
      <c r="N794" s="75">
        <f t="shared" si="1280"/>
        <v>70</v>
      </c>
      <c r="O794" s="75">
        <f t="shared" si="1280"/>
        <v>70</v>
      </c>
      <c r="P794" s="75">
        <f t="shared" si="1280"/>
        <v>58</v>
      </c>
      <c r="Q794" s="75">
        <f t="shared" si="1280"/>
        <v>325</v>
      </c>
      <c r="R794" s="75">
        <f t="shared" si="1280"/>
        <v>325</v>
      </c>
      <c r="S794" s="75">
        <f t="shared" si="1280"/>
        <v>55</v>
      </c>
    </row>
    <row r="795" spans="1:19" ht="27.75" customHeight="1">
      <c r="A795" s="41"/>
      <c r="B795" s="39" t="s">
        <v>462</v>
      </c>
      <c r="C795" s="19">
        <v>58</v>
      </c>
      <c r="D795" s="75">
        <f>D796+D797+D798</f>
        <v>146</v>
      </c>
      <c r="E795" s="75">
        <f t="shared" ref="E795:S795" si="1281">E796+E797+E798</f>
        <v>0</v>
      </c>
      <c r="F795" s="75">
        <f t="shared" si="1281"/>
        <v>185</v>
      </c>
      <c r="G795" s="75">
        <f t="shared" si="1281"/>
        <v>185</v>
      </c>
      <c r="H795" s="75">
        <f t="shared" si="1281"/>
        <v>40</v>
      </c>
      <c r="I795" s="329">
        <f t="shared" si="1281"/>
        <v>401</v>
      </c>
      <c r="J795" s="75">
        <f t="shared" si="1281"/>
        <v>401</v>
      </c>
      <c r="K795" s="72">
        <f t="shared" si="1268"/>
        <v>0</v>
      </c>
      <c r="L795" s="72">
        <f t="shared" si="1269"/>
        <v>401</v>
      </c>
      <c r="M795" s="75">
        <f t="shared" ref="M795" si="1282">M796+M797+M798</f>
        <v>203</v>
      </c>
      <c r="N795" s="75">
        <f t="shared" ref="N795" si="1283">N796+N797+N798</f>
        <v>70</v>
      </c>
      <c r="O795" s="75">
        <f t="shared" ref="O795:P795" si="1284">O796+O797+O798</f>
        <v>70</v>
      </c>
      <c r="P795" s="75">
        <f t="shared" si="1284"/>
        <v>58</v>
      </c>
      <c r="Q795" s="75">
        <f t="shared" si="1281"/>
        <v>325</v>
      </c>
      <c r="R795" s="75">
        <f t="shared" si="1281"/>
        <v>325</v>
      </c>
      <c r="S795" s="75">
        <f t="shared" si="1281"/>
        <v>55</v>
      </c>
    </row>
    <row r="796" spans="1:19" ht="17.25" customHeight="1">
      <c r="A796" s="41"/>
      <c r="B796" s="28" t="s">
        <v>500</v>
      </c>
      <c r="C796" s="19" t="s">
        <v>512</v>
      </c>
      <c r="D796" s="75">
        <v>20</v>
      </c>
      <c r="E796" s="75"/>
      <c r="F796" s="75">
        <v>25</v>
      </c>
      <c r="G796" s="75">
        <v>25</v>
      </c>
      <c r="H796" s="75">
        <v>6</v>
      </c>
      <c r="I796" s="329">
        <v>55</v>
      </c>
      <c r="J796" s="75">
        <v>55</v>
      </c>
      <c r="K796" s="72">
        <f t="shared" si="1268"/>
        <v>0</v>
      </c>
      <c r="L796" s="72">
        <f t="shared" si="1269"/>
        <v>55</v>
      </c>
      <c r="M796" s="75">
        <v>27</v>
      </c>
      <c r="N796" s="75">
        <v>10</v>
      </c>
      <c r="O796" s="75">
        <v>10</v>
      </c>
      <c r="P796" s="75">
        <v>8</v>
      </c>
      <c r="Q796" s="73"/>
      <c r="R796" s="73"/>
      <c r="S796" s="73"/>
    </row>
    <row r="797" spans="1:19" ht="14.25" customHeight="1">
      <c r="A797" s="41"/>
      <c r="B797" s="28" t="s">
        <v>502</v>
      </c>
      <c r="C797" s="19" t="s">
        <v>513</v>
      </c>
      <c r="D797" s="75">
        <v>123</v>
      </c>
      <c r="E797" s="75"/>
      <c r="F797" s="75">
        <v>156</v>
      </c>
      <c r="G797" s="75">
        <v>156</v>
      </c>
      <c r="H797" s="75">
        <v>33</v>
      </c>
      <c r="I797" s="329">
        <v>338</v>
      </c>
      <c r="J797" s="75">
        <v>338</v>
      </c>
      <c r="K797" s="72">
        <f t="shared" si="1268"/>
        <v>0</v>
      </c>
      <c r="L797" s="72">
        <f t="shared" si="1269"/>
        <v>338</v>
      </c>
      <c r="M797" s="75">
        <v>168</v>
      </c>
      <c r="N797" s="75">
        <v>60</v>
      </c>
      <c r="O797" s="75">
        <v>60</v>
      </c>
      <c r="P797" s="75">
        <v>50</v>
      </c>
      <c r="Q797" s="73">
        <v>325</v>
      </c>
      <c r="R797" s="73">
        <v>325</v>
      </c>
      <c r="S797" s="73">
        <v>55</v>
      </c>
    </row>
    <row r="798" spans="1:19" ht="15" customHeight="1">
      <c r="A798" s="41"/>
      <c r="B798" s="28" t="s">
        <v>503</v>
      </c>
      <c r="C798" s="19" t="s">
        <v>514</v>
      </c>
      <c r="D798" s="75">
        <v>3</v>
      </c>
      <c r="E798" s="75"/>
      <c r="F798" s="75">
        <v>4</v>
      </c>
      <c r="G798" s="75">
        <v>4</v>
      </c>
      <c r="H798" s="75">
        <v>1</v>
      </c>
      <c r="I798" s="329">
        <v>8</v>
      </c>
      <c r="J798" s="75">
        <v>8</v>
      </c>
      <c r="K798" s="72">
        <f t="shared" si="1268"/>
        <v>0</v>
      </c>
      <c r="L798" s="72">
        <f t="shared" si="1269"/>
        <v>8</v>
      </c>
      <c r="M798" s="75">
        <v>8</v>
      </c>
      <c r="N798" s="75"/>
      <c r="O798" s="75"/>
      <c r="P798" s="75"/>
      <c r="Q798" s="73"/>
      <c r="R798" s="73"/>
      <c r="S798" s="73"/>
    </row>
    <row r="799" spans="1:19" ht="30" customHeight="1">
      <c r="A799" s="183" t="s">
        <v>353</v>
      </c>
      <c r="B799" s="184" t="s">
        <v>860</v>
      </c>
      <c r="C799" s="185" t="s">
        <v>354</v>
      </c>
      <c r="D799" s="81">
        <f t="shared" ref="D799:S803" si="1285">D806+D813+D820+D841+D860+D848+D827+D834+D853</f>
        <v>46140</v>
      </c>
      <c r="E799" s="81">
        <f t="shared" si="1285"/>
        <v>36524</v>
      </c>
      <c r="F799" s="81">
        <f t="shared" si="1285"/>
        <v>46775</v>
      </c>
      <c r="G799" s="81">
        <f t="shared" si="1285"/>
        <v>46775</v>
      </c>
      <c r="H799" s="81">
        <f t="shared" si="1285"/>
        <v>42139</v>
      </c>
      <c r="I799" s="339">
        <f t="shared" si="1285"/>
        <v>51768.02</v>
      </c>
      <c r="J799" s="81">
        <f t="shared" si="1285"/>
        <v>49695</v>
      </c>
      <c r="K799" s="72">
        <f t="shared" si="1268"/>
        <v>0</v>
      </c>
      <c r="L799" s="72">
        <f t="shared" si="1269"/>
        <v>49695</v>
      </c>
      <c r="M799" s="81">
        <f t="shared" ref="M799" si="1286">M806+M813+M820+M841+M860+M848+M827+M834+M853</f>
        <v>18934</v>
      </c>
      <c r="N799" s="81">
        <f t="shared" ref="N799" si="1287">N806+N813+N820+N841+N860+N848+N827+N834+N853</f>
        <v>10930</v>
      </c>
      <c r="O799" s="81">
        <f t="shared" ref="O799:P799" si="1288">O806+O813+O820+O841+O860+O848+O827+O834+O853</f>
        <v>10750</v>
      </c>
      <c r="P799" s="81">
        <f t="shared" si="1288"/>
        <v>9081</v>
      </c>
      <c r="Q799" s="81">
        <f t="shared" si="1285"/>
        <v>41375</v>
      </c>
      <c r="R799" s="81">
        <f t="shared" si="1285"/>
        <v>41375</v>
      </c>
      <c r="S799" s="81">
        <f t="shared" si="1285"/>
        <v>41375</v>
      </c>
    </row>
    <row r="800" spans="1:19" ht="14.25">
      <c r="A800" s="183"/>
      <c r="B800" s="186" t="s">
        <v>160</v>
      </c>
      <c r="C800" s="185"/>
      <c r="D800" s="81">
        <f t="shared" si="1285"/>
        <v>45940</v>
      </c>
      <c r="E800" s="81">
        <f t="shared" si="1285"/>
        <v>36198</v>
      </c>
      <c r="F800" s="81">
        <f t="shared" si="1285"/>
        <v>45940</v>
      </c>
      <c r="G800" s="81">
        <f t="shared" si="1285"/>
        <v>45606.5</v>
      </c>
      <c r="H800" s="81">
        <f t="shared" si="1285"/>
        <v>41537</v>
      </c>
      <c r="I800" s="339">
        <f t="shared" si="1285"/>
        <v>51216</v>
      </c>
      <c r="J800" s="81">
        <f t="shared" si="1285"/>
        <v>49161</v>
      </c>
      <c r="K800" s="72">
        <f t="shared" si="1268"/>
        <v>0</v>
      </c>
      <c r="L800" s="72">
        <f t="shared" si="1269"/>
        <v>49161</v>
      </c>
      <c r="M800" s="81">
        <f t="shared" ref="M800" si="1289">M807+M814+M821+M842+M861+M849+M828+M835+M854</f>
        <v>18400</v>
      </c>
      <c r="N800" s="81">
        <f t="shared" ref="N800" si="1290">N807+N814+N821+N842+N861+N849+N828+N835+N854</f>
        <v>10930</v>
      </c>
      <c r="O800" s="81">
        <f t="shared" ref="O800:P800" si="1291">O807+O814+O821+O842+O861+O849+O828+O835+O854</f>
        <v>10750</v>
      </c>
      <c r="P800" s="81">
        <f t="shared" si="1291"/>
        <v>9081</v>
      </c>
      <c r="Q800" s="81">
        <f t="shared" si="1285"/>
        <v>41375</v>
      </c>
      <c r="R800" s="81">
        <f t="shared" si="1285"/>
        <v>41375</v>
      </c>
      <c r="S800" s="81">
        <f t="shared" si="1285"/>
        <v>41375</v>
      </c>
    </row>
    <row r="801" spans="1:19" ht="14.25">
      <c r="A801" s="183"/>
      <c r="B801" s="187" t="s">
        <v>161</v>
      </c>
      <c r="C801" s="188">
        <v>1</v>
      </c>
      <c r="D801" s="81">
        <f t="shared" si="1285"/>
        <v>45940</v>
      </c>
      <c r="E801" s="81">
        <f t="shared" si="1285"/>
        <v>36198</v>
      </c>
      <c r="F801" s="81">
        <f t="shared" si="1285"/>
        <v>45940</v>
      </c>
      <c r="G801" s="81">
        <f t="shared" si="1285"/>
        <v>45606.5</v>
      </c>
      <c r="H801" s="81">
        <f t="shared" si="1285"/>
        <v>41537</v>
      </c>
      <c r="I801" s="339">
        <f t="shared" si="1285"/>
        <v>51216</v>
      </c>
      <c r="J801" s="81">
        <f t="shared" si="1285"/>
        <v>49161</v>
      </c>
      <c r="K801" s="72">
        <f t="shared" si="1268"/>
        <v>0</v>
      </c>
      <c r="L801" s="72">
        <f t="shared" si="1269"/>
        <v>49161</v>
      </c>
      <c r="M801" s="81">
        <f t="shared" ref="M801" si="1292">M808+M815+M822+M843+M862+M850+M829+M836+M855</f>
        <v>18400</v>
      </c>
      <c r="N801" s="81">
        <f t="shared" ref="N801" si="1293">N808+N815+N822+N843+N862+N850+N829+N836+N855</f>
        <v>10930</v>
      </c>
      <c r="O801" s="81">
        <f t="shared" ref="O801:P801" si="1294">O808+O815+O822+O843+O862+O850+O829+O836+O855</f>
        <v>10750</v>
      </c>
      <c r="P801" s="81">
        <f t="shared" si="1294"/>
        <v>9081</v>
      </c>
      <c r="Q801" s="81">
        <f t="shared" si="1285"/>
        <v>41375</v>
      </c>
      <c r="R801" s="81">
        <f t="shared" si="1285"/>
        <v>41375</v>
      </c>
      <c r="S801" s="81">
        <f t="shared" si="1285"/>
        <v>41375</v>
      </c>
    </row>
    <row r="802" spans="1:19" ht="14.25">
      <c r="A802" s="183"/>
      <c r="B802" s="187" t="s">
        <v>162</v>
      </c>
      <c r="C802" s="188">
        <v>10</v>
      </c>
      <c r="D802" s="81">
        <f t="shared" si="1285"/>
        <v>36890</v>
      </c>
      <c r="E802" s="81">
        <f t="shared" si="1285"/>
        <v>29253</v>
      </c>
      <c r="F802" s="81">
        <f t="shared" si="1285"/>
        <v>36890</v>
      </c>
      <c r="G802" s="81">
        <f t="shared" si="1285"/>
        <v>36488</v>
      </c>
      <c r="H802" s="81">
        <f t="shared" si="1285"/>
        <v>33651</v>
      </c>
      <c r="I802" s="339">
        <f t="shared" si="1285"/>
        <v>41269</v>
      </c>
      <c r="J802" s="81">
        <f t="shared" si="1285"/>
        <v>40686</v>
      </c>
      <c r="K802" s="72">
        <f t="shared" si="1268"/>
        <v>0</v>
      </c>
      <c r="L802" s="72">
        <f t="shared" si="1269"/>
        <v>40686</v>
      </c>
      <c r="M802" s="81">
        <f t="shared" ref="M802" si="1295">M809+M816+M823+M844+M863+M851+M830+M837+M856</f>
        <v>15800</v>
      </c>
      <c r="N802" s="81">
        <f t="shared" ref="N802" si="1296">N809+N816+N823+N844+N863+N851+N830+N837+N856</f>
        <v>8710</v>
      </c>
      <c r="O802" s="81">
        <f t="shared" ref="O802:P802" si="1297">O809+O816+O823+O844+O863+O851+O830+O837+O856</f>
        <v>8700</v>
      </c>
      <c r="P802" s="81">
        <f t="shared" si="1297"/>
        <v>7476</v>
      </c>
      <c r="Q802" s="81">
        <f t="shared" si="1285"/>
        <v>32900</v>
      </c>
      <c r="R802" s="81">
        <f t="shared" si="1285"/>
        <v>32900</v>
      </c>
      <c r="S802" s="81">
        <f t="shared" si="1285"/>
        <v>32900</v>
      </c>
    </row>
    <row r="803" spans="1:19" ht="14.25">
      <c r="A803" s="183"/>
      <c r="B803" s="187" t="s">
        <v>886</v>
      </c>
      <c r="C803" s="188">
        <v>20</v>
      </c>
      <c r="D803" s="81">
        <f t="shared" si="1285"/>
        <v>9050</v>
      </c>
      <c r="E803" s="81">
        <f t="shared" si="1285"/>
        <v>6945</v>
      </c>
      <c r="F803" s="81">
        <f t="shared" si="1285"/>
        <v>9050</v>
      </c>
      <c r="G803" s="81">
        <f t="shared" si="1285"/>
        <v>9118.5</v>
      </c>
      <c r="H803" s="81">
        <f t="shared" si="1285"/>
        <v>7886</v>
      </c>
      <c r="I803" s="339">
        <f t="shared" si="1285"/>
        <v>9947</v>
      </c>
      <c r="J803" s="81">
        <f t="shared" si="1285"/>
        <v>8475</v>
      </c>
      <c r="K803" s="72">
        <f t="shared" si="1268"/>
        <v>0</v>
      </c>
      <c r="L803" s="72">
        <f t="shared" si="1269"/>
        <v>8475</v>
      </c>
      <c r="M803" s="81">
        <f t="shared" ref="M803" si="1298">M810+M817+M824+M845+M864+M852+M831+M838+M857</f>
        <v>2600</v>
      </c>
      <c r="N803" s="81">
        <f t="shared" ref="N803" si="1299">N810+N817+N824+N845+N864+N852+N831+N838+N857</f>
        <v>2220</v>
      </c>
      <c r="O803" s="81">
        <f t="shared" ref="O803:P803" si="1300">O810+O817+O824+O845+O864+O852+O831+O838+O857</f>
        <v>2050</v>
      </c>
      <c r="P803" s="81">
        <f t="shared" si="1300"/>
        <v>1605</v>
      </c>
      <c r="Q803" s="81">
        <f t="shared" si="1285"/>
        <v>8475</v>
      </c>
      <c r="R803" s="81">
        <f t="shared" si="1285"/>
        <v>8475</v>
      </c>
      <c r="S803" s="81">
        <f t="shared" si="1285"/>
        <v>8475</v>
      </c>
    </row>
    <row r="804" spans="1:19" ht="14.25">
      <c r="A804" s="183"/>
      <c r="B804" s="187" t="s">
        <v>172</v>
      </c>
      <c r="C804" s="188"/>
      <c r="D804" s="81">
        <f t="shared" ref="D804:S805" si="1301">D811+D818+D825+D846+D865+D839+D858+D832</f>
        <v>200</v>
      </c>
      <c r="E804" s="81">
        <f t="shared" si="1301"/>
        <v>326</v>
      </c>
      <c r="F804" s="81">
        <f t="shared" si="1301"/>
        <v>835</v>
      </c>
      <c r="G804" s="81">
        <f t="shared" si="1301"/>
        <v>1168.5</v>
      </c>
      <c r="H804" s="81">
        <f t="shared" si="1301"/>
        <v>602</v>
      </c>
      <c r="I804" s="339">
        <f t="shared" si="1301"/>
        <v>552.02</v>
      </c>
      <c r="J804" s="81">
        <f t="shared" si="1301"/>
        <v>534</v>
      </c>
      <c r="K804" s="72">
        <f t="shared" si="1268"/>
        <v>0</v>
      </c>
      <c r="L804" s="72">
        <f t="shared" si="1269"/>
        <v>534</v>
      </c>
      <c r="M804" s="81">
        <f t="shared" ref="M804" si="1302">M811+M818+M825+M846+M865+M839+M858+M832</f>
        <v>534</v>
      </c>
      <c r="N804" s="81">
        <f t="shared" ref="N804" si="1303">N811+N818+N825+N846+N865+N839+N858+N832</f>
        <v>0</v>
      </c>
      <c r="O804" s="81">
        <f t="shared" ref="O804:P804" si="1304">O811+O818+O825+O846+O865+O839+O858+O832</f>
        <v>0</v>
      </c>
      <c r="P804" s="81">
        <f t="shared" si="1304"/>
        <v>0</v>
      </c>
      <c r="Q804" s="81">
        <f t="shared" si="1301"/>
        <v>0</v>
      </c>
      <c r="R804" s="81">
        <f t="shared" si="1301"/>
        <v>0</v>
      </c>
      <c r="S804" s="81">
        <f t="shared" si="1301"/>
        <v>0</v>
      </c>
    </row>
    <row r="805" spans="1:19" ht="14.25">
      <c r="A805" s="183"/>
      <c r="B805" s="187" t="s">
        <v>201</v>
      </c>
      <c r="C805" s="188">
        <v>70</v>
      </c>
      <c r="D805" s="81">
        <f t="shared" si="1301"/>
        <v>200</v>
      </c>
      <c r="E805" s="81">
        <f t="shared" si="1301"/>
        <v>326</v>
      </c>
      <c r="F805" s="81">
        <f t="shared" si="1301"/>
        <v>835</v>
      </c>
      <c r="G805" s="81">
        <f t="shared" si="1301"/>
        <v>1168.5</v>
      </c>
      <c r="H805" s="81">
        <f t="shared" si="1301"/>
        <v>602</v>
      </c>
      <c r="I805" s="339">
        <f t="shared" si="1301"/>
        <v>552.02</v>
      </c>
      <c r="J805" s="81">
        <f t="shared" si="1301"/>
        <v>534</v>
      </c>
      <c r="K805" s="72">
        <f t="shared" si="1268"/>
        <v>0</v>
      </c>
      <c r="L805" s="72">
        <f t="shared" si="1269"/>
        <v>534</v>
      </c>
      <c r="M805" s="81">
        <f t="shared" ref="M805" si="1305">M812+M819+M826+M847+M866+M840+M859+M833</f>
        <v>534</v>
      </c>
      <c r="N805" s="81">
        <f t="shared" ref="N805" si="1306">N812+N819+N826+N847+N866+N840+N859+N833</f>
        <v>0</v>
      </c>
      <c r="O805" s="81">
        <f t="shared" ref="O805:P805" si="1307">O812+O819+O826+O847+O866+O840+O859+O833</f>
        <v>0</v>
      </c>
      <c r="P805" s="81">
        <f t="shared" si="1307"/>
        <v>0</v>
      </c>
      <c r="Q805" s="81">
        <f t="shared" si="1301"/>
        <v>0</v>
      </c>
      <c r="R805" s="81">
        <f t="shared" si="1301"/>
        <v>0</v>
      </c>
      <c r="S805" s="81">
        <f t="shared" si="1301"/>
        <v>0</v>
      </c>
    </row>
    <row r="806" spans="1:19" ht="28.5">
      <c r="A806" s="41" t="s">
        <v>355</v>
      </c>
      <c r="B806" s="57" t="s">
        <v>356</v>
      </c>
      <c r="C806" s="92" t="s">
        <v>357</v>
      </c>
      <c r="D806" s="81">
        <f t="shared" ref="D806:S806" si="1308">D807+D811</f>
        <v>12050</v>
      </c>
      <c r="E806" s="81">
        <f t="shared" si="1308"/>
        <v>5295</v>
      </c>
      <c r="F806" s="81">
        <f t="shared" si="1308"/>
        <v>12050</v>
      </c>
      <c r="G806" s="81">
        <f t="shared" si="1308"/>
        <v>12050</v>
      </c>
      <c r="H806" s="81">
        <f t="shared" si="1308"/>
        <v>11649</v>
      </c>
      <c r="I806" s="339">
        <f t="shared" si="1308"/>
        <v>13000</v>
      </c>
      <c r="J806" s="81">
        <f t="shared" si="1308"/>
        <v>12700</v>
      </c>
      <c r="K806" s="72">
        <f t="shared" si="1268"/>
        <v>0</v>
      </c>
      <c r="L806" s="72">
        <f t="shared" si="1269"/>
        <v>12700</v>
      </c>
      <c r="M806" s="81">
        <f t="shared" ref="M806" si="1309">M807+M811</f>
        <v>4800</v>
      </c>
      <c r="N806" s="81">
        <f t="shared" ref="N806" si="1310">N807+N811</f>
        <v>3000</v>
      </c>
      <c r="O806" s="81">
        <f t="shared" ref="O806:P806" si="1311">O807+O811</f>
        <v>3000</v>
      </c>
      <c r="P806" s="81">
        <f t="shared" si="1311"/>
        <v>1900</v>
      </c>
      <c r="Q806" s="81">
        <f t="shared" si="1308"/>
        <v>8900</v>
      </c>
      <c r="R806" s="81">
        <f t="shared" si="1308"/>
        <v>8900</v>
      </c>
      <c r="S806" s="81">
        <f t="shared" si="1308"/>
        <v>8900</v>
      </c>
    </row>
    <row r="807" spans="1:19" ht="14.25">
      <c r="A807" s="41"/>
      <c r="B807" s="31" t="s">
        <v>160</v>
      </c>
      <c r="C807" s="19"/>
      <c r="D807" s="81">
        <f t="shared" ref="D807:S807" si="1312">D808</f>
        <v>12050</v>
      </c>
      <c r="E807" s="81">
        <f t="shared" si="1312"/>
        <v>5206</v>
      </c>
      <c r="F807" s="81">
        <f t="shared" si="1312"/>
        <v>12050</v>
      </c>
      <c r="G807" s="81">
        <f t="shared" si="1312"/>
        <v>12043.5</v>
      </c>
      <c r="H807" s="81">
        <f t="shared" si="1312"/>
        <v>11643</v>
      </c>
      <c r="I807" s="339">
        <f t="shared" si="1312"/>
        <v>13000</v>
      </c>
      <c r="J807" s="81">
        <f t="shared" si="1312"/>
        <v>12700</v>
      </c>
      <c r="K807" s="72">
        <f t="shared" si="1268"/>
        <v>0</v>
      </c>
      <c r="L807" s="72">
        <f t="shared" si="1269"/>
        <v>12700</v>
      </c>
      <c r="M807" s="81">
        <f t="shared" si="1312"/>
        <v>4800</v>
      </c>
      <c r="N807" s="81">
        <f t="shared" si="1312"/>
        <v>3000</v>
      </c>
      <c r="O807" s="81">
        <f t="shared" si="1312"/>
        <v>3000</v>
      </c>
      <c r="P807" s="81">
        <f t="shared" si="1312"/>
        <v>1900</v>
      </c>
      <c r="Q807" s="81">
        <f t="shared" si="1312"/>
        <v>8900</v>
      </c>
      <c r="R807" s="81">
        <f t="shared" si="1312"/>
        <v>8900</v>
      </c>
      <c r="S807" s="81">
        <f t="shared" si="1312"/>
        <v>8900</v>
      </c>
    </row>
    <row r="808" spans="1:19" ht="15">
      <c r="A808" s="41"/>
      <c r="B808" s="40" t="s">
        <v>161</v>
      </c>
      <c r="C808" s="19">
        <v>1</v>
      </c>
      <c r="D808" s="76">
        <f t="shared" ref="D808:S808" si="1313">D809+D810</f>
        <v>12050</v>
      </c>
      <c r="E808" s="76">
        <f t="shared" si="1313"/>
        <v>5206</v>
      </c>
      <c r="F808" s="76">
        <f t="shared" si="1313"/>
        <v>12050</v>
      </c>
      <c r="G808" s="76">
        <f t="shared" si="1313"/>
        <v>12043.5</v>
      </c>
      <c r="H808" s="76">
        <f t="shared" si="1313"/>
        <v>11643</v>
      </c>
      <c r="I808" s="330">
        <f t="shared" si="1313"/>
        <v>13000</v>
      </c>
      <c r="J808" s="76">
        <f t="shared" si="1313"/>
        <v>12700</v>
      </c>
      <c r="K808" s="72">
        <f t="shared" si="1268"/>
        <v>0</v>
      </c>
      <c r="L808" s="72">
        <f t="shared" si="1269"/>
        <v>12700</v>
      </c>
      <c r="M808" s="76">
        <f t="shared" ref="M808" si="1314">M809+M810</f>
        <v>4800</v>
      </c>
      <c r="N808" s="76">
        <f t="shared" ref="N808" si="1315">N809+N810</f>
        <v>3000</v>
      </c>
      <c r="O808" s="76">
        <f t="shared" ref="O808:P808" si="1316">O809+O810</f>
        <v>3000</v>
      </c>
      <c r="P808" s="76">
        <f t="shared" si="1316"/>
        <v>1900</v>
      </c>
      <c r="Q808" s="76">
        <f t="shared" si="1313"/>
        <v>8900</v>
      </c>
      <c r="R808" s="76">
        <f t="shared" si="1313"/>
        <v>8900</v>
      </c>
      <c r="S808" s="76">
        <f t="shared" si="1313"/>
        <v>8900</v>
      </c>
    </row>
    <row r="809" spans="1:19" ht="15">
      <c r="A809" s="41"/>
      <c r="B809" s="40" t="s">
        <v>162</v>
      </c>
      <c r="C809" s="19">
        <v>10</v>
      </c>
      <c r="D809" s="75">
        <v>10200</v>
      </c>
      <c r="E809" s="75">
        <v>4282</v>
      </c>
      <c r="F809" s="75">
        <v>10200</v>
      </c>
      <c r="G809" s="75">
        <v>10200</v>
      </c>
      <c r="H809" s="75">
        <v>9840</v>
      </c>
      <c r="I809" s="329">
        <v>10800</v>
      </c>
      <c r="J809" s="75">
        <v>10800</v>
      </c>
      <c r="K809" s="72">
        <f t="shared" si="1268"/>
        <v>0</v>
      </c>
      <c r="L809" s="72">
        <f t="shared" si="1269"/>
        <v>10800</v>
      </c>
      <c r="M809" s="75">
        <f>3300+1000</f>
        <v>4300</v>
      </c>
      <c r="N809" s="75">
        <v>2500</v>
      </c>
      <c r="O809" s="75">
        <v>2500</v>
      </c>
      <c r="P809" s="75">
        <v>1500</v>
      </c>
      <c r="Q809" s="73">
        <v>7000</v>
      </c>
      <c r="R809" s="73">
        <v>7000</v>
      </c>
      <c r="S809" s="73">
        <v>7000</v>
      </c>
    </row>
    <row r="810" spans="1:19" ht="12.75" customHeight="1">
      <c r="A810" s="41"/>
      <c r="B810" s="40" t="s">
        <v>886</v>
      </c>
      <c r="C810" s="19">
        <v>20</v>
      </c>
      <c r="D810" s="75">
        <v>1850</v>
      </c>
      <c r="E810" s="75">
        <v>924</v>
      </c>
      <c r="F810" s="75">
        <v>1850</v>
      </c>
      <c r="G810" s="75">
        <v>1843.5</v>
      </c>
      <c r="H810" s="75">
        <v>1803</v>
      </c>
      <c r="I810" s="329">
        <v>2200</v>
      </c>
      <c r="J810" s="75">
        <v>1900</v>
      </c>
      <c r="K810" s="72">
        <f t="shared" si="1268"/>
        <v>0</v>
      </c>
      <c r="L810" s="72">
        <f t="shared" si="1269"/>
        <v>1900</v>
      </c>
      <c r="M810" s="75">
        <v>500</v>
      </c>
      <c r="N810" s="75">
        <v>500</v>
      </c>
      <c r="O810" s="75">
        <v>500</v>
      </c>
      <c r="P810" s="75">
        <v>400</v>
      </c>
      <c r="Q810" s="73">
        <v>1900</v>
      </c>
      <c r="R810" s="73">
        <v>1900</v>
      </c>
      <c r="S810" s="73">
        <v>1900</v>
      </c>
    </row>
    <row r="811" spans="1:19" ht="15" hidden="1" customHeight="1">
      <c r="A811" s="41"/>
      <c r="B811" s="33" t="s">
        <v>172</v>
      </c>
      <c r="C811" s="19"/>
      <c r="D811" s="76">
        <f t="shared" ref="D811:S811" si="1317">D812</f>
        <v>0</v>
      </c>
      <c r="E811" s="76">
        <f t="shared" si="1317"/>
        <v>89</v>
      </c>
      <c r="F811" s="76">
        <f t="shared" si="1317"/>
        <v>0</v>
      </c>
      <c r="G811" s="76">
        <f t="shared" si="1317"/>
        <v>6.5</v>
      </c>
      <c r="H811" s="76">
        <f t="shared" si="1317"/>
        <v>6</v>
      </c>
      <c r="I811" s="330">
        <f t="shared" si="1317"/>
        <v>0</v>
      </c>
      <c r="J811" s="76">
        <f t="shared" si="1317"/>
        <v>0</v>
      </c>
      <c r="K811" s="72">
        <f t="shared" si="1268"/>
        <v>0</v>
      </c>
      <c r="L811" s="72">
        <f t="shared" si="1269"/>
        <v>0</v>
      </c>
      <c r="M811" s="76">
        <f t="shared" si="1317"/>
        <v>0</v>
      </c>
      <c r="N811" s="76">
        <f t="shared" si="1317"/>
        <v>0</v>
      </c>
      <c r="O811" s="76">
        <f t="shared" si="1317"/>
        <v>0</v>
      </c>
      <c r="P811" s="76">
        <f t="shared" si="1317"/>
        <v>0</v>
      </c>
      <c r="Q811" s="76">
        <f t="shared" si="1317"/>
        <v>0</v>
      </c>
      <c r="R811" s="76">
        <f t="shared" si="1317"/>
        <v>0</v>
      </c>
      <c r="S811" s="76">
        <f t="shared" si="1317"/>
        <v>0</v>
      </c>
    </row>
    <row r="812" spans="1:19" ht="12" hidden="1" customHeight="1">
      <c r="A812" s="41"/>
      <c r="B812" s="40" t="s">
        <v>201</v>
      </c>
      <c r="C812" s="19">
        <v>70</v>
      </c>
      <c r="D812" s="75">
        <v>0</v>
      </c>
      <c r="E812" s="75">
        <v>89</v>
      </c>
      <c r="F812" s="75"/>
      <c r="G812" s="75">
        <v>6.5</v>
      </c>
      <c r="H812" s="75">
        <v>6</v>
      </c>
      <c r="I812" s="329"/>
      <c r="J812" s="75"/>
      <c r="K812" s="72">
        <f t="shared" si="1268"/>
        <v>0</v>
      </c>
      <c r="L812" s="72">
        <f t="shared" si="1269"/>
        <v>0</v>
      </c>
      <c r="M812" s="75"/>
      <c r="N812" s="75"/>
      <c r="O812" s="75"/>
      <c r="P812" s="75"/>
      <c r="Q812" s="73"/>
      <c r="R812" s="73"/>
      <c r="S812" s="73"/>
    </row>
    <row r="813" spans="1:19" ht="28.5" customHeight="1">
      <c r="A813" s="41" t="s">
        <v>358</v>
      </c>
      <c r="B813" s="57" t="s">
        <v>359</v>
      </c>
      <c r="C813" s="92" t="s">
        <v>360</v>
      </c>
      <c r="D813" s="81">
        <f t="shared" ref="D813:S813" si="1318">D814+D818</f>
        <v>6521</v>
      </c>
      <c r="E813" s="81">
        <f t="shared" si="1318"/>
        <v>10261</v>
      </c>
      <c r="F813" s="81">
        <f t="shared" si="1318"/>
        <v>7073</v>
      </c>
      <c r="G813" s="81">
        <f t="shared" si="1318"/>
        <v>7073</v>
      </c>
      <c r="H813" s="81">
        <f t="shared" si="1318"/>
        <v>6067</v>
      </c>
      <c r="I813" s="339">
        <f t="shared" si="1318"/>
        <v>7365</v>
      </c>
      <c r="J813" s="81">
        <f t="shared" si="1318"/>
        <v>7400</v>
      </c>
      <c r="K813" s="72">
        <f t="shared" si="1268"/>
        <v>0</v>
      </c>
      <c r="L813" s="72">
        <f t="shared" si="1269"/>
        <v>7400</v>
      </c>
      <c r="M813" s="81">
        <f t="shared" ref="M813" si="1319">M814+M818</f>
        <v>3400</v>
      </c>
      <c r="N813" s="81">
        <f t="shared" ref="N813" si="1320">N814+N818</f>
        <v>1400</v>
      </c>
      <c r="O813" s="81">
        <f t="shared" ref="O813:P813" si="1321">O814+O818</f>
        <v>1400</v>
      </c>
      <c r="P813" s="81">
        <f t="shared" si="1321"/>
        <v>1200</v>
      </c>
      <c r="Q813" s="81">
        <f t="shared" si="1318"/>
        <v>6900</v>
      </c>
      <c r="R813" s="81">
        <f t="shared" si="1318"/>
        <v>6900</v>
      </c>
      <c r="S813" s="81">
        <f t="shared" si="1318"/>
        <v>6900</v>
      </c>
    </row>
    <row r="814" spans="1:19" ht="14.25">
      <c r="A814" s="41"/>
      <c r="B814" s="31" t="s">
        <v>160</v>
      </c>
      <c r="C814" s="19"/>
      <c r="D814" s="81">
        <f t="shared" ref="D814:S814" si="1322">D815</f>
        <v>6450</v>
      </c>
      <c r="E814" s="81">
        <f t="shared" si="1322"/>
        <v>10255</v>
      </c>
      <c r="F814" s="81">
        <f t="shared" si="1322"/>
        <v>6450</v>
      </c>
      <c r="G814" s="81">
        <f t="shared" si="1322"/>
        <v>6373</v>
      </c>
      <c r="H814" s="81">
        <f t="shared" si="1322"/>
        <v>5919</v>
      </c>
      <c r="I814" s="339">
        <f t="shared" si="1322"/>
        <v>6846</v>
      </c>
      <c r="J814" s="81">
        <f t="shared" si="1322"/>
        <v>6900</v>
      </c>
      <c r="K814" s="72">
        <f t="shared" si="1268"/>
        <v>0</v>
      </c>
      <c r="L814" s="72">
        <f t="shared" si="1269"/>
        <v>6900</v>
      </c>
      <c r="M814" s="81">
        <f t="shared" si="1322"/>
        <v>2900</v>
      </c>
      <c r="N814" s="81">
        <f t="shared" si="1322"/>
        <v>1400</v>
      </c>
      <c r="O814" s="81">
        <f t="shared" si="1322"/>
        <v>1400</v>
      </c>
      <c r="P814" s="81">
        <f t="shared" si="1322"/>
        <v>1200</v>
      </c>
      <c r="Q814" s="81">
        <f t="shared" si="1322"/>
        <v>6900</v>
      </c>
      <c r="R814" s="81">
        <f t="shared" si="1322"/>
        <v>6900</v>
      </c>
      <c r="S814" s="81">
        <f t="shared" si="1322"/>
        <v>6900</v>
      </c>
    </row>
    <row r="815" spans="1:19" ht="15">
      <c r="A815" s="41"/>
      <c r="B815" s="40" t="s">
        <v>161</v>
      </c>
      <c r="C815" s="19">
        <v>1</v>
      </c>
      <c r="D815" s="76">
        <f t="shared" ref="D815:S815" si="1323">D816+D817</f>
        <v>6450</v>
      </c>
      <c r="E815" s="76">
        <f t="shared" si="1323"/>
        <v>10255</v>
      </c>
      <c r="F815" s="76">
        <f t="shared" si="1323"/>
        <v>6450</v>
      </c>
      <c r="G815" s="76">
        <f t="shared" si="1323"/>
        <v>6373</v>
      </c>
      <c r="H815" s="76">
        <f t="shared" si="1323"/>
        <v>5919</v>
      </c>
      <c r="I815" s="330">
        <f t="shared" si="1323"/>
        <v>6846</v>
      </c>
      <c r="J815" s="76">
        <f t="shared" si="1323"/>
        <v>6900</v>
      </c>
      <c r="K815" s="72">
        <f t="shared" si="1268"/>
        <v>0</v>
      </c>
      <c r="L815" s="72">
        <f t="shared" si="1269"/>
        <v>6900</v>
      </c>
      <c r="M815" s="76">
        <f t="shared" ref="M815" si="1324">M816+M817</f>
        <v>2900</v>
      </c>
      <c r="N815" s="76">
        <f t="shared" ref="N815" si="1325">N816+N817</f>
        <v>1400</v>
      </c>
      <c r="O815" s="76">
        <f t="shared" ref="O815:P815" si="1326">O816+O817</f>
        <v>1400</v>
      </c>
      <c r="P815" s="76">
        <f t="shared" si="1326"/>
        <v>1200</v>
      </c>
      <c r="Q815" s="76">
        <f t="shared" si="1323"/>
        <v>6900</v>
      </c>
      <c r="R815" s="76">
        <f t="shared" si="1323"/>
        <v>6900</v>
      </c>
      <c r="S815" s="76">
        <f t="shared" si="1323"/>
        <v>6900</v>
      </c>
    </row>
    <row r="816" spans="1:19" ht="15">
      <c r="A816" s="41"/>
      <c r="B816" s="40" t="s">
        <v>162</v>
      </c>
      <c r="C816" s="19">
        <v>10</v>
      </c>
      <c r="D816" s="75">
        <v>5050</v>
      </c>
      <c r="E816" s="75">
        <v>8544</v>
      </c>
      <c r="F816" s="75">
        <v>5050</v>
      </c>
      <c r="G816" s="75">
        <v>4973</v>
      </c>
      <c r="H816" s="75">
        <v>4731</v>
      </c>
      <c r="I816" s="329">
        <v>5396</v>
      </c>
      <c r="J816" s="75">
        <v>5700</v>
      </c>
      <c r="K816" s="72">
        <f t="shared" si="1268"/>
        <v>0</v>
      </c>
      <c r="L816" s="72">
        <f t="shared" si="1269"/>
        <v>5700</v>
      </c>
      <c r="M816" s="75">
        <v>2500</v>
      </c>
      <c r="N816" s="75">
        <v>1100</v>
      </c>
      <c r="O816" s="75">
        <v>1100</v>
      </c>
      <c r="P816" s="75">
        <v>1000</v>
      </c>
      <c r="Q816" s="73">
        <v>5700</v>
      </c>
      <c r="R816" s="73">
        <v>5700</v>
      </c>
      <c r="S816" s="73">
        <v>5700</v>
      </c>
    </row>
    <row r="817" spans="1:19" ht="14.25" customHeight="1">
      <c r="A817" s="41"/>
      <c r="B817" s="40" t="s">
        <v>886</v>
      </c>
      <c r="C817" s="19">
        <v>20</v>
      </c>
      <c r="D817" s="75">
        <f>1300+100</f>
        <v>1400</v>
      </c>
      <c r="E817" s="75">
        <v>1711</v>
      </c>
      <c r="F817" s="75">
        <v>1400</v>
      </c>
      <c r="G817" s="75">
        <v>1400</v>
      </c>
      <c r="H817" s="75">
        <v>1188</v>
      </c>
      <c r="I817" s="329">
        <v>1450</v>
      </c>
      <c r="J817" s="75">
        <v>1200</v>
      </c>
      <c r="K817" s="72">
        <f t="shared" si="1268"/>
        <v>0</v>
      </c>
      <c r="L817" s="72">
        <f t="shared" si="1269"/>
        <v>1200</v>
      </c>
      <c r="M817" s="75">
        <v>400</v>
      </c>
      <c r="N817" s="75">
        <v>300</v>
      </c>
      <c r="O817" s="75">
        <v>300</v>
      </c>
      <c r="P817" s="75">
        <v>200</v>
      </c>
      <c r="Q817" s="73">
        <v>1200</v>
      </c>
      <c r="R817" s="73">
        <v>1200</v>
      </c>
      <c r="S817" s="73">
        <v>1200</v>
      </c>
    </row>
    <row r="818" spans="1:19" ht="17.25" customHeight="1">
      <c r="A818" s="41"/>
      <c r="B818" s="33" t="s">
        <v>172</v>
      </c>
      <c r="C818" s="19"/>
      <c r="D818" s="76">
        <f t="shared" ref="D818:S818" si="1327">D819</f>
        <v>71</v>
      </c>
      <c r="E818" s="76">
        <f t="shared" si="1327"/>
        <v>6</v>
      </c>
      <c r="F818" s="76">
        <f t="shared" si="1327"/>
        <v>623</v>
      </c>
      <c r="G818" s="76">
        <f t="shared" si="1327"/>
        <v>700</v>
      </c>
      <c r="H818" s="76">
        <f t="shared" si="1327"/>
        <v>148</v>
      </c>
      <c r="I818" s="330">
        <f t="shared" si="1327"/>
        <v>519</v>
      </c>
      <c r="J818" s="76">
        <f t="shared" si="1327"/>
        <v>500</v>
      </c>
      <c r="K818" s="72">
        <f t="shared" si="1268"/>
        <v>0</v>
      </c>
      <c r="L818" s="72">
        <f t="shared" si="1269"/>
        <v>500</v>
      </c>
      <c r="M818" s="76">
        <f t="shared" si="1327"/>
        <v>500</v>
      </c>
      <c r="N818" s="76">
        <f t="shared" si="1327"/>
        <v>0</v>
      </c>
      <c r="O818" s="76">
        <f t="shared" si="1327"/>
        <v>0</v>
      </c>
      <c r="P818" s="76">
        <f t="shared" si="1327"/>
        <v>0</v>
      </c>
      <c r="Q818" s="76">
        <f t="shared" si="1327"/>
        <v>0</v>
      </c>
      <c r="R818" s="76">
        <f t="shared" si="1327"/>
        <v>0</v>
      </c>
      <c r="S818" s="76">
        <f t="shared" si="1327"/>
        <v>0</v>
      </c>
    </row>
    <row r="819" spans="1:19" ht="18" customHeight="1">
      <c r="A819" s="41"/>
      <c r="B819" s="40" t="s">
        <v>201</v>
      </c>
      <c r="C819" s="19">
        <v>70</v>
      </c>
      <c r="D819" s="75">
        <v>71</v>
      </c>
      <c r="E819" s="75">
        <v>6</v>
      </c>
      <c r="F819" s="75">
        <v>623</v>
      </c>
      <c r="G819" s="75">
        <v>700</v>
      </c>
      <c r="H819" s="75">
        <v>148</v>
      </c>
      <c r="I819" s="329">
        <v>519</v>
      </c>
      <c r="J819" s="75">
        <v>500</v>
      </c>
      <c r="K819" s="72">
        <f t="shared" si="1268"/>
        <v>0</v>
      </c>
      <c r="L819" s="72">
        <f t="shared" si="1269"/>
        <v>500</v>
      </c>
      <c r="M819" s="75">
        <v>500</v>
      </c>
      <c r="N819" s="75"/>
      <c r="O819" s="75"/>
      <c r="P819" s="75"/>
      <c r="Q819" s="73"/>
      <c r="R819" s="73"/>
      <c r="S819" s="73"/>
    </row>
    <row r="820" spans="1:19" ht="28.5">
      <c r="A820" s="41" t="s">
        <v>361</v>
      </c>
      <c r="B820" s="57" t="s">
        <v>362</v>
      </c>
      <c r="C820" s="92" t="s">
        <v>363</v>
      </c>
      <c r="D820" s="81">
        <f t="shared" ref="D820:S820" si="1328">D821+D825</f>
        <v>13048</v>
      </c>
      <c r="E820" s="81">
        <f t="shared" si="1328"/>
        <v>10128</v>
      </c>
      <c r="F820" s="81">
        <f t="shared" si="1328"/>
        <v>13048</v>
      </c>
      <c r="G820" s="81">
        <f t="shared" si="1328"/>
        <v>13048</v>
      </c>
      <c r="H820" s="81">
        <f t="shared" si="1328"/>
        <v>11453</v>
      </c>
      <c r="I820" s="339">
        <f t="shared" si="1328"/>
        <v>15545</v>
      </c>
      <c r="J820" s="81">
        <f t="shared" si="1328"/>
        <v>14000</v>
      </c>
      <c r="K820" s="72">
        <f t="shared" si="1268"/>
        <v>0</v>
      </c>
      <c r="L820" s="72">
        <f t="shared" si="1269"/>
        <v>14000</v>
      </c>
      <c r="M820" s="81">
        <f t="shared" ref="M820" si="1329">M821+M825</f>
        <v>5200</v>
      </c>
      <c r="N820" s="81">
        <f t="shared" ref="N820" si="1330">N821+N825</f>
        <v>3000</v>
      </c>
      <c r="O820" s="81">
        <f t="shared" ref="O820:P820" si="1331">O821+O825</f>
        <v>3000</v>
      </c>
      <c r="P820" s="81">
        <f t="shared" si="1331"/>
        <v>2800</v>
      </c>
      <c r="Q820" s="81">
        <f t="shared" si="1328"/>
        <v>11000</v>
      </c>
      <c r="R820" s="81">
        <f t="shared" si="1328"/>
        <v>11000</v>
      </c>
      <c r="S820" s="81">
        <f t="shared" si="1328"/>
        <v>11000</v>
      </c>
    </row>
    <row r="821" spans="1:19" ht="14.25">
      <c r="A821" s="41"/>
      <c r="B821" s="31" t="s">
        <v>160</v>
      </c>
      <c r="C821" s="19"/>
      <c r="D821" s="81">
        <f t="shared" ref="D821:S821" si="1332">D822</f>
        <v>12980</v>
      </c>
      <c r="E821" s="81">
        <f t="shared" si="1332"/>
        <v>10087</v>
      </c>
      <c r="F821" s="81">
        <f t="shared" si="1332"/>
        <v>12980</v>
      </c>
      <c r="G821" s="81">
        <f t="shared" si="1332"/>
        <v>12900</v>
      </c>
      <c r="H821" s="81">
        <f t="shared" si="1332"/>
        <v>11310</v>
      </c>
      <c r="I821" s="339">
        <f t="shared" si="1332"/>
        <v>15525</v>
      </c>
      <c r="J821" s="81">
        <f t="shared" si="1332"/>
        <v>14000</v>
      </c>
      <c r="K821" s="72">
        <f t="shared" si="1268"/>
        <v>0</v>
      </c>
      <c r="L821" s="72">
        <f t="shared" si="1269"/>
        <v>14000</v>
      </c>
      <c r="M821" s="81">
        <f t="shared" si="1332"/>
        <v>5200</v>
      </c>
      <c r="N821" s="81">
        <f t="shared" si="1332"/>
        <v>3000</v>
      </c>
      <c r="O821" s="81">
        <f t="shared" si="1332"/>
        <v>3000</v>
      </c>
      <c r="P821" s="81">
        <f t="shared" si="1332"/>
        <v>2800</v>
      </c>
      <c r="Q821" s="81">
        <f t="shared" si="1332"/>
        <v>11000</v>
      </c>
      <c r="R821" s="81">
        <f t="shared" si="1332"/>
        <v>11000</v>
      </c>
      <c r="S821" s="81">
        <f t="shared" si="1332"/>
        <v>11000</v>
      </c>
    </row>
    <row r="822" spans="1:19" ht="15">
      <c r="A822" s="41"/>
      <c r="B822" s="40" t="s">
        <v>161</v>
      </c>
      <c r="C822" s="19">
        <v>1</v>
      </c>
      <c r="D822" s="76">
        <f t="shared" ref="D822:S822" si="1333">D823+D824</f>
        <v>12980</v>
      </c>
      <c r="E822" s="76">
        <f t="shared" si="1333"/>
        <v>10087</v>
      </c>
      <c r="F822" s="76">
        <f t="shared" si="1333"/>
        <v>12980</v>
      </c>
      <c r="G822" s="76">
        <f t="shared" si="1333"/>
        <v>12900</v>
      </c>
      <c r="H822" s="76">
        <f t="shared" si="1333"/>
        <v>11310</v>
      </c>
      <c r="I822" s="330">
        <f t="shared" si="1333"/>
        <v>15525</v>
      </c>
      <c r="J822" s="76">
        <f t="shared" si="1333"/>
        <v>14000</v>
      </c>
      <c r="K822" s="72">
        <f t="shared" si="1268"/>
        <v>0</v>
      </c>
      <c r="L822" s="72">
        <f t="shared" si="1269"/>
        <v>14000</v>
      </c>
      <c r="M822" s="76">
        <f t="shared" ref="M822" si="1334">M823+M824</f>
        <v>5200</v>
      </c>
      <c r="N822" s="76">
        <f t="shared" ref="N822" si="1335">N823+N824</f>
        <v>3000</v>
      </c>
      <c r="O822" s="76">
        <f t="shared" ref="O822:P822" si="1336">O823+O824</f>
        <v>3000</v>
      </c>
      <c r="P822" s="76">
        <f t="shared" si="1336"/>
        <v>2800</v>
      </c>
      <c r="Q822" s="76">
        <f t="shared" si="1333"/>
        <v>11000</v>
      </c>
      <c r="R822" s="76">
        <f t="shared" si="1333"/>
        <v>11000</v>
      </c>
      <c r="S822" s="76">
        <f t="shared" si="1333"/>
        <v>11000</v>
      </c>
    </row>
    <row r="823" spans="1:19" ht="15">
      <c r="A823" s="41"/>
      <c r="B823" s="40" t="s">
        <v>162</v>
      </c>
      <c r="C823" s="19">
        <v>10</v>
      </c>
      <c r="D823" s="75">
        <v>10180</v>
      </c>
      <c r="E823" s="75">
        <v>7810</v>
      </c>
      <c r="F823" s="75">
        <v>10180</v>
      </c>
      <c r="G823" s="75">
        <v>10100</v>
      </c>
      <c r="H823" s="75">
        <v>8935</v>
      </c>
      <c r="I823" s="329">
        <v>12475</v>
      </c>
      <c r="J823" s="75">
        <v>11500</v>
      </c>
      <c r="K823" s="72">
        <f t="shared" si="1268"/>
        <v>0</v>
      </c>
      <c r="L823" s="72">
        <f t="shared" si="1269"/>
        <v>11500</v>
      </c>
      <c r="M823" s="75">
        <v>4500</v>
      </c>
      <c r="N823" s="75">
        <v>2300</v>
      </c>
      <c r="O823" s="75">
        <v>2400</v>
      </c>
      <c r="P823" s="75">
        <v>2300</v>
      </c>
      <c r="Q823" s="73">
        <v>8500</v>
      </c>
      <c r="R823" s="73">
        <v>8500</v>
      </c>
      <c r="S823" s="73">
        <v>8500</v>
      </c>
    </row>
    <row r="824" spans="1:19" ht="15">
      <c r="A824" s="41"/>
      <c r="B824" s="40" t="s">
        <v>886</v>
      </c>
      <c r="C824" s="19">
        <v>20</v>
      </c>
      <c r="D824" s="75">
        <f>2600+200</f>
        <v>2800</v>
      </c>
      <c r="E824" s="75">
        <v>2277</v>
      </c>
      <c r="F824" s="75">
        <v>2800</v>
      </c>
      <c r="G824" s="75">
        <v>2800</v>
      </c>
      <c r="H824" s="75">
        <v>2375</v>
      </c>
      <c r="I824" s="329">
        <v>3050</v>
      </c>
      <c r="J824" s="75">
        <v>2500</v>
      </c>
      <c r="K824" s="72">
        <f t="shared" si="1268"/>
        <v>0</v>
      </c>
      <c r="L824" s="72">
        <f t="shared" si="1269"/>
        <v>2500</v>
      </c>
      <c r="M824" s="75">
        <v>700</v>
      </c>
      <c r="N824" s="75">
        <v>700</v>
      </c>
      <c r="O824" s="75">
        <v>600</v>
      </c>
      <c r="P824" s="75">
        <v>500</v>
      </c>
      <c r="Q824" s="73">
        <v>2500</v>
      </c>
      <c r="R824" s="73">
        <v>2500</v>
      </c>
      <c r="S824" s="73">
        <v>2500</v>
      </c>
    </row>
    <row r="825" spans="1:19" ht="0.75" customHeight="1">
      <c r="A825" s="41"/>
      <c r="B825" s="33" t="s">
        <v>172</v>
      </c>
      <c r="C825" s="19"/>
      <c r="D825" s="76">
        <f t="shared" ref="D825:S825" si="1337">D826</f>
        <v>68</v>
      </c>
      <c r="E825" s="76">
        <f t="shared" si="1337"/>
        <v>41</v>
      </c>
      <c r="F825" s="76">
        <f t="shared" si="1337"/>
        <v>68</v>
      </c>
      <c r="G825" s="76">
        <f t="shared" si="1337"/>
        <v>148</v>
      </c>
      <c r="H825" s="76">
        <f t="shared" si="1337"/>
        <v>143</v>
      </c>
      <c r="I825" s="330">
        <f t="shared" si="1337"/>
        <v>20</v>
      </c>
      <c r="J825" s="76">
        <f t="shared" si="1337"/>
        <v>0</v>
      </c>
      <c r="K825" s="72">
        <f t="shared" si="1268"/>
        <v>0</v>
      </c>
      <c r="L825" s="72">
        <f t="shared" si="1269"/>
        <v>0</v>
      </c>
      <c r="M825" s="76">
        <f t="shared" si="1337"/>
        <v>0</v>
      </c>
      <c r="N825" s="76">
        <f t="shared" si="1337"/>
        <v>0</v>
      </c>
      <c r="O825" s="76">
        <f t="shared" si="1337"/>
        <v>0</v>
      </c>
      <c r="P825" s="76">
        <f t="shared" si="1337"/>
        <v>0</v>
      </c>
      <c r="Q825" s="76">
        <f t="shared" si="1337"/>
        <v>0</v>
      </c>
      <c r="R825" s="76">
        <f t="shared" si="1337"/>
        <v>0</v>
      </c>
      <c r="S825" s="76">
        <f t="shared" si="1337"/>
        <v>0</v>
      </c>
    </row>
    <row r="826" spans="1:19" ht="18.75" hidden="1" customHeight="1">
      <c r="A826" s="41"/>
      <c r="B826" s="40" t="s">
        <v>201</v>
      </c>
      <c r="C826" s="19">
        <v>70</v>
      </c>
      <c r="D826" s="75">
        <v>68</v>
      </c>
      <c r="E826" s="75">
        <v>41</v>
      </c>
      <c r="F826" s="75">
        <v>68</v>
      </c>
      <c r="G826" s="75">
        <v>148</v>
      </c>
      <c r="H826" s="75">
        <v>143</v>
      </c>
      <c r="I826" s="329">
        <v>20</v>
      </c>
      <c r="J826" s="75"/>
      <c r="K826" s="72">
        <f t="shared" si="1268"/>
        <v>0</v>
      </c>
      <c r="L826" s="72">
        <f t="shared" si="1269"/>
        <v>0</v>
      </c>
      <c r="M826" s="75"/>
      <c r="N826" s="75"/>
      <c r="O826" s="75"/>
      <c r="P826" s="75"/>
      <c r="Q826" s="73"/>
      <c r="R826" s="73"/>
      <c r="S826" s="73"/>
    </row>
    <row r="827" spans="1:19" ht="27.75" customHeight="1">
      <c r="A827" s="41" t="s">
        <v>452</v>
      </c>
      <c r="B827" s="57" t="s">
        <v>364</v>
      </c>
      <c r="C827" s="92" t="s">
        <v>363</v>
      </c>
      <c r="D827" s="81">
        <f t="shared" ref="D827:S827" si="1338">D828+D832</f>
        <v>734</v>
      </c>
      <c r="E827" s="81">
        <f t="shared" si="1338"/>
        <v>464</v>
      </c>
      <c r="F827" s="81">
        <f t="shared" si="1338"/>
        <v>734</v>
      </c>
      <c r="G827" s="81">
        <f t="shared" si="1338"/>
        <v>734</v>
      </c>
      <c r="H827" s="81">
        <f t="shared" si="1338"/>
        <v>600</v>
      </c>
      <c r="I827" s="339">
        <f t="shared" si="1338"/>
        <v>850</v>
      </c>
      <c r="J827" s="81">
        <f t="shared" si="1338"/>
        <v>750</v>
      </c>
      <c r="K827" s="72">
        <f t="shared" si="1268"/>
        <v>0</v>
      </c>
      <c r="L827" s="72">
        <f t="shared" si="1269"/>
        <v>750</v>
      </c>
      <c r="M827" s="81">
        <f t="shared" ref="M827" si="1339">M828+M832</f>
        <v>250</v>
      </c>
      <c r="N827" s="81">
        <f t="shared" ref="N827" si="1340">N828+N832</f>
        <v>200</v>
      </c>
      <c r="O827" s="81">
        <f t="shared" ref="O827:P827" si="1341">O828+O832</f>
        <v>180</v>
      </c>
      <c r="P827" s="81">
        <f t="shared" si="1341"/>
        <v>120</v>
      </c>
      <c r="Q827" s="81">
        <f t="shared" si="1338"/>
        <v>750</v>
      </c>
      <c r="R827" s="81">
        <f t="shared" si="1338"/>
        <v>750</v>
      </c>
      <c r="S827" s="81">
        <f t="shared" si="1338"/>
        <v>750</v>
      </c>
    </row>
    <row r="828" spans="1:19" ht="13.5" customHeight="1">
      <c r="A828" s="41"/>
      <c r="B828" s="31" t="s">
        <v>160</v>
      </c>
      <c r="C828" s="19"/>
      <c r="D828" s="76">
        <f t="shared" ref="D828:S828" si="1342">D829</f>
        <v>710</v>
      </c>
      <c r="E828" s="76">
        <f t="shared" si="1342"/>
        <v>462</v>
      </c>
      <c r="F828" s="76">
        <f t="shared" si="1342"/>
        <v>710</v>
      </c>
      <c r="G828" s="76">
        <f t="shared" si="1342"/>
        <v>710</v>
      </c>
      <c r="H828" s="76">
        <f t="shared" si="1342"/>
        <v>577</v>
      </c>
      <c r="I828" s="330">
        <f t="shared" si="1342"/>
        <v>850</v>
      </c>
      <c r="J828" s="76">
        <f t="shared" si="1342"/>
        <v>750</v>
      </c>
      <c r="K828" s="72">
        <f t="shared" si="1268"/>
        <v>0</v>
      </c>
      <c r="L828" s="72">
        <f t="shared" si="1269"/>
        <v>750</v>
      </c>
      <c r="M828" s="76">
        <f t="shared" si="1342"/>
        <v>250</v>
      </c>
      <c r="N828" s="76">
        <f t="shared" si="1342"/>
        <v>200</v>
      </c>
      <c r="O828" s="76">
        <f t="shared" si="1342"/>
        <v>180</v>
      </c>
      <c r="P828" s="76">
        <f t="shared" si="1342"/>
        <v>120</v>
      </c>
      <c r="Q828" s="76">
        <f t="shared" si="1342"/>
        <v>750</v>
      </c>
      <c r="R828" s="76">
        <f t="shared" si="1342"/>
        <v>750</v>
      </c>
      <c r="S828" s="76">
        <f t="shared" si="1342"/>
        <v>750</v>
      </c>
    </row>
    <row r="829" spans="1:19" ht="13.5" customHeight="1">
      <c r="A829" s="41"/>
      <c r="B829" s="40" t="s">
        <v>161</v>
      </c>
      <c r="C829" s="19">
        <v>1</v>
      </c>
      <c r="D829" s="76">
        <f t="shared" ref="D829:S829" si="1343">D830+D831</f>
        <v>710</v>
      </c>
      <c r="E829" s="76">
        <f t="shared" si="1343"/>
        <v>462</v>
      </c>
      <c r="F829" s="76">
        <f t="shared" si="1343"/>
        <v>710</v>
      </c>
      <c r="G829" s="76">
        <f t="shared" si="1343"/>
        <v>710</v>
      </c>
      <c r="H829" s="76">
        <f t="shared" si="1343"/>
        <v>577</v>
      </c>
      <c r="I829" s="330">
        <f t="shared" si="1343"/>
        <v>850</v>
      </c>
      <c r="J829" s="76">
        <f t="shared" si="1343"/>
        <v>750</v>
      </c>
      <c r="K829" s="72">
        <f t="shared" si="1268"/>
        <v>0</v>
      </c>
      <c r="L829" s="72">
        <f t="shared" si="1269"/>
        <v>750</v>
      </c>
      <c r="M829" s="76">
        <f t="shared" ref="M829" si="1344">M830+M831</f>
        <v>250</v>
      </c>
      <c r="N829" s="76">
        <f t="shared" ref="N829" si="1345">N830+N831</f>
        <v>200</v>
      </c>
      <c r="O829" s="76">
        <f t="shared" ref="O829:P829" si="1346">O830+O831</f>
        <v>180</v>
      </c>
      <c r="P829" s="76">
        <f t="shared" si="1346"/>
        <v>120</v>
      </c>
      <c r="Q829" s="76">
        <f t="shared" si="1343"/>
        <v>750</v>
      </c>
      <c r="R829" s="76">
        <f t="shared" si="1343"/>
        <v>750</v>
      </c>
      <c r="S829" s="76">
        <f t="shared" si="1343"/>
        <v>750</v>
      </c>
    </row>
    <row r="830" spans="1:19" ht="13.5" customHeight="1">
      <c r="A830" s="41"/>
      <c r="B830" s="40" t="s">
        <v>162</v>
      </c>
      <c r="C830" s="19">
        <v>10</v>
      </c>
      <c r="D830" s="75">
        <v>550</v>
      </c>
      <c r="E830" s="75">
        <v>364</v>
      </c>
      <c r="F830" s="75">
        <v>550</v>
      </c>
      <c r="G830" s="75">
        <v>550</v>
      </c>
      <c r="H830" s="75">
        <v>455</v>
      </c>
      <c r="I830" s="329">
        <v>680</v>
      </c>
      <c r="J830" s="75">
        <v>600</v>
      </c>
      <c r="K830" s="72">
        <f t="shared" si="1268"/>
        <v>0</v>
      </c>
      <c r="L830" s="72">
        <f t="shared" si="1269"/>
        <v>600</v>
      </c>
      <c r="M830" s="75">
        <v>200</v>
      </c>
      <c r="N830" s="75">
        <v>160</v>
      </c>
      <c r="O830" s="75">
        <v>150</v>
      </c>
      <c r="P830" s="75">
        <v>90</v>
      </c>
      <c r="Q830" s="73">
        <v>600</v>
      </c>
      <c r="R830" s="73">
        <v>600</v>
      </c>
      <c r="S830" s="73">
        <v>600</v>
      </c>
    </row>
    <row r="831" spans="1:19" ht="14.25" customHeight="1">
      <c r="A831" s="41"/>
      <c r="B831" s="40" t="s">
        <v>886</v>
      </c>
      <c r="C831" s="19">
        <v>20</v>
      </c>
      <c r="D831" s="75">
        <f>150+10</f>
        <v>160</v>
      </c>
      <c r="E831" s="75">
        <v>98</v>
      </c>
      <c r="F831" s="75">
        <v>160</v>
      </c>
      <c r="G831" s="75">
        <v>160</v>
      </c>
      <c r="H831" s="75">
        <v>122</v>
      </c>
      <c r="I831" s="329">
        <v>170</v>
      </c>
      <c r="J831" s="75">
        <v>150</v>
      </c>
      <c r="K831" s="72">
        <f t="shared" si="1268"/>
        <v>0</v>
      </c>
      <c r="L831" s="72">
        <f t="shared" si="1269"/>
        <v>150</v>
      </c>
      <c r="M831" s="75">
        <v>50</v>
      </c>
      <c r="N831" s="75">
        <v>40</v>
      </c>
      <c r="O831" s="75">
        <v>30</v>
      </c>
      <c r="P831" s="75">
        <v>30</v>
      </c>
      <c r="Q831" s="73">
        <v>150</v>
      </c>
      <c r="R831" s="73">
        <v>150</v>
      </c>
      <c r="S831" s="73">
        <v>150</v>
      </c>
    </row>
    <row r="832" spans="1:19" ht="13.5" hidden="1" customHeight="1">
      <c r="A832" s="41"/>
      <c r="B832" s="33" t="s">
        <v>172</v>
      </c>
      <c r="C832" s="19"/>
      <c r="D832" s="76">
        <f t="shared" ref="D832:S832" si="1347">D833</f>
        <v>24</v>
      </c>
      <c r="E832" s="76">
        <f t="shared" si="1347"/>
        <v>2</v>
      </c>
      <c r="F832" s="76">
        <f t="shared" si="1347"/>
        <v>24</v>
      </c>
      <c r="G832" s="76">
        <f t="shared" si="1347"/>
        <v>24</v>
      </c>
      <c r="H832" s="76">
        <f t="shared" si="1347"/>
        <v>23</v>
      </c>
      <c r="I832" s="330">
        <f t="shared" si="1347"/>
        <v>0</v>
      </c>
      <c r="J832" s="76">
        <f t="shared" si="1347"/>
        <v>0</v>
      </c>
      <c r="K832" s="72">
        <f t="shared" si="1268"/>
        <v>0</v>
      </c>
      <c r="L832" s="72">
        <f t="shared" si="1269"/>
        <v>0</v>
      </c>
      <c r="M832" s="76">
        <f t="shared" si="1347"/>
        <v>0</v>
      </c>
      <c r="N832" s="76">
        <f t="shared" si="1347"/>
        <v>0</v>
      </c>
      <c r="O832" s="76">
        <f t="shared" si="1347"/>
        <v>0</v>
      </c>
      <c r="P832" s="76">
        <f t="shared" si="1347"/>
        <v>0</v>
      </c>
      <c r="Q832" s="76">
        <f t="shared" si="1347"/>
        <v>0</v>
      </c>
      <c r="R832" s="76">
        <f t="shared" si="1347"/>
        <v>0</v>
      </c>
      <c r="S832" s="76">
        <f t="shared" si="1347"/>
        <v>0</v>
      </c>
    </row>
    <row r="833" spans="1:19" ht="13.5" hidden="1" customHeight="1">
      <c r="A833" s="41"/>
      <c r="B833" s="40" t="s">
        <v>201</v>
      </c>
      <c r="C833" s="19">
        <v>70</v>
      </c>
      <c r="D833" s="75">
        <v>24</v>
      </c>
      <c r="E833" s="75">
        <v>2</v>
      </c>
      <c r="F833" s="75">
        <v>24</v>
      </c>
      <c r="G833" s="75">
        <v>24</v>
      </c>
      <c r="H833" s="75">
        <v>23</v>
      </c>
      <c r="I833" s="329">
        <v>0</v>
      </c>
      <c r="J833" s="75"/>
      <c r="K833" s="72">
        <f t="shared" si="1268"/>
        <v>0</v>
      </c>
      <c r="L833" s="72">
        <f t="shared" si="1269"/>
        <v>0</v>
      </c>
      <c r="M833" s="75"/>
      <c r="N833" s="75"/>
      <c r="O833" s="75"/>
      <c r="P833" s="75"/>
      <c r="Q833" s="73"/>
      <c r="R833" s="73"/>
      <c r="S833" s="73"/>
    </row>
    <row r="834" spans="1:19" ht="45.75" customHeight="1">
      <c r="A834" s="41" t="s">
        <v>369</v>
      </c>
      <c r="B834" s="57" t="s">
        <v>663</v>
      </c>
      <c r="C834" s="92" t="s">
        <v>363</v>
      </c>
      <c r="D834" s="81">
        <f t="shared" ref="D834:S834" si="1348">D835+D839</f>
        <v>4350</v>
      </c>
      <c r="E834" s="81">
        <f t="shared" si="1348"/>
        <v>3261</v>
      </c>
      <c r="F834" s="81">
        <f t="shared" si="1348"/>
        <v>4350</v>
      </c>
      <c r="G834" s="81">
        <f t="shared" si="1348"/>
        <v>4350</v>
      </c>
      <c r="H834" s="81">
        <f t="shared" si="1348"/>
        <v>4091</v>
      </c>
      <c r="I834" s="339">
        <f t="shared" si="1348"/>
        <v>4831</v>
      </c>
      <c r="J834" s="81">
        <f t="shared" si="1348"/>
        <v>4728</v>
      </c>
      <c r="K834" s="72">
        <f t="shared" si="1268"/>
        <v>0</v>
      </c>
      <c r="L834" s="72">
        <f t="shared" si="1269"/>
        <v>4728</v>
      </c>
      <c r="M834" s="81">
        <f t="shared" ref="M834" si="1349">M835+M839</f>
        <v>1828</v>
      </c>
      <c r="N834" s="81">
        <f t="shared" ref="N834" si="1350">N835+N839</f>
        <v>1000</v>
      </c>
      <c r="O834" s="81">
        <f t="shared" ref="O834:P834" si="1351">O835+O839</f>
        <v>1000</v>
      </c>
      <c r="P834" s="81">
        <f t="shared" si="1351"/>
        <v>900</v>
      </c>
      <c r="Q834" s="81">
        <f t="shared" si="1348"/>
        <v>4700</v>
      </c>
      <c r="R834" s="81">
        <f t="shared" si="1348"/>
        <v>4700</v>
      </c>
      <c r="S834" s="81">
        <f t="shared" si="1348"/>
        <v>4700</v>
      </c>
    </row>
    <row r="835" spans="1:19" ht="13.5" customHeight="1">
      <c r="A835" s="41"/>
      <c r="B835" s="31" t="s">
        <v>160</v>
      </c>
      <c r="C835" s="19"/>
      <c r="D835" s="76">
        <f t="shared" ref="D835:S835" si="1352">D836</f>
        <v>4350</v>
      </c>
      <c r="E835" s="76">
        <f t="shared" si="1352"/>
        <v>3261</v>
      </c>
      <c r="F835" s="76">
        <f t="shared" si="1352"/>
        <v>4350</v>
      </c>
      <c r="G835" s="76">
        <f t="shared" si="1352"/>
        <v>4273</v>
      </c>
      <c r="H835" s="76">
        <f t="shared" si="1352"/>
        <v>4014</v>
      </c>
      <c r="I835" s="330">
        <f t="shared" si="1352"/>
        <v>4831</v>
      </c>
      <c r="J835" s="76">
        <f t="shared" si="1352"/>
        <v>4700</v>
      </c>
      <c r="K835" s="72">
        <f t="shared" si="1268"/>
        <v>0</v>
      </c>
      <c r="L835" s="72">
        <f t="shared" si="1269"/>
        <v>4700</v>
      </c>
      <c r="M835" s="76">
        <f t="shared" si="1352"/>
        <v>1800</v>
      </c>
      <c r="N835" s="76">
        <f t="shared" si="1352"/>
        <v>1000</v>
      </c>
      <c r="O835" s="76">
        <f t="shared" si="1352"/>
        <v>1000</v>
      </c>
      <c r="P835" s="76">
        <f t="shared" si="1352"/>
        <v>900</v>
      </c>
      <c r="Q835" s="76">
        <f t="shared" si="1352"/>
        <v>4700</v>
      </c>
      <c r="R835" s="76">
        <f t="shared" si="1352"/>
        <v>4700</v>
      </c>
      <c r="S835" s="76">
        <f t="shared" si="1352"/>
        <v>4700</v>
      </c>
    </row>
    <row r="836" spans="1:19" ht="13.5" customHeight="1">
      <c r="A836" s="41"/>
      <c r="B836" s="40" t="s">
        <v>161</v>
      </c>
      <c r="C836" s="19">
        <v>1</v>
      </c>
      <c r="D836" s="76">
        <f t="shared" ref="D836:S836" si="1353">D837+D838</f>
        <v>4350</v>
      </c>
      <c r="E836" s="76">
        <f t="shared" si="1353"/>
        <v>3261</v>
      </c>
      <c r="F836" s="76">
        <f t="shared" si="1353"/>
        <v>4350</v>
      </c>
      <c r="G836" s="76">
        <f t="shared" si="1353"/>
        <v>4273</v>
      </c>
      <c r="H836" s="76">
        <f t="shared" si="1353"/>
        <v>4014</v>
      </c>
      <c r="I836" s="330">
        <f t="shared" si="1353"/>
        <v>4831</v>
      </c>
      <c r="J836" s="76">
        <f t="shared" si="1353"/>
        <v>4700</v>
      </c>
      <c r="K836" s="72">
        <f t="shared" si="1268"/>
        <v>0</v>
      </c>
      <c r="L836" s="72">
        <f t="shared" si="1269"/>
        <v>4700</v>
      </c>
      <c r="M836" s="76">
        <f t="shared" ref="M836" si="1354">M837+M838</f>
        <v>1800</v>
      </c>
      <c r="N836" s="76">
        <f t="shared" ref="N836" si="1355">N837+N838</f>
        <v>1000</v>
      </c>
      <c r="O836" s="76">
        <f t="shared" ref="O836:P836" si="1356">O837+O838</f>
        <v>1000</v>
      </c>
      <c r="P836" s="76">
        <f t="shared" si="1356"/>
        <v>900</v>
      </c>
      <c r="Q836" s="76">
        <f t="shared" si="1353"/>
        <v>4700</v>
      </c>
      <c r="R836" s="76">
        <f t="shared" si="1353"/>
        <v>4700</v>
      </c>
      <c r="S836" s="76">
        <f t="shared" si="1353"/>
        <v>4700</v>
      </c>
    </row>
    <row r="837" spans="1:19" ht="13.5" customHeight="1">
      <c r="A837" s="41"/>
      <c r="B837" s="40" t="s">
        <v>162</v>
      </c>
      <c r="C837" s="19">
        <v>10</v>
      </c>
      <c r="D837" s="75">
        <v>3500</v>
      </c>
      <c r="E837" s="75">
        <v>2724</v>
      </c>
      <c r="F837" s="75">
        <v>3500</v>
      </c>
      <c r="G837" s="75">
        <v>3362</v>
      </c>
      <c r="H837" s="75">
        <v>3251</v>
      </c>
      <c r="I837" s="329">
        <v>3852</v>
      </c>
      <c r="J837" s="75">
        <v>3850</v>
      </c>
      <c r="K837" s="72">
        <f t="shared" si="1268"/>
        <v>0</v>
      </c>
      <c r="L837" s="72">
        <f t="shared" si="1269"/>
        <v>3850</v>
      </c>
      <c r="M837" s="75">
        <v>1500</v>
      </c>
      <c r="N837" s="75">
        <v>800</v>
      </c>
      <c r="O837" s="75">
        <v>800</v>
      </c>
      <c r="P837" s="75">
        <v>750</v>
      </c>
      <c r="Q837" s="73">
        <v>3850</v>
      </c>
      <c r="R837" s="73">
        <v>3850</v>
      </c>
      <c r="S837" s="73">
        <v>3850</v>
      </c>
    </row>
    <row r="838" spans="1:19" ht="12.75" customHeight="1">
      <c r="A838" s="41"/>
      <c r="B838" s="40" t="s">
        <v>886</v>
      </c>
      <c r="C838" s="19">
        <v>20</v>
      </c>
      <c r="D838" s="75">
        <f>750+100</f>
        <v>850</v>
      </c>
      <c r="E838" s="75">
        <v>537</v>
      </c>
      <c r="F838" s="75">
        <v>850</v>
      </c>
      <c r="G838" s="75">
        <v>911</v>
      </c>
      <c r="H838" s="75">
        <v>763</v>
      </c>
      <c r="I838" s="329">
        <v>979</v>
      </c>
      <c r="J838" s="75">
        <v>850</v>
      </c>
      <c r="K838" s="72">
        <f t="shared" si="1268"/>
        <v>0</v>
      </c>
      <c r="L838" s="72">
        <f t="shared" si="1269"/>
        <v>850</v>
      </c>
      <c r="M838" s="75">
        <v>300</v>
      </c>
      <c r="N838" s="75">
        <v>200</v>
      </c>
      <c r="O838" s="75">
        <v>200</v>
      </c>
      <c r="P838" s="75">
        <v>150</v>
      </c>
      <c r="Q838" s="73">
        <v>850</v>
      </c>
      <c r="R838" s="73">
        <v>850</v>
      </c>
      <c r="S838" s="73">
        <v>850</v>
      </c>
    </row>
    <row r="839" spans="1:19" ht="12.75" customHeight="1">
      <c r="A839" s="41"/>
      <c r="B839" s="33" t="s">
        <v>172</v>
      </c>
      <c r="C839" s="19"/>
      <c r="D839" s="76">
        <f t="shared" ref="D839:S839" si="1357">D840</f>
        <v>0</v>
      </c>
      <c r="E839" s="76">
        <f t="shared" si="1357"/>
        <v>0</v>
      </c>
      <c r="F839" s="76">
        <f t="shared" si="1357"/>
        <v>0</v>
      </c>
      <c r="G839" s="76">
        <f t="shared" si="1357"/>
        <v>77</v>
      </c>
      <c r="H839" s="76">
        <f t="shared" si="1357"/>
        <v>77</v>
      </c>
      <c r="I839" s="330">
        <f t="shared" si="1357"/>
        <v>0</v>
      </c>
      <c r="J839" s="76">
        <f t="shared" si="1357"/>
        <v>28</v>
      </c>
      <c r="K839" s="72">
        <f t="shared" si="1268"/>
        <v>0</v>
      </c>
      <c r="L839" s="72">
        <f t="shared" si="1269"/>
        <v>28</v>
      </c>
      <c r="M839" s="76">
        <f t="shared" si="1357"/>
        <v>28</v>
      </c>
      <c r="N839" s="76">
        <f t="shared" si="1357"/>
        <v>0</v>
      </c>
      <c r="O839" s="76">
        <f t="shared" si="1357"/>
        <v>0</v>
      </c>
      <c r="P839" s="76">
        <f t="shared" si="1357"/>
        <v>0</v>
      </c>
      <c r="Q839" s="76">
        <f t="shared" si="1357"/>
        <v>0</v>
      </c>
      <c r="R839" s="76">
        <f t="shared" si="1357"/>
        <v>0</v>
      </c>
      <c r="S839" s="76">
        <f t="shared" si="1357"/>
        <v>0</v>
      </c>
    </row>
    <row r="840" spans="1:19" ht="12.75" customHeight="1">
      <c r="A840" s="41"/>
      <c r="B840" s="40" t="s">
        <v>201</v>
      </c>
      <c r="C840" s="19">
        <v>70</v>
      </c>
      <c r="D840" s="75"/>
      <c r="E840" s="75"/>
      <c r="F840" s="75"/>
      <c r="G840" s="75">
        <v>77</v>
      </c>
      <c r="H840" s="75">
        <v>77</v>
      </c>
      <c r="I840" s="329">
        <v>0</v>
      </c>
      <c r="J840" s="75">
        <v>28</v>
      </c>
      <c r="K840" s="72">
        <f t="shared" si="1268"/>
        <v>0</v>
      </c>
      <c r="L840" s="72">
        <f t="shared" si="1269"/>
        <v>28</v>
      </c>
      <c r="M840" s="75">
        <v>28</v>
      </c>
      <c r="N840" s="75"/>
      <c r="O840" s="75"/>
      <c r="P840" s="75"/>
      <c r="Q840" s="73"/>
      <c r="R840" s="73"/>
      <c r="S840" s="73"/>
    </row>
    <row r="841" spans="1:19" ht="30" customHeight="1">
      <c r="A841" s="41" t="s">
        <v>453</v>
      </c>
      <c r="B841" s="57" t="s">
        <v>365</v>
      </c>
      <c r="C841" s="19" t="s">
        <v>366</v>
      </c>
      <c r="D841" s="81">
        <f t="shared" ref="D841:S841" si="1358">D842+D846</f>
        <v>5900</v>
      </c>
      <c r="E841" s="81">
        <f t="shared" si="1358"/>
        <v>4532</v>
      </c>
      <c r="F841" s="81">
        <f t="shared" si="1358"/>
        <v>5983</v>
      </c>
      <c r="G841" s="81">
        <f t="shared" si="1358"/>
        <v>5983</v>
      </c>
      <c r="H841" s="81">
        <f t="shared" si="1358"/>
        <v>5240</v>
      </c>
      <c r="I841" s="339">
        <f t="shared" si="1358"/>
        <v>6606</v>
      </c>
      <c r="J841" s="81">
        <f t="shared" si="1358"/>
        <v>6406</v>
      </c>
      <c r="K841" s="72">
        <f t="shared" si="1268"/>
        <v>0</v>
      </c>
      <c r="L841" s="72">
        <f t="shared" si="1269"/>
        <v>6406</v>
      </c>
      <c r="M841" s="81">
        <f t="shared" ref="M841" si="1359">M842+M846</f>
        <v>2056</v>
      </c>
      <c r="N841" s="81">
        <f t="shared" ref="N841" si="1360">N842+N846</f>
        <v>1450</v>
      </c>
      <c r="O841" s="81">
        <f t="shared" ref="O841:P841" si="1361">O842+O846</f>
        <v>1400</v>
      </c>
      <c r="P841" s="81">
        <f t="shared" si="1361"/>
        <v>1500</v>
      </c>
      <c r="Q841" s="81">
        <f t="shared" si="1358"/>
        <v>5400</v>
      </c>
      <c r="R841" s="81">
        <f t="shared" si="1358"/>
        <v>5400</v>
      </c>
      <c r="S841" s="81">
        <f t="shared" si="1358"/>
        <v>5400</v>
      </c>
    </row>
    <row r="842" spans="1:19" ht="14.25">
      <c r="A842" s="41"/>
      <c r="B842" s="31" t="s">
        <v>160</v>
      </c>
      <c r="C842" s="19"/>
      <c r="D842" s="81">
        <f t="shared" ref="D842:S842" si="1362">D843</f>
        <v>5900</v>
      </c>
      <c r="E842" s="81">
        <f t="shared" si="1362"/>
        <v>4461</v>
      </c>
      <c r="F842" s="81">
        <f t="shared" si="1362"/>
        <v>5900</v>
      </c>
      <c r="G842" s="81">
        <f t="shared" si="1362"/>
        <v>5807</v>
      </c>
      <c r="H842" s="81">
        <f t="shared" si="1362"/>
        <v>5064</v>
      </c>
      <c r="I842" s="339">
        <f t="shared" si="1362"/>
        <v>6600</v>
      </c>
      <c r="J842" s="81">
        <f t="shared" si="1362"/>
        <v>6400</v>
      </c>
      <c r="K842" s="72">
        <f t="shared" si="1268"/>
        <v>0</v>
      </c>
      <c r="L842" s="72">
        <f t="shared" si="1269"/>
        <v>6400</v>
      </c>
      <c r="M842" s="81">
        <f t="shared" si="1362"/>
        <v>2050</v>
      </c>
      <c r="N842" s="81">
        <f t="shared" si="1362"/>
        <v>1450</v>
      </c>
      <c r="O842" s="81">
        <f t="shared" si="1362"/>
        <v>1400</v>
      </c>
      <c r="P842" s="81">
        <f t="shared" si="1362"/>
        <v>1500</v>
      </c>
      <c r="Q842" s="81">
        <f t="shared" si="1362"/>
        <v>5400</v>
      </c>
      <c r="R842" s="81">
        <f t="shared" si="1362"/>
        <v>5400</v>
      </c>
      <c r="S842" s="81">
        <f t="shared" si="1362"/>
        <v>5400</v>
      </c>
    </row>
    <row r="843" spans="1:19" ht="15">
      <c r="A843" s="41"/>
      <c r="B843" s="40" t="s">
        <v>161</v>
      </c>
      <c r="C843" s="19">
        <v>1</v>
      </c>
      <c r="D843" s="76">
        <f t="shared" ref="D843:S843" si="1363">D844+D845</f>
        <v>5900</v>
      </c>
      <c r="E843" s="76">
        <f t="shared" si="1363"/>
        <v>4461</v>
      </c>
      <c r="F843" s="76">
        <f t="shared" si="1363"/>
        <v>5900</v>
      </c>
      <c r="G843" s="76">
        <f t="shared" si="1363"/>
        <v>5807</v>
      </c>
      <c r="H843" s="76">
        <f t="shared" si="1363"/>
        <v>5064</v>
      </c>
      <c r="I843" s="330">
        <f t="shared" si="1363"/>
        <v>6600</v>
      </c>
      <c r="J843" s="76">
        <f t="shared" si="1363"/>
        <v>6400</v>
      </c>
      <c r="K843" s="72">
        <f t="shared" si="1268"/>
        <v>0</v>
      </c>
      <c r="L843" s="72">
        <f t="shared" si="1269"/>
        <v>6400</v>
      </c>
      <c r="M843" s="76">
        <f t="shared" ref="M843" si="1364">M844+M845</f>
        <v>2050</v>
      </c>
      <c r="N843" s="76">
        <f t="shared" ref="N843" si="1365">N844+N845</f>
        <v>1450</v>
      </c>
      <c r="O843" s="76">
        <f t="shared" ref="O843:P843" si="1366">O844+O845</f>
        <v>1400</v>
      </c>
      <c r="P843" s="76">
        <f t="shared" si="1366"/>
        <v>1500</v>
      </c>
      <c r="Q843" s="76">
        <f t="shared" si="1363"/>
        <v>5400</v>
      </c>
      <c r="R843" s="76">
        <f t="shared" si="1363"/>
        <v>5400</v>
      </c>
      <c r="S843" s="76">
        <f t="shared" si="1363"/>
        <v>5400</v>
      </c>
    </row>
    <row r="844" spans="1:19" ht="15">
      <c r="A844" s="41"/>
      <c r="B844" s="40" t="s">
        <v>162</v>
      </c>
      <c r="C844" s="19">
        <v>10</v>
      </c>
      <c r="D844" s="75">
        <v>4800</v>
      </c>
      <c r="E844" s="75">
        <v>3719</v>
      </c>
      <c r="F844" s="75">
        <v>4800</v>
      </c>
      <c r="G844" s="75">
        <v>4693</v>
      </c>
      <c r="H844" s="75">
        <v>4230</v>
      </c>
      <c r="I844" s="329">
        <v>5500</v>
      </c>
      <c r="J844" s="75">
        <v>5400</v>
      </c>
      <c r="K844" s="72">
        <f t="shared" ref="K844:K907" si="1367">J844-L844</f>
        <v>0</v>
      </c>
      <c r="L844" s="72">
        <f t="shared" ref="L844:L907" si="1368">M844+N844+O844+P844</f>
        <v>5400</v>
      </c>
      <c r="M844" s="75">
        <v>1700</v>
      </c>
      <c r="N844" s="75">
        <v>1200</v>
      </c>
      <c r="O844" s="75">
        <v>1200</v>
      </c>
      <c r="P844" s="75">
        <v>1300</v>
      </c>
      <c r="Q844" s="73">
        <v>4400</v>
      </c>
      <c r="R844" s="73">
        <v>4400</v>
      </c>
      <c r="S844" s="73">
        <v>4400</v>
      </c>
    </row>
    <row r="845" spans="1:19" ht="16.5" customHeight="1">
      <c r="A845" s="41"/>
      <c r="B845" s="40" t="s">
        <v>886</v>
      </c>
      <c r="C845" s="19">
        <v>20</v>
      </c>
      <c r="D845" s="75">
        <f>950+150</f>
        <v>1100</v>
      </c>
      <c r="E845" s="75">
        <v>742</v>
      </c>
      <c r="F845" s="75">
        <v>1100</v>
      </c>
      <c r="G845" s="75">
        <v>1114</v>
      </c>
      <c r="H845" s="75">
        <v>834</v>
      </c>
      <c r="I845" s="329">
        <v>1100</v>
      </c>
      <c r="J845" s="75">
        <v>1000</v>
      </c>
      <c r="K845" s="72">
        <f t="shared" si="1367"/>
        <v>0</v>
      </c>
      <c r="L845" s="72">
        <f t="shared" si="1368"/>
        <v>1000</v>
      </c>
      <c r="M845" s="75">
        <v>350</v>
      </c>
      <c r="N845" s="75">
        <v>250</v>
      </c>
      <c r="O845" s="75">
        <v>200</v>
      </c>
      <c r="P845" s="75">
        <v>200</v>
      </c>
      <c r="Q845" s="73">
        <v>1000</v>
      </c>
      <c r="R845" s="73">
        <v>1000</v>
      </c>
      <c r="S845" s="73">
        <v>1000</v>
      </c>
    </row>
    <row r="846" spans="1:19" ht="0.75" customHeight="1">
      <c r="A846" s="41"/>
      <c r="B846" s="33" t="s">
        <v>172</v>
      </c>
      <c r="C846" s="19"/>
      <c r="D846" s="76">
        <f t="shared" ref="D846:S846" si="1369">D847</f>
        <v>0</v>
      </c>
      <c r="E846" s="76">
        <f t="shared" si="1369"/>
        <v>71</v>
      </c>
      <c r="F846" s="76">
        <f t="shared" si="1369"/>
        <v>83</v>
      </c>
      <c r="G846" s="76">
        <f t="shared" si="1369"/>
        <v>176</v>
      </c>
      <c r="H846" s="76">
        <f t="shared" si="1369"/>
        <v>176</v>
      </c>
      <c r="I846" s="330">
        <f t="shared" si="1369"/>
        <v>6</v>
      </c>
      <c r="J846" s="76">
        <f t="shared" si="1369"/>
        <v>6</v>
      </c>
      <c r="K846" s="72">
        <f t="shared" si="1367"/>
        <v>0</v>
      </c>
      <c r="L846" s="72">
        <f t="shared" si="1368"/>
        <v>6</v>
      </c>
      <c r="M846" s="76">
        <f t="shared" si="1369"/>
        <v>6</v>
      </c>
      <c r="N846" s="76">
        <f t="shared" si="1369"/>
        <v>0</v>
      </c>
      <c r="O846" s="76">
        <f t="shared" si="1369"/>
        <v>0</v>
      </c>
      <c r="P846" s="76">
        <f t="shared" si="1369"/>
        <v>0</v>
      </c>
      <c r="Q846" s="76">
        <f t="shared" si="1369"/>
        <v>0</v>
      </c>
      <c r="R846" s="76">
        <f t="shared" si="1369"/>
        <v>0</v>
      </c>
      <c r="S846" s="76">
        <f t="shared" si="1369"/>
        <v>0</v>
      </c>
    </row>
    <row r="847" spans="1:19" ht="18.75" customHeight="1">
      <c r="A847" s="41"/>
      <c r="B847" s="40" t="s">
        <v>201</v>
      </c>
      <c r="C847" s="19">
        <v>70</v>
      </c>
      <c r="D847" s="75"/>
      <c r="E847" s="75">
        <v>71</v>
      </c>
      <c r="F847" s="75">
        <v>83</v>
      </c>
      <c r="G847" s="75">
        <v>176</v>
      </c>
      <c r="H847" s="75">
        <v>176</v>
      </c>
      <c r="I847" s="329">
        <v>6</v>
      </c>
      <c r="J847" s="75">
        <v>6</v>
      </c>
      <c r="K847" s="72">
        <f t="shared" si="1367"/>
        <v>0</v>
      </c>
      <c r="L847" s="72">
        <f t="shared" si="1368"/>
        <v>6</v>
      </c>
      <c r="M847" s="75">
        <v>6</v>
      </c>
      <c r="N847" s="75"/>
      <c r="O847" s="75"/>
      <c r="P847" s="75"/>
      <c r="Q847" s="73"/>
      <c r="R847" s="73"/>
      <c r="S847" s="73"/>
    </row>
    <row r="848" spans="1:19" ht="15" hidden="1" customHeight="1">
      <c r="A848" s="41" t="s">
        <v>453</v>
      </c>
      <c r="B848" s="33" t="s">
        <v>367</v>
      </c>
      <c r="C848" s="19" t="s">
        <v>368</v>
      </c>
      <c r="D848" s="83">
        <f t="shared" ref="D848:D849" si="1370">D849</f>
        <v>0</v>
      </c>
      <c r="E848" s="83"/>
      <c r="F848" s="83"/>
      <c r="G848" s="83"/>
      <c r="H848" s="83"/>
      <c r="I848" s="340"/>
      <c r="J848" s="83"/>
      <c r="K848" s="72">
        <f t="shared" si="1367"/>
        <v>0</v>
      </c>
      <c r="L848" s="72">
        <f t="shared" si="1368"/>
        <v>0</v>
      </c>
      <c r="M848" s="83"/>
      <c r="N848" s="83"/>
      <c r="O848" s="83"/>
      <c r="P848" s="83"/>
      <c r="Q848" s="73"/>
      <c r="R848" s="73"/>
      <c r="S848" s="73"/>
    </row>
    <row r="849" spans="1:19" ht="12.75" hidden="1" customHeight="1">
      <c r="A849" s="41"/>
      <c r="B849" s="31" t="s">
        <v>160</v>
      </c>
      <c r="C849" s="19"/>
      <c r="D849" s="83">
        <f t="shared" si="1370"/>
        <v>0</v>
      </c>
      <c r="E849" s="83"/>
      <c r="F849" s="83"/>
      <c r="G849" s="83"/>
      <c r="H849" s="83"/>
      <c r="I849" s="340"/>
      <c r="J849" s="83"/>
      <c r="K849" s="72">
        <f t="shared" si="1367"/>
        <v>0</v>
      </c>
      <c r="L849" s="72">
        <f t="shared" si="1368"/>
        <v>0</v>
      </c>
      <c r="M849" s="83"/>
      <c r="N849" s="83"/>
      <c r="O849" s="83"/>
      <c r="P849" s="83"/>
      <c r="Q849" s="73"/>
      <c r="R849" s="73"/>
      <c r="S849" s="73"/>
    </row>
    <row r="850" spans="1:19" ht="12.75" hidden="1" customHeight="1">
      <c r="A850" s="41"/>
      <c r="B850" s="40" t="s">
        <v>161</v>
      </c>
      <c r="C850" s="19">
        <v>1</v>
      </c>
      <c r="D850" s="75">
        <f>D851+D852</f>
        <v>0</v>
      </c>
      <c r="E850" s="75"/>
      <c r="F850" s="75"/>
      <c r="G850" s="75"/>
      <c r="H850" s="75"/>
      <c r="I850" s="329"/>
      <c r="J850" s="75"/>
      <c r="K850" s="72">
        <f t="shared" si="1367"/>
        <v>0</v>
      </c>
      <c r="L850" s="72">
        <f t="shared" si="1368"/>
        <v>0</v>
      </c>
      <c r="M850" s="75"/>
      <c r="N850" s="75"/>
      <c r="O850" s="75"/>
      <c r="P850" s="75"/>
      <c r="Q850" s="73"/>
      <c r="R850" s="73"/>
      <c r="S850" s="73"/>
    </row>
    <row r="851" spans="1:19" ht="12.75" hidden="1" customHeight="1">
      <c r="A851" s="41"/>
      <c r="B851" s="40" t="s">
        <v>162</v>
      </c>
      <c r="C851" s="19">
        <v>10</v>
      </c>
      <c r="D851" s="75"/>
      <c r="E851" s="75"/>
      <c r="F851" s="75"/>
      <c r="G851" s="75"/>
      <c r="H851" s="75"/>
      <c r="I851" s="329"/>
      <c r="J851" s="75"/>
      <c r="K851" s="72">
        <f t="shared" si="1367"/>
        <v>0</v>
      </c>
      <c r="L851" s="72">
        <f t="shared" si="1368"/>
        <v>0</v>
      </c>
      <c r="M851" s="75"/>
      <c r="N851" s="75"/>
      <c r="O851" s="75"/>
      <c r="P851" s="75"/>
      <c r="Q851" s="73"/>
      <c r="R851" s="73"/>
      <c r="S851" s="73"/>
    </row>
    <row r="852" spans="1:19" ht="9" hidden="1" customHeight="1">
      <c r="A852" s="41"/>
      <c r="B852" s="40" t="s">
        <v>163</v>
      </c>
      <c r="C852" s="19">
        <v>20</v>
      </c>
      <c r="D852" s="75"/>
      <c r="E852" s="75"/>
      <c r="F852" s="75"/>
      <c r="G852" s="75"/>
      <c r="H852" s="75"/>
      <c r="I852" s="329"/>
      <c r="J852" s="75"/>
      <c r="K852" s="72">
        <f t="shared" si="1367"/>
        <v>0</v>
      </c>
      <c r="L852" s="72">
        <f t="shared" si="1368"/>
        <v>0</v>
      </c>
      <c r="M852" s="75"/>
      <c r="N852" s="75"/>
      <c r="O852" s="75"/>
      <c r="P852" s="75"/>
      <c r="Q852" s="73"/>
      <c r="R852" s="73"/>
      <c r="S852" s="73"/>
    </row>
    <row r="853" spans="1:19" ht="28.5" customHeight="1">
      <c r="A853" s="41" t="s">
        <v>454</v>
      </c>
      <c r="B853" s="57" t="s">
        <v>575</v>
      </c>
      <c r="C853" s="19" t="s">
        <v>368</v>
      </c>
      <c r="D853" s="81">
        <f t="shared" ref="D853:S853" si="1371">D854+D858</f>
        <v>2167</v>
      </c>
      <c r="E853" s="81">
        <f t="shared" si="1371"/>
        <v>1508</v>
      </c>
      <c r="F853" s="81">
        <f t="shared" si="1371"/>
        <v>2167</v>
      </c>
      <c r="G853" s="81">
        <f t="shared" si="1371"/>
        <v>2167</v>
      </c>
      <c r="H853" s="81">
        <f t="shared" si="1371"/>
        <v>1807</v>
      </c>
      <c r="I853" s="339">
        <f t="shared" si="1371"/>
        <v>2132.02</v>
      </c>
      <c r="J853" s="81">
        <f t="shared" si="1371"/>
        <v>2300</v>
      </c>
      <c r="K853" s="72">
        <f t="shared" si="1367"/>
        <v>0</v>
      </c>
      <c r="L853" s="72">
        <f t="shared" si="1368"/>
        <v>2300</v>
      </c>
      <c r="M853" s="81">
        <f t="shared" ref="M853" si="1372">M854+M858</f>
        <v>1000</v>
      </c>
      <c r="N853" s="81">
        <f t="shared" ref="N853" si="1373">N854+N858</f>
        <v>530</v>
      </c>
      <c r="O853" s="81">
        <f t="shared" ref="O853:P853" si="1374">O854+O858</f>
        <v>420</v>
      </c>
      <c r="P853" s="81">
        <f t="shared" si="1374"/>
        <v>350</v>
      </c>
      <c r="Q853" s="81">
        <f t="shared" si="1371"/>
        <v>2300</v>
      </c>
      <c r="R853" s="81">
        <f t="shared" si="1371"/>
        <v>2300</v>
      </c>
      <c r="S853" s="81">
        <f t="shared" si="1371"/>
        <v>2300</v>
      </c>
    </row>
    <row r="854" spans="1:19" ht="12.75" customHeight="1">
      <c r="A854" s="41"/>
      <c r="B854" s="31" t="s">
        <v>160</v>
      </c>
      <c r="C854" s="19"/>
      <c r="D854" s="76">
        <f t="shared" ref="D854:S854" si="1375">D855</f>
        <v>2130</v>
      </c>
      <c r="E854" s="76">
        <f t="shared" si="1375"/>
        <v>1438</v>
      </c>
      <c r="F854" s="76">
        <f t="shared" si="1375"/>
        <v>2130</v>
      </c>
      <c r="G854" s="76">
        <f t="shared" si="1375"/>
        <v>2130</v>
      </c>
      <c r="H854" s="76">
        <f t="shared" si="1375"/>
        <v>1778</v>
      </c>
      <c r="I854" s="330">
        <f t="shared" si="1375"/>
        <v>2125</v>
      </c>
      <c r="J854" s="76">
        <f t="shared" si="1375"/>
        <v>2300</v>
      </c>
      <c r="K854" s="72">
        <f t="shared" si="1367"/>
        <v>0</v>
      </c>
      <c r="L854" s="72">
        <f t="shared" si="1368"/>
        <v>2300</v>
      </c>
      <c r="M854" s="76">
        <f t="shared" si="1375"/>
        <v>1000</v>
      </c>
      <c r="N854" s="76">
        <f t="shared" si="1375"/>
        <v>530</v>
      </c>
      <c r="O854" s="76">
        <f t="shared" si="1375"/>
        <v>420</v>
      </c>
      <c r="P854" s="76">
        <f t="shared" si="1375"/>
        <v>350</v>
      </c>
      <c r="Q854" s="76">
        <f t="shared" si="1375"/>
        <v>2300</v>
      </c>
      <c r="R854" s="76">
        <f t="shared" si="1375"/>
        <v>2300</v>
      </c>
      <c r="S854" s="76">
        <f t="shared" si="1375"/>
        <v>2300</v>
      </c>
    </row>
    <row r="855" spans="1:19" ht="12.75" customHeight="1">
      <c r="A855" s="41"/>
      <c r="B855" s="40" t="s">
        <v>161</v>
      </c>
      <c r="C855" s="19">
        <v>1</v>
      </c>
      <c r="D855" s="76">
        <f t="shared" ref="D855:S855" si="1376">D856+D857</f>
        <v>2130</v>
      </c>
      <c r="E855" s="76">
        <f t="shared" si="1376"/>
        <v>1438</v>
      </c>
      <c r="F855" s="76">
        <f t="shared" si="1376"/>
        <v>2130</v>
      </c>
      <c r="G855" s="76">
        <f t="shared" si="1376"/>
        <v>2130</v>
      </c>
      <c r="H855" s="76">
        <f t="shared" si="1376"/>
        <v>1778</v>
      </c>
      <c r="I855" s="330">
        <f t="shared" si="1376"/>
        <v>2125</v>
      </c>
      <c r="J855" s="76">
        <f t="shared" si="1376"/>
        <v>2300</v>
      </c>
      <c r="K855" s="72">
        <f t="shared" si="1367"/>
        <v>0</v>
      </c>
      <c r="L855" s="72">
        <f t="shared" si="1368"/>
        <v>2300</v>
      </c>
      <c r="M855" s="76">
        <f t="shared" ref="M855" si="1377">M856+M857</f>
        <v>1000</v>
      </c>
      <c r="N855" s="76">
        <f t="shared" ref="N855" si="1378">N856+N857</f>
        <v>530</v>
      </c>
      <c r="O855" s="76">
        <f t="shared" ref="O855:P855" si="1379">O856+O857</f>
        <v>420</v>
      </c>
      <c r="P855" s="76">
        <f t="shared" si="1379"/>
        <v>350</v>
      </c>
      <c r="Q855" s="76">
        <f t="shared" si="1376"/>
        <v>2300</v>
      </c>
      <c r="R855" s="76">
        <f t="shared" si="1376"/>
        <v>2300</v>
      </c>
      <c r="S855" s="76">
        <f t="shared" si="1376"/>
        <v>2300</v>
      </c>
    </row>
    <row r="856" spans="1:19" ht="12.75" customHeight="1">
      <c r="A856" s="41"/>
      <c r="B856" s="40" t="s">
        <v>162</v>
      </c>
      <c r="C856" s="19">
        <v>10</v>
      </c>
      <c r="D856" s="75">
        <v>1630</v>
      </c>
      <c r="E856" s="75">
        <v>1057</v>
      </c>
      <c r="F856" s="75">
        <v>1630</v>
      </c>
      <c r="G856" s="75">
        <v>1630</v>
      </c>
      <c r="H856" s="75">
        <v>1342</v>
      </c>
      <c r="I856" s="329">
        <v>1530</v>
      </c>
      <c r="J856" s="75">
        <v>1800</v>
      </c>
      <c r="K856" s="72">
        <f t="shared" si="1367"/>
        <v>0</v>
      </c>
      <c r="L856" s="72">
        <f t="shared" si="1368"/>
        <v>1800</v>
      </c>
      <c r="M856" s="75">
        <v>800</v>
      </c>
      <c r="N856" s="75">
        <v>400</v>
      </c>
      <c r="O856" s="75">
        <v>300</v>
      </c>
      <c r="P856" s="75">
        <v>300</v>
      </c>
      <c r="Q856" s="73">
        <v>1800</v>
      </c>
      <c r="R856" s="73">
        <v>1800</v>
      </c>
      <c r="S856" s="73">
        <v>1800</v>
      </c>
    </row>
    <row r="857" spans="1:19" ht="16.5" customHeight="1">
      <c r="A857" s="41"/>
      <c r="B857" s="40" t="s">
        <v>886</v>
      </c>
      <c r="C857" s="19">
        <v>20</v>
      </c>
      <c r="D857" s="75">
        <f>475+25</f>
        <v>500</v>
      </c>
      <c r="E857" s="75">
        <v>381</v>
      </c>
      <c r="F857" s="75">
        <v>500</v>
      </c>
      <c r="G857" s="75">
        <v>500</v>
      </c>
      <c r="H857" s="75">
        <v>436</v>
      </c>
      <c r="I857" s="329">
        <v>595</v>
      </c>
      <c r="J857" s="75">
        <v>500</v>
      </c>
      <c r="K857" s="72">
        <f t="shared" si="1367"/>
        <v>0</v>
      </c>
      <c r="L857" s="72">
        <f t="shared" si="1368"/>
        <v>500</v>
      </c>
      <c r="M857" s="75">
        <v>200</v>
      </c>
      <c r="N857" s="75">
        <v>130</v>
      </c>
      <c r="O857" s="75">
        <v>120</v>
      </c>
      <c r="P857" s="75">
        <v>50</v>
      </c>
      <c r="Q857" s="73">
        <v>500</v>
      </c>
      <c r="R857" s="73">
        <v>500</v>
      </c>
      <c r="S857" s="73">
        <v>500</v>
      </c>
    </row>
    <row r="858" spans="1:19" ht="0.75" customHeight="1">
      <c r="A858" s="41"/>
      <c r="B858" s="33" t="s">
        <v>172</v>
      </c>
      <c r="C858" s="19"/>
      <c r="D858" s="76">
        <f t="shared" ref="D858:S858" si="1380">D859</f>
        <v>37</v>
      </c>
      <c r="E858" s="76">
        <f t="shared" si="1380"/>
        <v>70</v>
      </c>
      <c r="F858" s="76">
        <f t="shared" si="1380"/>
        <v>37</v>
      </c>
      <c r="G858" s="76">
        <f t="shared" si="1380"/>
        <v>37</v>
      </c>
      <c r="H858" s="76">
        <f t="shared" si="1380"/>
        <v>29</v>
      </c>
      <c r="I858" s="330">
        <f t="shared" si="1380"/>
        <v>7.02</v>
      </c>
      <c r="J858" s="76">
        <f t="shared" si="1380"/>
        <v>0</v>
      </c>
      <c r="K858" s="72">
        <f t="shared" si="1367"/>
        <v>0</v>
      </c>
      <c r="L858" s="72">
        <f t="shared" si="1368"/>
        <v>0</v>
      </c>
      <c r="M858" s="76">
        <f t="shared" si="1380"/>
        <v>0</v>
      </c>
      <c r="N858" s="76">
        <f t="shared" si="1380"/>
        <v>0</v>
      </c>
      <c r="O858" s="76">
        <f t="shared" si="1380"/>
        <v>0</v>
      </c>
      <c r="P858" s="76">
        <f t="shared" si="1380"/>
        <v>0</v>
      </c>
      <c r="Q858" s="76">
        <f t="shared" si="1380"/>
        <v>0</v>
      </c>
      <c r="R858" s="76">
        <f t="shared" si="1380"/>
        <v>0</v>
      </c>
      <c r="S858" s="76">
        <f t="shared" si="1380"/>
        <v>0</v>
      </c>
    </row>
    <row r="859" spans="1:19" ht="16.5" hidden="1" customHeight="1">
      <c r="A859" s="41"/>
      <c r="B859" s="40" t="s">
        <v>201</v>
      </c>
      <c r="C859" s="19">
        <v>70</v>
      </c>
      <c r="D859" s="75">
        <v>37</v>
      </c>
      <c r="E859" s="75">
        <v>70</v>
      </c>
      <c r="F859" s="75">
        <v>37</v>
      </c>
      <c r="G859" s="75">
        <v>37</v>
      </c>
      <c r="H859" s="75">
        <v>29</v>
      </c>
      <c r="I859" s="329">
        <v>7.02</v>
      </c>
      <c r="J859" s="75"/>
      <c r="K859" s="72">
        <f t="shared" si="1367"/>
        <v>0</v>
      </c>
      <c r="L859" s="72">
        <f t="shared" si="1368"/>
        <v>0</v>
      </c>
      <c r="M859" s="75"/>
      <c r="N859" s="75"/>
      <c r="O859" s="75"/>
      <c r="P859" s="75"/>
      <c r="Q859" s="73"/>
      <c r="R859" s="73"/>
      <c r="S859" s="73">
        <v>0</v>
      </c>
    </row>
    <row r="860" spans="1:19" ht="16.5" customHeight="1">
      <c r="A860" s="41" t="s">
        <v>455</v>
      </c>
      <c r="B860" s="38" t="s">
        <v>370</v>
      </c>
      <c r="C860" s="19" t="s">
        <v>354</v>
      </c>
      <c r="D860" s="81">
        <f t="shared" ref="D860:S860" si="1381">D861+D865</f>
        <v>1370</v>
      </c>
      <c r="E860" s="81">
        <f t="shared" si="1381"/>
        <v>1075</v>
      </c>
      <c r="F860" s="81">
        <f t="shared" si="1381"/>
        <v>1370</v>
      </c>
      <c r="G860" s="81">
        <f t="shared" si="1381"/>
        <v>1370</v>
      </c>
      <c r="H860" s="81">
        <f t="shared" si="1381"/>
        <v>1232</v>
      </c>
      <c r="I860" s="339">
        <f t="shared" si="1381"/>
        <v>1439</v>
      </c>
      <c r="J860" s="81">
        <f t="shared" si="1381"/>
        <v>1411</v>
      </c>
      <c r="K860" s="72">
        <f t="shared" si="1367"/>
        <v>0</v>
      </c>
      <c r="L860" s="72">
        <f t="shared" si="1368"/>
        <v>1411</v>
      </c>
      <c r="M860" s="81">
        <f t="shared" ref="M860" si="1382">M861+M865</f>
        <v>400</v>
      </c>
      <c r="N860" s="81">
        <f t="shared" ref="N860" si="1383">N861+N865</f>
        <v>350</v>
      </c>
      <c r="O860" s="81">
        <f t="shared" ref="O860:P860" si="1384">O861+O865</f>
        <v>350</v>
      </c>
      <c r="P860" s="81">
        <f t="shared" si="1384"/>
        <v>311</v>
      </c>
      <c r="Q860" s="81">
        <f t="shared" si="1381"/>
        <v>1425</v>
      </c>
      <c r="R860" s="81">
        <f t="shared" si="1381"/>
        <v>1425</v>
      </c>
      <c r="S860" s="81">
        <f t="shared" si="1381"/>
        <v>1425</v>
      </c>
    </row>
    <row r="861" spans="1:19" ht="12.75" customHeight="1">
      <c r="A861" s="41"/>
      <c r="B861" s="31" t="s">
        <v>160</v>
      </c>
      <c r="C861" s="19"/>
      <c r="D861" s="81">
        <f t="shared" ref="D861:S861" si="1385">D862</f>
        <v>1370</v>
      </c>
      <c r="E861" s="81">
        <f t="shared" si="1385"/>
        <v>1028</v>
      </c>
      <c r="F861" s="81">
        <f t="shared" si="1385"/>
        <v>1370</v>
      </c>
      <c r="G861" s="81">
        <f t="shared" si="1385"/>
        <v>1370</v>
      </c>
      <c r="H861" s="81">
        <f t="shared" si="1385"/>
        <v>1232</v>
      </c>
      <c r="I861" s="339">
        <f t="shared" si="1385"/>
        <v>1439</v>
      </c>
      <c r="J861" s="81">
        <f t="shared" si="1385"/>
        <v>1411</v>
      </c>
      <c r="K861" s="72">
        <f t="shared" si="1367"/>
        <v>0</v>
      </c>
      <c r="L861" s="72">
        <f t="shared" si="1368"/>
        <v>1411</v>
      </c>
      <c r="M861" s="81">
        <f t="shared" si="1385"/>
        <v>400</v>
      </c>
      <c r="N861" s="81">
        <f t="shared" si="1385"/>
        <v>350</v>
      </c>
      <c r="O861" s="81">
        <f t="shared" si="1385"/>
        <v>350</v>
      </c>
      <c r="P861" s="81">
        <f t="shared" si="1385"/>
        <v>311</v>
      </c>
      <c r="Q861" s="81">
        <f t="shared" si="1385"/>
        <v>1425</v>
      </c>
      <c r="R861" s="81">
        <f t="shared" si="1385"/>
        <v>1425</v>
      </c>
      <c r="S861" s="81">
        <f t="shared" si="1385"/>
        <v>1425</v>
      </c>
    </row>
    <row r="862" spans="1:19" ht="12.75" customHeight="1">
      <c r="A862" s="41"/>
      <c r="B862" s="40" t="s">
        <v>161</v>
      </c>
      <c r="C862" s="19">
        <v>1</v>
      </c>
      <c r="D862" s="76">
        <f t="shared" ref="D862:S862" si="1386">D863+D864</f>
        <v>1370</v>
      </c>
      <c r="E862" s="76">
        <f t="shared" si="1386"/>
        <v>1028</v>
      </c>
      <c r="F862" s="76">
        <f t="shared" si="1386"/>
        <v>1370</v>
      </c>
      <c r="G862" s="76">
        <f t="shared" si="1386"/>
        <v>1370</v>
      </c>
      <c r="H862" s="76">
        <f t="shared" si="1386"/>
        <v>1232</v>
      </c>
      <c r="I862" s="330">
        <f t="shared" si="1386"/>
        <v>1439</v>
      </c>
      <c r="J862" s="76">
        <f t="shared" si="1386"/>
        <v>1411</v>
      </c>
      <c r="K862" s="72">
        <f t="shared" si="1367"/>
        <v>0</v>
      </c>
      <c r="L862" s="72">
        <f t="shared" si="1368"/>
        <v>1411</v>
      </c>
      <c r="M862" s="76">
        <f t="shared" ref="M862" si="1387">M863+M864</f>
        <v>400</v>
      </c>
      <c r="N862" s="76">
        <f t="shared" ref="N862" si="1388">N863+N864</f>
        <v>350</v>
      </c>
      <c r="O862" s="76">
        <f t="shared" ref="O862:P862" si="1389">O863+O864</f>
        <v>350</v>
      </c>
      <c r="P862" s="76">
        <f t="shared" si="1389"/>
        <v>311</v>
      </c>
      <c r="Q862" s="76">
        <f t="shared" si="1386"/>
        <v>1425</v>
      </c>
      <c r="R862" s="76">
        <f t="shared" si="1386"/>
        <v>1425</v>
      </c>
      <c r="S862" s="76">
        <f t="shared" si="1386"/>
        <v>1425</v>
      </c>
    </row>
    <row r="863" spans="1:19" ht="12.75" customHeight="1">
      <c r="A863" s="41"/>
      <c r="B863" s="40" t="s">
        <v>162</v>
      </c>
      <c r="C863" s="19">
        <v>10</v>
      </c>
      <c r="D863" s="75">
        <v>980</v>
      </c>
      <c r="E863" s="75">
        <v>753</v>
      </c>
      <c r="F863" s="75">
        <v>980</v>
      </c>
      <c r="G863" s="75">
        <v>980</v>
      </c>
      <c r="H863" s="75">
        <v>867</v>
      </c>
      <c r="I863" s="329">
        <v>1036</v>
      </c>
      <c r="J863" s="75">
        <v>1036</v>
      </c>
      <c r="K863" s="72">
        <f t="shared" si="1367"/>
        <v>0</v>
      </c>
      <c r="L863" s="72">
        <f t="shared" si="1368"/>
        <v>1036</v>
      </c>
      <c r="M863" s="75">
        <v>300</v>
      </c>
      <c r="N863" s="75">
        <v>250</v>
      </c>
      <c r="O863" s="75">
        <v>250</v>
      </c>
      <c r="P863" s="75">
        <v>236</v>
      </c>
      <c r="Q863" s="73">
        <v>1050</v>
      </c>
      <c r="R863" s="73">
        <v>1050</v>
      </c>
      <c r="S863" s="73">
        <v>1050</v>
      </c>
    </row>
    <row r="864" spans="1:19" ht="15.75" customHeight="1">
      <c r="A864" s="41"/>
      <c r="B864" s="40" t="s">
        <v>886</v>
      </c>
      <c r="C864" s="19">
        <v>20</v>
      </c>
      <c r="D864" s="75">
        <f>350+40</f>
        <v>390</v>
      </c>
      <c r="E864" s="75">
        <v>275</v>
      </c>
      <c r="F864" s="75">
        <v>390</v>
      </c>
      <c r="G864" s="75">
        <v>390</v>
      </c>
      <c r="H864" s="75">
        <v>365</v>
      </c>
      <c r="I864" s="329">
        <v>403</v>
      </c>
      <c r="J864" s="75">
        <v>375</v>
      </c>
      <c r="K864" s="72">
        <f t="shared" si="1367"/>
        <v>0</v>
      </c>
      <c r="L864" s="72">
        <f t="shared" si="1368"/>
        <v>375</v>
      </c>
      <c r="M864" s="75">
        <v>100</v>
      </c>
      <c r="N864" s="75">
        <v>100</v>
      </c>
      <c r="O864" s="75">
        <v>100</v>
      </c>
      <c r="P864" s="75">
        <v>75</v>
      </c>
      <c r="Q864" s="73">
        <v>375</v>
      </c>
      <c r="R864" s="73">
        <v>375</v>
      </c>
      <c r="S864" s="73">
        <v>375</v>
      </c>
    </row>
    <row r="865" spans="1:19" ht="12.75" hidden="1" customHeight="1">
      <c r="A865" s="41"/>
      <c r="B865" s="33" t="s">
        <v>172</v>
      </c>
      <c r="C865" s="19"/>
      <c r="D865" s="81">
        <f t="shared" ref="D865:S865" si="1390">D866</f>
        <v>0</v>
      </c>
      <c r="E865" s="81">
        <f t="shared" si="1390"/>
        <v>47</v>
      </c>
      <c r="F865" s="81">
        <f t="shared" si="1390"/>
        <v>0</v>
      </c>
      <c r="G865" s="81">
        <f t="shared" si="1390"/>
        <v>0</v>
      </c>
      <c r="H865" s="81">
        <f t="shared" si="1390"/>
        <v>0</v>
      </c>
      <c r="I865" s="339">
        <f t="shared" si="1390"/>
        <v>0</v>
      </c>
      <c r="J865" s="81">
        <f t="shared" si="1390"/>
        <v>0</v>
      </c>
      <c r="K865" s="72">
        <f t="shared" si="1367"/>
        <v>0</v>
      </c>
      <c r="L865" s="72">
        <f t="shared" si="1368"/>
        <v>0</v>
      </c>
      <c r="M865" s="81">
        <f t="shared" si="1390"/>
        <v>0</v>
      </c>
      <c r="N865" s="81">
        <f t="shared" si="1390"/>
        <v>0</v>
      </c>
      <c r="O865" s="81">
        <f t="shared" si="1390"/>
        <v>0</v>
      </c>
      <c r="P865" s="81">
        <f t="shared" si="1390"/>
        <v>0</v>
      </c>
      <c r="Q865" s="81">
        <f t="shared" si="1390"/>
        <v>0</v>
      </c>
      <c r="R865" s="81">
        <f t="shared" si="1390"/>
        <v>0</v>
      </c>
      <c r="S865" s="81">
        <f t="shared" si="1390"/>
        <v>0</v>
      </c>
    </row>
    <row r="866" spans="1:19" ht="12.75" hidden="1" customHeight="1">
      <c r="A866" s="41"/>
      <c r="B866" s="40" t="s">
        <v>201</v>
      </c>
      <c r="C866" s="19">
        <v>70</v>
      </c>
      <c r="D866" s="75"/>
      <c r="E866" s="75">
        <v>47</v>
      </c>
      <c r="F866" s="75"/>
      <c r="G866" s="75"/>
      <c r="H866" s="75"/>
      <c r="I866" s="329"/>
      <c r="J866" s="75"/>
      <c r="K866" s="72">
        <f t="shared" si="1367"/>
        <v>0</v>
      </c>
      <c r="L866" s="72">
        <f t="shared" si="1368"/>
        <v>0</v>
      </c>
      <c r="M866" s="75"/>
      <c r="N866" s="75"/>
      <c r="O866" s="75"/>
      <c r="P866" s="75"/>
      <c r="Q866" s="73"/>
      <c r="R866" s="73"/>
      <c r="S866" s="73"/>
    </row>
    <row r="867" spans="1:19" ht="31.5" customHeight="1">
      <c r="A867" s="41" t="s">
        <v>371</v>
      </c>
      <c r="B867" s="38" t="s">
        <v>899</v>
      </c>
      <c r="C867" s="19" t="s">
        <v>372</v>
      </c>
      <c r="D867" s="81">
        <f>D874+D883+D892+D902+D911</f>
        <v>13217</v>
      </c>
      <c r="E867" s="81">
        <f t="shared" ref="E867:S870" si="1391">E874+E883+E892+E902+E911</f>
        <v>11032</v>
      </c>
      <c r="F867" s="81">
        <f t="shared" si="1391"/>
        <v>13417</v>
      </c>
      <c r="G867" s="81">
        <f t="shared" si="1391"/>
        <v>13965</v>
      </c>
      <c r="H867" s="81">
        <f t="shared" si="1391"/>
        <v>12850</v>
      </c>
      <c r="I867" s="339">
        <f t="shared" si="1391"/>
        <v>14489</v>
      </c>
      <c r="J867" s="81">
        <f t="shared" si="1391"/>
        <v>13501</v>
      </c>
      <c r="K867" s="72">
        <f t="shared" si="1367"/>
        <v>0</v>
      </c>
      <c r="L867" s="72">
        <f t="shared" si="1368"/>
        <v>13501</v>
      </c>
      <c r="M867" s="81">
        <f t="shared" ref="M867" si="1392">M874+M883+M892+M902+M911</f>
        <v>3561</v>
      </c>
      <c r="N867" s="81">
        <f t="shared" ref="N867" si="1393">N874+N883+N892+N902+N911</f>
        <v>3342</v>
      </c>
      <c r="O867" s="81">
        <f t="shared" ref="O867:P867" si="1394">O874+O883+O892+O902+O911</f>
        <v>3363</v>
      </c>
      <c r="P867" s="81">
        <f t="shared" si="1394"/>
        <v>3235</v>
      </c>
      <c r="Q867" s="81">
        <f t="shared" si="1391"/>
        <v>12710</v>
      </c>
      <c r="R867" s="81">
        <f t="shared" si="1391"/>
        <v>12710</v>
      </c>
      <c r="S867" s="81">
        <f t="shared" si="1391"/>
        <v>12710</v>
      </c>
    </row>
    <row r="868" spans="1:19" ht="14.25">
      <c r="A868" s="41"/>
      <c r="B868" s="31" t="s">
        <v>160</v>
      </c>
      <c r="C868" s="19"/>
      <c r="D868" s="81">
        <f>D875+D884+D893+D903+D912</f>
        <v>11965</v>
      </c>
      <c r="E868" s="81">
        <f t="shared" si="1391"/>
        <v>9463</v>
      </c>
      <c r="F868" s="81">
        <f t="shared" si="1391"/>
        <v>12005</v>
      </c>
      <c r="G868" s="81">
        <f t="shared" si="1391"/>
        <v>11897</v>
      </c>
      <c r="H868" s="81">
        <f t="shared" si="1391"/>
        <v>11030</v>
      </c>
      <c r="I868" s="339">
        <f t="shared" si="1391"/>
        <v>13541</v>
      </c>
      <c r="J868" s="81">
        <f t="shared" si="1391"/>
        <v>13303</v>
      </c>
      <c r="K868" s="72">
        <f t="shared" si="1367"/>
        <v>0</v>
      </c>
      <c r="L868" s="72">
        <f t="shared" si="1368"/>
        <v>13303</v>
      </c>
      <c r="M868" s="81">
        <f t="shared" ref="M868" si="1395">M875+M884+M893+M903+M912</f>
        <v>3363</v>
      </c>
      <c r="N868" s="81">
        <f t="shared" ref="N868" si="1396">N875+N884+N893+N903+N912</f>
        <v>3342</v>
      </c>
      <c r="O868" s="81">
        <f t="shared" ref="O868:P868" si="1397">O875+O884+O893+O903+O912</f>
        <v>3363</v>
      </c>
      <c r="P868" s="81">
        <f t="shared" si="1397"/>
        <v>3235</v>
      </c>
      <c r="Q868" s="81">
        <f t="shared" si="1391"/>
        <v>12710</v>
      </c>
      <c r="R868" s="81">
        <f t="shared" si="1391"/>
        <v>12710</v>
      </c>
      <c r="S868" s="81">
        <f t="shared" si="1391"/>
        <v>12710</v>
      </c>
    </row>
    <row r="869" spans="1:19" ht="14.25">
      <c r="A869" s="41"/>
      <c r="B869" s="33" t="s">
        <v>161</v>
      </c>
      <c r="C869" s="92">
        <v>1</v>
      </c>
      <c r="D869" s="81">
        <f>D876+D885+D894+D904+D913</f>
        <v>11965</v>
      </c>
      <c r="E869" s="81">
        <f t="shared" si="1391"/>
        <v>9478</v>
      </c>
      <c r="F869" s="81">
        <f t="shared" si="1391"/>
        <v>12005</v>
      </c>
      <c r="G869" s="81">
        <f t="shared" si="1391"/>
        <v>11897</v>
      </c>
      <c r="H869" s="81">
        <f t="shared" si="1391"/>
        <v>11030</v>
      </c>
      <c r="I869" s="339">
        <f t="shared" si="1391"/>
        <v>13541</v>
      </c>
      <c r="J869" s="81">
        <f t="shared" si="1391"/>
        <v>13303</v>
      </c>
      <c r="K869" s="72">
        <f t="shared" si="1367"/>
        <v>0</v>
      </c>
      <c r="L869" s="72">
        <f t="shared" si="1368"/>
        <v>13303</v>
      </c>
      <c r="M869" s="81">
        <f t="shared" ref="M869" si="1398">M876+M885+M894+M904+M913</f>
        <v>3363</v>
      </c>
      <c r="N869" s="81">
        <f t="shared" ref="N869" si="1399">N876+N885+N894+N904+N913</f>
        <v>3342</v>
      </c>
      <c r="O869" s="81">
        <f t="shared" ref="O869:P869" si="1400">O876+O885+O894+O904+O913</f>
        <v>3363</v>
      </c>
      <c r="P869" s="81">
        <f t="shared" si="1400"/>
        <v>3235</v>
      </c>
      <c r="Q869" s="81">
        <f t="shared" si="1391"/>
        <v>12710</v>
      </c>
      <c r="R869" s="81">
        <f t="shared" si="1391"/>
        <v>12710</v>
      </c>
      <c r="S869" s="81">
        <f t="shared" si="1391"/>
        <v>12710</v>
      </c>
    </row>
    <row r="870" spans="1:19" ht="14.25">
      <c r="A870" s="41"/>
      <c r="B870" s="33" t="s">
        <v>259</v>
      </c>
      <c r="C870" s="92" t="s">
        <v>303</v>
      </c>
      <c r="D870" s="81">
        <f>D877+D886+D895+D905+D914</f>
        <v>11965</v>
      </c>
      <c r="E870" s="81">
        <f t="shared" si="1391"/>
        <v>9478</v>
      </c>
      <c r="F870" s="81">
        <f t="shared" si="1391"/>
        <v>12005</v>
      </c>
      <c r="G870" s="81">
        <f t="shared" si="1391"/>
        <v>11897</v>
      </c>
      <c r="H870" s="81">
        <f t="shared" si="1391"/>
        <v>11030</v>
      </c>
      <c r="I870" s="339">
        <f t="shared" si="1391"/>
        <v>13541</v>
      </c>
      <c r="J870" s="81">
        <f t="shared" si="1391"/>
        <v>13303</v>
      </c>
      <c r="K870" s="72">
        <f t="shared" si="1367"/>
        <v>0</v>
      </c>
      <c r="L870" s="72">
        <f t="shared" si="1368"/>
        <v>13303</v>
      </c>
      <c r="M870" s="81">
        <f t="shared" ref="M870" si="1401">M877+M886+M895+M905+M914</f>
        <v>3363</v>
      </c>
      <c r="N870" s="81">
        <f t="shared" ref="N870" si="1402">N877+N886+N895+N905+N914</f>
        <v>3342</v>
      </c>
      <c r="O870" s="81">
        <f t="shared" ref="O870:P870" si="1403">O877+O886+O895+O905+O914</f>
        <v>3363</v>
      </c>
      <c r="P870" s="81">
        <f t="shared" si="1403"/>
        <v>3235</v>
      </c>
      <c r="Q870" s="81">
        <f t="shared" si="1391"/>
        <v>12710</v>
      </c>
      <c r="R870" s="81">
        <f t="shared" si="1391"/>
        <v>12710</v>
      </c>
      <c r="S870" s="81">
        <f t="shared" si="1391"/>
        <v>12710</v>
      </c>
    </row>
    <row r="871" spans="1:19" ht="14.25">
      <c r="A871" s="41"/>
      <c r="B871" s="33" t="s">
        <v>537</v>
      </c>
      <c r="C871" s="92">
        <v>85.01</v>
      </c>
      <c r="D871" s="81">
        <f t="shared" ref="D871:S871" si="1404">D889</f>
        <v>0</v>
      </c>
      <c r="E871" s="81">
        <f>E889+E899+E908+E880</f>
        <v>-15</v>
      </c>
      <c r="F871" s="81">
        <f t="shared" ref="F871:J871" si="1405">F889</f>
        <v>0</v>
      </c>
      <c r="G871" s="81">
        <f t="shared" si="1405"/>
        <v>0</v>
      </c>
      <c r="H871" s="81">
        <f t="shared" si="1405"/>
        <v>0</v>
      </c>
      <c r="I871" s="339">
        <f t="shared" si="1405"/>
        <v>0</v>
      </c>
      <c r="J871" s="81">
        <f t="shared" si="1405"/>
        <v>0</v>
      </c>
      <c r="K871" s="72">
        <f t="shared" si="1367"/>
        <v>0</v>
      </c>
      <c r="L871" s="72">
        <f t="shared" si="1368"/>
        <v>0</v>
      </c>
      <c r="M871" s="81">
        <f t="shared" ref="M871" si="1406">M889</f>
        <v>0</v>
      </c>
      <c r="N871" s="81">
        <f t="shared" ref="N871" si="1407">N889</f>
        <v>0</v>
      </c>
      <c r="O871" s="81">
        <f t="shared" ref="O871:P871" si="1408">O889</f>
        <v>0</v>
      </c>
      <c r="P871" s="81">
        <f t="shared" si="1408"/>
        <v>0</v>
      </c>
      <c r="Q871" s="81">
        <f t="shared" si="1404"/>
        <v>0</v>
      </c>
      <c r="R871" s="81">
        <f t="shared" si="1404"/>
        <v>0</v>
      </c>
      <c r="S871" s="81">
        <f t="shared" si="1404"/>
        <v>0</v>
      </c>
    </row>
    <row r="872" spans="1:19" ht="14.25">
      <c r="A872" s="41"/>
      <c r="B872" s="33" t="s">
        <v>172</v>
      </c>
      <c r="C872" s="19"/>
      <c r="D872" s="81">
        <f t="shared" ref="D872:S872" si="1409">D881+D890+D900+D909+D917</f>
        <v>1252</v>
      </c>
      <c r="E872" s="81">
        <f t="shared" si="1409"/>
        <v>1569</v>
      </c>
      <c r="F872" s="81">
        <f t="shared" si="1409"/>
        <v>1412</v>
      </c>
      <c r="G872" s="81">
        <f t="shared" si="1409"/>
        <v>2068</v>
      </c>
      <c r="H872" s="81">
        <f t="shared" si="1409"/>
        <v>1820</v>
      </c>
      <c r="I872" s="339">
        <f t="shared" si="1409"/>
        <v>948</v>
      </c>
      <c r="J872" s="81">
        <f t="shared" si="1409"/>
        <v>198</v>
      </c>
      <c r="K872" s="72">
        <f t="shared" si="1367"/>
        <v>0</v>
      </c>
      <c r="L872" s="72">
        <f t="shared" si="1368"/>
        <v>198</v>
      </c>
      <c r="M872" s="81">
        <f t="shared" ref="M872" si="1410">M881+M890+M900+M909+M917</f>
        <v>198</v>
      </c>
      <c r="N872" s="81">
        <f t="shared" ref="N872" si="1411">N881+N890+N900+N909+N917</f>
        <v>0</v>
      </c>
      <c r="O872" s="81">
        <f t="shared" ref="O872:P872" si="1412">O881+O890+O900+O909+O917</f>
        <v>0</v>
      </c>
      <c r="P872" s="81">
        <f t="shared" si="1412"/>
        <v>0</v>
      </c>
      <c r="Q872" s="81">
        <f t="shared" si="1409"/>
        <v>0</v>
      </c>
      <c r="R872" s="81">
        <f t="shared" si="1409"/>
        <v>0</v>
      </c>
      <c r="S872" s="81">
        <f t="shared" si="1409"/>
        <v>0</v>
      </c>
    </row>
    <row r="873" spans="1:19" ht="14.25">
      <c r="A873" s="41"/>
      <c r="B873" s="38" t="s">
        <v>178</v>
      </c>
      <c r="C873" s="92">
        <v>51</v>
      </c>
      <c r="D873" s="76">
        <f t="shared" ref="D873:S873" si="1413">D882+D891+D901+D909+D917</f>
        <v>1252</v>
      </c>
      <c r="E873" s="76">
        <f t="shared" si="1413"/>
        <v>1569</v>
      </c>
      <c r="F873" s="76">
        <f t="shared" si="1413"/>
        <v>1412</v>
      </c>
      <c r="G873" s="76">
        <f t="shared" si="1413"/>
        <v>2068</v>
      </c>
      <c r="H873" s="76">
        <f t="shared" si="1413"/>
        <v>1820</v>
      </c>
      <c r="I873" s="330">
        <f t="shared" si="1413"/>
        <v>948</v>
      </c>
      <c r="J873" s="76">
        <f t="shared" si="1413"/>
        <v>198</v>
      </c>
      <c r="K873" s="72">
        <f t="shared" si="1367"/>
        <v>0</v>
      </c>
      <c r="L873" s="72">
        <f t="shared" si="1368"/>
        <v>198</v>
      </c>
      <c r="M873" s="76">
        <f t="shared" ref="M873" si="1414">M882+M891+M901+M909+M917</f>
        <v>198</v>
      </c>
      <c r="N873" s="76">
        <f t="shared" ref="N873" si="1415">N882+N891+N901+N909+N917</f>
        <v>0</v>
      </c>
      <c r="O873" s="76">
        <f t="shared" ref="O873:P873" si="1416">O882+O891+O901+O909+O917</f>
        <v>0</v>
      </c>
      <c r="P873" s="76">
        <f t="shared" si="1416"/>
        <v>0</v>
      </c>
      <c r="Q873" s="76">
        <f t="shared" si="1413"/>
        <v>0</v>
      </c>
      <c r="R873" s="76">
        <f t="shared" si="1413"/>
        <v>0</v>
      </c>
      <c r="S873" s="76">
        <f t="shared" si="1413"/>
        <v>0</v>
      </c>
    </row>
    <row r="874" spans="1:19" ht="31.5" customHeight="1">
      <c r="A874" s="41" t="s">
        <v>373</v>
      </c>
      <c r="B874" s="57" t="s">
        <v>305</v>
      </c>
      <c r="C874" s="19" t="s">
        <v>374</v>
      </c>
      <c r="D874" s="81">
        <f t="shared" ref="D874:S874" si="1417">D875+D881</f>
        <v>1715</v>
      </c>
      <c r="E874" s="81">
        <f t="shared" si="1417"/>
        <v>1549</v>
      </c>
      <c r="F874" s="81">
        <f t="shared" si="1417"/>
        <v>1765</v>
      </c>
      <c r="G874" s="81">
        <f t="shared" si="1417"/>
        <v>1765</v>
      </c>
      <c r="H874" s="81">
        <f t="shared" si="1417"/>
        <v>1604</v>
      </c>
      <c r="I874" s="339">
        <f t="shared" si="1417"/>
        <v>1930</v>
      </c>
      <c r="J874" s="81">
        <f t="shared" si="1417"/>
        <v>1880</v>
      </c>
      <c r="K874" s="72">
        <f t="shared" si="1367"/>
        <v>0</v>
      </c>
      <c r="L874" s="72">
        <f t="shared" si="1368"/>
        <v>1880</v>
      </c>
      <c r="M874" s="81">
        <f t="shared" ref="M874" si="1418">M875+M881</f>
        <v>495</v>
      </c>
      <c r="N874" s="81">
        <f t="shared" ref="N874" si="1419">N875+N881</f>
        <v>475</v>
      </c>
      <c r="O874" s="81">
        <f t="shared" ref="O874:P874" si="1420">O875+O881</f>
        <v>475</v>
      </c>
      <c r="P874" s="81">
        <f t="shared" si="1420"/>
        <v>435</v>
      </c>
      <c r="Q874" s="81">
        <f t="shared" si="1417"/>
        <v>1880</v>
      </c>
      <c r="R874" s="81">
        <f t="shared" si="1417"/>
        <v>1880</v>
      </c>
      <c r="S874" s="81">
        <f t="shared" si="1417"/>
        <v>1880</v>
      </c>
    </row>
    <row r="875" spans="1:19" ht="14.25">
      <c r="A875" s="41"/>
      <c r="B875" s="31" t="s">
        <v>160</v>
      </c>
      <c r="C875" s="19"/>
      <c r="D875" s="81">
        <f t="shared" ref="D875:S876" si="1421">D876</f>
        <v>1680</v>
      </c>
      <c r="E875" s="81">
        <f>E876+E880</f>
        <v>1549</v>
      </c>
      <c r="F875" s="81">
        <f t="shared" si="1421"/>
        <v>1680</v>
      </c>
      <c r="G875" s="81">
        <f t="shared" si="1421"/>
        <v>1680</v>
      </c>
      <c r="H875" s="81">
        <f t="shared" si="1421"/>
        <v>1531</v>
      </c>
      <c r="I875" s="339">
        <f t="shared" si="1421"/>
        <v>1930</v>
      </c>
      <c r="J875" s="81">
        <f t="shared" si="1421"/>
        <v>1880</v>
      </c>
      <c r="K875" s="72">
        <f t="shared" si="1367"/>
        <v>0</v>
      </c>
      <c r="L875" s="72">
        <f t="shared" si="1368"/>
        <v>1880</v>
      </c>
      <c r="M875" s="81">
        <f t="shared" si="1421"/>
        <v>495</v>
      </c>
      <c r="N875" s="81">
        <f t="shared" si="1421"/>
        <v>475</v>
      </c>
      <c r="O875" s="81">
        <f t="shared" si="1421"/>
        <v>475</v>
      </c>
      <c r="P875" s="81">
        <f t="shared" si="1421"/>
        <v>435</v>
      </c>
      <c r="Q875" s="81">
        <f t="shared" si="1421"/>
        <v>1880</v>
      </c>
      <c r="R875" s="81">
        <f t="shared" si="1421"/>
        <v>1880</v>
      </c>
      <c r="S875" s="81">
        <f t="shared" si="1421"/>
        <v>1880</v>
      </c>
    </row>
    <row r="876" spans="1:19" ht="15">
      <c r="A876" s="41"/>
      <c r="B876" s="40" t="s">
        <v>161</v>
      </c>
      <c r="C876" s="19">
        <v>1</v>
      </c>
      <c r="D876" s="76">
        <f t="shared" si="1421"/>
        <v>1680</v>
      </c>
      <c r="E876" s="76">
        <f t="shared" si="1421"/>
        <v>1556</v>
      </c>
      <c r="F876" s="76">
        <f t="shared" si="1421"/>
        <v>1680</v>
      </c>
      <c r="G876" s="76">
        <f t="shared" si="1421"/>
        <v>1680</v>
      </c>
      <c r="H876" s="76">
        <f t="shared" si="1421"/>
        <v>1531</v>
      </c>
      <c r="I876" s="330">
        <f t="shared" si="1421"/>
        <v>1930</v>
      </c>
      <c r="J876" s="76">
        <f t="shared" si="1421"/>
        <v>1880</v>
      </c>
      <c r="K876" s="72">
        <f t="shared" si="1367"/>
        <v>0</v>
      </c>
      <c r="L876" s="72">
        <f t="shared" si="1368"/>
        <v>1880</v>
      </c>
      <c r="M876" s="76">
        <f t="shared" si="1421"/>
        <v>495</v>
      </c>
      <c r="N876" s="76">
        <f t="shared" si="1421"/>
        <v>475</v>
      </c>
      <c r="O876" s="76">
        <f t="shared" si="1421"/>
        <v>475</v>
      </c>
      <c r="P876" s="76">
        <f t="shared" si="1421"/>
        <v>435</v>
      </c>
      <c r="Q876" s="76">
        <f t="shared" si="1421"/>
        <v>1880</v>
      </c>
      <c r="R876" s="76">
        <f t="shared" si="1421"/>
        <v>1880</v>
      </c>
      <c r="S876" s="76">
        <f t="shared" si="1421"/>
        <v>1880</v>
      </c>
    </row>
    <row r="877" spans="1:19" ht="15">
      <c r="A877" s="41"/>
      <c r="B877" s="40" t="s">
        <v>259</v>
      </c>
      <c r="C877" s="19" t="s">
        <v>303</v>
      </c>
      <c r="D877" s="76">
        <f t="shared" ref="D877:S877" si="1422">D878+D879</f>
        <v>1680</v>
      </c>
      <c r="E877" s="76">
        <f t="shared" si="1422"/>
        <v>1556</v>
      </c>
      <c r="F877" s="76">
        <f t="shared" si="1422"/>
        <v>1680</v>
      </c>
      <c r="G877" s="76">
        <f t="shared" si="1422"/>
        <v>1680</v>
      </c>
      <c r="H877" s="76">
        <f t="shared" si="1422"/>
        <v>1531</v>
      </c>
      <c r="I877" s="330">
        <f t="shared" si="1422"/>
        <v>1930</v>
      </c>
      <c r="J877" s="76">
        <f t="shared" si="1422"/>
        <v>1880</v>
      </c>
      <c r="K877" s="72">
        <f t="shared" si="1367"/>
        <v>0</v>
      </c>
      <c r="L877" s="72">
        <f t="shared" si="1368"/>
        <v>1880</v>
      </c>
      <c r="M877" s="76">
        <f t="shared" ref="M877" si="1423">M878+M879</f>
        <v>495</v>
      </c>
      <c r="N877" s="76">
        <f t="shared" ref="N877" si="1424">N878+N879</f>
        <v>475</v>
      </c>
      <c r="O877" s="76">
        <f t="shared" ref="O877:P877" si="1425">O878+O879</f>
        <v>475</v>
      </c>
      <c r="P877" s="76">
        <f t="shared" si="1425"/>
        <v>435</v>
      </c>
      <c r="Q877" s="76">
        <f t="shared" si="1422"/>
        <v>1880</v>
      </c>
      <c r="R877" s="76">
        <f t="shared" si="1422"/>
        <v>1880</v>
      </c>
      <c r="S877" s="76">
        <f t="shared" si="1422"/>
        <v>1880</v>
      </c>
    </row>
    <row r="878" spans="1:19" ht="12.75" customHeight="1">
      <c r="A878" s="41"/>
      <c r="B878" s="40" t="s">
        <v>162</v>
      </c>
      <c r="C878" s="19">
        <v>10</v>
      </c>
      <c r="D878" s="75">
        <v>1480</v>
      </c>
      <c r="E878" s="75">
        <v>1385</v>
      </c>
      <c r="F878" s="75">
        <v>1480</v>
      </c>
      <c r="G878" s="75">
        <v>1480</v>
      </c>
      <c r="H878" s="75">
        <v>1344</v>
      </c>
      <c r="I878" s="329">
        <v>1580</v>
      </c>
      <c r="J878" s="75">
        <v>1580</v>
      </c>
      <c r="K878" s="72">
        <f t="shared" si="1367"/>
        <v>0</v>
      </c>
      <c r="L878" s="72">
        <f t="shared" si="1368"/>
        <v>1580</v>
      </c>
      <c r="M878" s="75">
        <v>420</v>
      </c>
      <c r="N878" s="75">
        <v>400</v>
      </c>
      <c r="O878" s="75">
        <v>400</v>
      </c>
      <c r="P878" s="75">
        <v>360</v>
      </c>
      <c r="Q878" s="73">
        <v>1580</v>
      </c>
      <c r="R878" s="73">
        <v>1580</v>
      </c>
      <c r="S878" s="73">
        <v>1580</v>
      </c>
    </row>
    <row r="879" spans="1:19" ht="14.25" customHeight="1">
      <c r="A879" s="41"/>
      <c r="B879" s="40" t="s">
        <v>886</v>
      </c>
      <c r="C879" s="19">
        <v>20</v>
      </c>
      <c r="D879" s="75">
        <f>200</f>
        <v>200</v>
      </c>
      <c r="E879" s="73">
        <v>171</v>
      </c>
      <c r="F879" s="75">
        <v>200</v>
      </c>
      <c r="G879" s="75">
        <v>200</v>
      </c>
      <c r="H879" s="75">
        <v>187</v>
      </c>
      <c r="I879" s="329">
        <v>350</v>
      </c>
      <c r="J879" s="75">
        <v>300</v>
      </c>
      <c r="K879" s="72">
        <f t="shared" si="1367"/>
        <v>0</v>
      </c>
      <c r="L879" s="72">
        <f t="shared" si="1368"/>
        <v>300</v>
      </c>
      <c r="M879" s="75">
        <v>75</v>
      </c>
      <c r="N879" s="75">
        <v>75</v>
      </c>
      <c r="O879" s="75">
        <v>75</v>
      </c>
      <c r="P879" s="75">
        <v>75</v>
      </c>
      <c r="Q879" s="73">
        <v>300</v>
      </c>
      <c r="R879" s="73">
        <v>300</v>
      </c>
      <c r="S879" s="73">
        <v>300</v>
      </c>
    </row>
    <row r="880" spans="1:19" ht="14.25" hidden="1" customHeight="1">
      <c r="A880" s="41"/>
      <c r="B880" s="33" t="s">
        <v>537</v>
      </c>
      <c r="C880" s="92">
        <v>85.01</v>
      </c>
      <c r="D880" s="75"/>
      <c r="E880" s="75">
        <v>-7</v>
      </c>
      <c r="F880" s="75"/>
      <c r="G880" s="75"/>
      <c r="H880" s="75"/>
      <c r="I880" s="329"/>
      <c r="J880" s="75"/>
      <c r="K880" s="72">
        <f t="shared" si="1367"/>
        <v>0</v>
      </c>
      <c r="L880" s="72">
        <f t="shared" si="1368"/>
        <v>0</v>
      </c>
      <c r="M880" s="75"/>
      <c r="N880" s="75"/>
      <c r="O880" s="75"/>
      <c r="P880" s="75"/>
      <c r="Q880" s="73"/>
      <c r="R880" s="73"/>
      <c r="S880" s="73"/>
    </row>
    <row r="881" spans="1:19" ht="17.25" hidden="1" customHeight="1">
      <c r="A881" s="41"/>
      <c r="B881" s="33" t="s">
        <v>172</v>
      </c>
      <c r="C881" s="19"/>
      <c r="D881" s="76">
        <f>D882</f>
        <v>35</v>
      </c>
      <c r="E881" s="76">
        <f t="shared" ref="E881:P881" si="1426">E882</f>
        <v>0</v>
      </c>
      <c r="F881" s="76">
        <f t="shared" si="1426"/>
        <v>85</v>
      </c>
      <c r="G881" s="76">
        <f t="shared" si="1426"/>
        <v>85</v>
      </c>
      <c r="H881" s="76">
        <f t="shared" si="1426"/>
        <v>73</v>
      </c>
      <c r="I881" s="330">
        <f t="shared" si="1426"/>
        <v>0</v>
      </c>
      <c r="J881" s="76">
        <f t="shared" si="1426"/>
        <v>0</v>
      </c>
      <c r="K881" s="72">
        <f t="shared" si="1367"/>
        <v>0</v>
      </c>
      <c r="L881" s="72">
        <f t="shared" si="1368"/>
        <v>0</v>
      </c>
      <c r="M881" s="76">
        <f t="shared" si="1426"/>
        <v>0</v>
      </c>
      <c r="N881" s="76">
        <f t="shared" si="1426"/>
        <v>0</v>
      </c>
      <c r="O881" s="76">
        <f t="shared" si="1426"/>
        <v>0</v>
      </c>
      <c r="P881" s="76">
        <f t="shared" si="1426"/>
        <v>0</v>
      </c>
      <c r="Q881" s="76"/>
      <c r="R881" s="76"/>
      <c r="S881" s="76"/>
    </row>
    <row r="882" spans="1:19" ht="23.25" hidden="1" customHeight="1">
      <c r="A882" s="41"/>
      <c r="B882" s="40" t="s">
        <v>178</v>
      </c>
      <c r="C882" s="19" t="s">
        <v>179</v>
      </c>
      <c r="D882" s="75">
        <v>35</v>
      </c>
      <c r="E882" s="75"/>
      <c r="F882" s="75">
        <v>85</v>
      </c>
      <c r="G882" s="75">
        <v>85</v>
      </c>
      <c r="H882" s="75">
        <v>73</v>
      </c>
      <c r="I882" s="329">
        <v>0</v>
      </c>
      <c r="J882" s="75"/>
      <c r="K882" s="72">
        <f t="shared" si="1367"/>
        <v>0</v>
      </c>
      <c r="L882" s="72">
        <f t="shared" si="1368"/>
        <v>0</v>
      </c>
      <c r="M882" s="75"/>
      <c r="N882" s="75"/>
      <c r="O882" s="75"/>
      <c r="P882" s="75"/>
      <c r="Q882" s="73"/>
      <c r="R882" s="73"/>
      <c r="S882" s="73"/>
    </row>
    <row r="883" spans="1:19" ht="27" customHeight="1">
      <c r="A883" s="41" t="s">
        <v>375</v>
      </c>
      <c r="B883" s="57" t="s">
        <v>307</v>
      </c>
      <c r="C883" s="19" t="s">
        <v>376</v>
      </c>
      <c r="D883" s="81">
        <f t="shared" ref="D883:S883" si="1427">D884+D890</f>
        <v>3645</v>
      </c>
      <c r="E883" s="81">
        <f t="shared" si="1427"/>
        <v>3419</v>
      </c>
      <c r="F883" s="81">
        <f t="shared" si="1427"/>
        <v>3745</v>
      </c>
      <c r="G883" s="81">
        <f t="shared" si="1427"/>
        <v>4234</v>
      </c>
      <c r="H883" s="81">
        <f t="shared" si="1427"/>
        <v>4021</v>
      </c>
      <c r="I883" s="339">
        <f t="shared" si="1427"/>
        <v>3004</v>
      </c>
      <c r="J883" s="81">
        <f t="shared" si="1427"/>
        <v>2739</v>
      </c>
      <c r="K883" s="72">
        <f t="shared" si="1367"/>
        <v>0</v>
      </c>
      <c r="L883" s="72">
        <f t="shared" si="1368"/>
        <v>2739</v>
      </c>
      <c r="M883" s="81">
        <f t="shared" ref="M883" si="1428">M884+M890</f>
        <v>818</v>
      </c>
      <c r="N883" s="81">
        <f t="shared" ref="N883" si="1429">N884+N890</f>
        <v>620</v>
      </c>
      <c r="O883" s="81">
        <f t="shared" ref="O883:P883" si="1430">O884+O890</f>
        <v>660</v>
      </c>
      <c r="P883" s="81">
        <f t="shared" si="1430"/>
        <v>641</v>
      </c>
      <c r="Q883" s="81">
        <f t="shared" si="1427"/>
        <v>1940</v>
      </c>
      <c r="R883" s="81">
        <f t="shared" si="1427"/>
        <v>1940</v>
      </c>
      <c r="S883" s="81">
        <f t="shared" si="1427"/>
        <v>1940</v>
      </c>
    </row>
    <row r="884" spans="1:19" ht="14.25">
      <c r="A884" s="41"/>
      <c r="B884" s="31" t="s">
        <v>160</v>
      </c>
      <c r="C884" s="19"/>
      <c r="D884" s="81">
        <f t="shared" ref="D884:S884" si="1431">D885</f>
        <v>2500</v>
      </c>
      <c r="E884" s="81">
        <f t="shared" si="1431"/>
        <v>1877</v>
      </c>
      <c r="F884" s="81">
        <f t="shared" si="1431"/>
        <v>2500</v>
      </c>
      <c r="G884" s="81">
        <f t="shared" si="1431"/>
        <v>2392</v>
      </c>
      <c r="H884" s="81">
        <f t="shared" si="1431"/>
        <v>2377</v>
      </c>
      <c r="I884" s="339">
        <f t="shared" si="1431"/>
        <v>2621</v>
      </c>
      <c r="J884" s="81">
        <f t="shared" si="1431"/>
        <v>2541</v>
      </c>
      <c r="K884" s="72">
        <f t="shared" si="1367"/>
        <v>0</v>
      </c>
      <c r="L884" s="72">
        <f t="shared" si="1368"/>
        <v>2541</v>
      </c>
      <c r="M884" s="81">
        <f t="shared" si="1431"/>
        <v>620</v>
      </c>
      <c r="N884" s="81">
        <f t="shared" si="1431"/>
        <v>620</v>
      </c>
      <c r="O884" s="81">
        <f t="shared" si="1431"/>
        <v>660</v>
      </c>
      <c r="P884" s="81">
        <f t="shared" si="1431"/>
        <v>641</v>
      </c>
      <c r="Q884" s="81">
        <f t="shared" si="1431"/>
        <v>1940</v>
      </c>
      <c r="R884" s="81">
        <f t="shared" si="1431"/>
        <v>1940</v>
      </c>
      <c r="S884" s="81">
        <f t="shared" si="1431"/>
        <v>1940</v>
      </c>
    </row>
    <row r="885" spans="1:19" ht="15">
      <c r="A885" s="41"/>
      <c r="B885" s="40" t="s">
        <v>161</v>
      </c>
      <c r="C885" s="19">
        <v>1</v>
      </c>
      <c r="D885" s="76">
        <f t="shared" ref="D885:S885" si="1432">D886+D889</f>
        <v>2500</v>
      </c>
      <c r="E885" s="76">
        <f t="shared" si="1432"/>
        <v>1877</v>
      </c>
      <c r="F885" s="76">
        <f t="shared" si="1432"/>
        <v>2500</v>
      </c>
      <c r="G885" s="76">
        <f t="shared" si="1432"/>
        <v>2392</v>
      </c>
      <c r="H885" s="76">
        <f t="shared" si="1432"/>
        <v>2377</v>
      </c>
      <c r="I885" s="330">
        <f t="shared" si="1432"/>
        <v>2621</v>
      </c>
      <c r="J885" s="76">
        <f t="shared" si="1432"/>
        <v>2541</v>
      </c>
      <c r="K885" s="72">
        <f t="shared" si="1367"/>
        <v>0</v>
      </c>
      <c r="L885" s="72">
        <f t="shared" si="1368"/>
        <v>2541</v>
      </c>
      <c r="M885" s="76">
        <f t="shared" ref="M885" si="1433">M886+M889</f>
        <v>620</v>
      </c>
      <c r="N885" s="76">
        <f t="shared" ref="N885" si="1434">N886+N889</f>
        <v>620</v>
      </c>
      <c r="O885" s="76">
        <f t="shared" ref="O885:P885" si="1435">O886+O889</f>
        <v>660</v>
      </c>
      <c r="P885" s="76">
        <f t="shared" si="1435"/>
        <v>641</v>
      </c>
      <c r="Q885" s="76">
        <f t="shared" si="1432"/>
        <v>1940</v>
      </c>
      <c r="R885" s="76">
        <f t="shared" si="1432"/>
        <v>1940</v>
      </c>
      <c r="S885" s="76">
        <f t="shared" si="1432"/>
        <v>1940</v>
      </c>
    </row>
    <row r="886" spans="1:19" ht="15" customHeight="1">
      <c r="A886" s="41"/>
      <c r="B886" s="40" t="s">
        <v>259</v>
      </c>
      <c r="C886" s="19" t="s">
        <v>303</v>
      </c>
      <c r="D886" s="76">
        <f t="shared" ref="D886:S886" si="1436">D887+D888</f>
        <v>2500</v>
      </c>
      <c r="E886" s="76">
        <f t="shared" si="1436"/>
        <v>1877</v>
      </c>
      <c r="F886" s="76">
        <f t="shared" si="1436"/>
        <v>2500</v>
      </c>
      <c r="G886" s="76">
        <f t="shared" si="1436"/>
        <v>2392</v>
      </c>
      <c r="H886" s="76">
        <f t="shared" si="1436"/>
        <v>2377</v>
      </c>
      <c r="I886" s="330">
        <f t="shared" si="1436"/>
        <v>2621</v>
      </c>
      <c r="J886" s="76">
        <f t="shared" si="1436"/>
        <v>2541</v>
      </c>
      <c r="K886" s="72">
        <f t="shared" si="1367"/>
        <v>0</v>
      </c>
      <c r="L886" s="72">
        <f t="shared" si="1368"/>
        <v>2541</v>
      </c>
      <c r="M886" s="76">
        <f t="shared" ref="M886" si="1437">M887+M888</f>
        <v>620</v>
      </c>
      <c r="N886" s="76">
        <f t="shared" ref="N886" si="1438">N887+N888</f>
        <v>620</v>
      </c>
      <c r="O886" s="76">
        <f t="shared" ref="O886:P886" si="1439">O887+O888</f>
        <v>660</v>
      </c>
      <c r="P886" s="76">
        <f t="shared" si="1439"/>
        <v>641</v>
      </c>
      <c r="Q886" s="76">
        <f t="shared" si="1436"/>
        <v>1940</v>
      </c>
      <c r="R886" s="76">
        <f t="shared" si="1436"/>
        <v>1940</v>
      </c>
      <c r="S886" s="76">
        <f t="shared" si="1436"/>
        <v>1940</v>
      </c>
    </row>
    <row r="887" spans="1:19" ht="15.75" customHeight="1">
      <c r="A887" s="41"/>
      <c r="B887" s="40" t="s">
        <v>162</v>
      </c>
      <c r="C887" s="19">
        <v>10</v>
      </c>
      <c r="D887" s="75">
        <v>1550</v>
      </c>
      <c r="E887" s="75">
        <v>1305</v>
      </c>
      <c r="F887" s="75">
        <v>1550</v>
      </c>
      <c r="G887" s="75">
        <v>1473</v>
      </c>
      <c r="H887" s="75">
        <v>1459</v>
      </c>
      <c r="I887" s="329">
        <f>1341+480</f>
        <v>1821</v>
      </c>
      <c r="J887" s="75">
        <f>1341+480</f>
        <v>1821</v>
      </c>
      <c r="K887" s="72">
        <f t="shared" si="1367"/>
        <v>0</v>
      </c>
      <c r="L887" s="72">
        <f t="shared" si="1368"/>
        <v>1821</v>
      </c>
      <c r="M887" s="75">
        <v>460</v>
      </c>
      <c r="N887" s="75">
        <v>460</v>
      </c>
      <c r="O887" s="75">
        <v>460</v>
      </c>
      <c r="P887" s="75">
        <v>441</v>
      </c>
      <c r="Q887" s="73">
        <v>1340</v>
      </c>
      <c r="R887" s="73">
        <v>1340</v>
      </c>
      <c r="S887" s="73">
        <v>1340</v>
      </c>
    </row>
    <row r="888" spans="1:19" ht="16.5" customHeight="1">
      <c r="A888" s="41"/>
      <c r="B888" s="40" t="s">
        <v>886</v>
      </c>
      <c r="C888" s="19">
        <v>20</v>
      </c>
      <c r="D888" s="75">
        <f>850+100</f>
        <v>950</v>
      </c>
      <c r="E888" s="73">
        <v>572</v>
      </c>
      <c r="F888" s="75">
        <v>950</v>
      </c>
      <c r="G888" s="75">
        <v>919</v>
      </c>
      <c r="H888" s="75">
        <v>918</v>
      </c>
      <c r="I888" s="329">
        <f>645+155</f>
        <v>800</v>
      </c>
      <c r="J888" s="75">
        <f>600+120</f>
        <v>720</v>
      </c>
      <c r="K888" s="72">
        <f t="shared" si="1367"/>
        <v>0</v>
      </c>
      <c r="L888" s="72">
        <f t="shared" si="1368"/>
        <v>720</v>
      </c>
      <c r="M888" s="75">
        <v>160</v>
      </c>
      <c r="N888" s="75">
        <v>160</v>
      </c>
      <c r="O888" s="75">
        <v>200</v>
      </c>
      <c r="P888" s="75">
        <v>200</v>
      </c>
      <c r="Q888" s="73">
        <v>600</v>
      </c>
      <c r="R888" s="73">
        <v>600</v>
      </c>
      <c r="S888" s="73">
        <v>600</v>
      </c>
    </row>
    <row r="889" spans="1:19" ht="12.75" hidden="1" customHeight="1">
      <c r="A889" s="41"/>
      <c r="B889" s="33" t="s">
        <v>537</v>
      </c>
      <c r="C889" s="92">
        <v>85.01</v>
      </c>
      <c r="D889" s="75"/>
      <c r="E889" s="75"/>
      <c r="F889" s="75"/>
      <c r="G889" s="75"/>
      <c r="H889" s="75"/>
      <c r="I889" s="329"/>
      <c r="J889" s="75"/>
      <c r="K889" s="72">
        <f t="shared" si="1367"/>
        <v>0</v>
      </c>
      <c r="L889" s="72">
        <f t="shared" si="1368"/>
        <v>0</v>
      </c>
      <c r="M889" s="75"/>
      <c r="N889" s="75"/>
      <c r="O889" s="75"/>
      <c r="P889" s="75"/>
      <c r="Q889" s="73"/>
      <c r="R889" s="73"/>
      <c r="S889" s="73"/>
    </row>
    <row r="890" spans="1:19" ht="15.75" customHeight="1">
      <c r="A890" s="41"/>
      <c r="B890" s="33" t="s">
        <v>172</v>
      </c>
      <c r="C890" s="19"/>
      <c r="D890" s="81">
        <f t="shared" ref="D890:S890" si="1440">D891</f>
        <v>1145</v>
      </c>
      <c r="E890" s="81">
        <f t="shared" si="1440"/>
        <v>1542</v>
      </c>
      <c r="F890" s="81">
        <f t="shared" si="1440"/>
        <v>1245</v>
      </c>
      <c r="G890" s="81">
        <f t="shared" si="1440"/>
        <v>1842</v>
      </c>
      <c r="H890" s="81">
        <f t="shared" si="1440"/>
        <v>1644</v>
      </c>
      <c r="I890" s="339">
        <f t="shared" si="1440"/>
        <v>383</v>
      </c>
      <c r="J890" s="81">
        <f t="shared" si="1440"/>
        <v>198</v>
      </c>
      <c r="K890" s="72">
        <f t="shared" si="1367"/>
        <v>0</v>
      </c>
      <c r="L890" s="72">
        <f t="shared" si="1368"/>
        <v>198</v>
      </c>
      <c r="M890" s="81">
        <f t="shared" si="1440"/>
        <v>198</v>
      </c>
      <c r="N890" s="81">
        <f t="shared" si="1440"/>
        <v>0</v>
      </c>
      <c r="O890" s="81">
        <f t="shared" si="1440"/>
        <v>0</v>
      </c>
      <c r="P890" s="81">
        <f t="shared" si="1440"/>
        <v>0</v>
      </c>
      <c r="Q890" s="81">
        <f t="shared" si="1440"/>
        <v>0</v>
      </c>
      <c r="R890" s="81">
        <f t="shared" si="1440"/>
        <v>0</v>
      </c>
      <c r="S890" s="81">
        <f t="shared" si="1440"/>
        <v>0</v>
      </c>
    </row>
    <row r="891" spans="1:19" ht="15">
      <c r="A891" s="41"/>
      <c r="B891" s="40" t="s">
        <v>178</v>
      </c>
      <c r="C891" s="19" t="s">
        <v>179</v>
      </c>
      <c r="D891" s="75">
        <v>1145</v>
      </c>
      <c r="E891" s="75">
        <v>1542</v>
      </c>
      <c r="F891" s="75">
        <v>1245</v>
      </c>
      <c r="G891" s="75">
        <v>1842</v>
      </c>
      <c r="H891" s="75">
        <v>1644</v>
      </c>
      <c r="I891" s="329">
        <v>383</v>
      </c>
      <c r="J891" s="75">
        <v>198</v>
      </c>
      <c r="K891" s="72">
        <f t="shared" si="1367"/>
        <v>0</v>
      </c>
      <c r="L891" s="72">
        <f t="shared" si="1368"/>
        <v>198</v>
      </c>
      <c r="M891" s="75">
        <v>198</v>
      </c>
      <c r="N891" s="75"/>
      <c r="O891" s="75"/>
      <c r="P891" s="75"/>
      <c r="Q891" s="73">
        <v>0</v>
      </c>
      <c r="R891" s="73"/>
      <c r="S891" s="73"/>
    </row>
    <row r="892" spans="1:19" ht="28.5">
      <c r="A892" s="41" t="s">
        <v>377</v>
      </c>
      <c r="B892" s="57" t="s">
        <v>378</v>
      </c>
      <c r="C892" s="19" t="s">
        <v>379</v>
      </c>
      <c r="D892" s="81">
        <f t="shared" ref="D892:S892" si="1441">D893+D900</f>
        <v>4125</v>
      </c>
      <c r="E892" s="81">
        <f t="shared" si="1441"/>
        <v>3844</v>
      </c>
      <c r="F892" s="81">
        <f t="shared" si="1441"/>
        <v>4135</v>
      </c>
      <c r="G892" s="81">
        <f t="shared" si="1441"/>
        <v>4135</v>
      </c>
      <c r="H892" s="81">
        <f t="shared" si="1441"/>
        <v>3910</v>
      </c>
      <c r="I892" s="339">
        <f t="shared" si="1441"/>
        <v>5250</v>
      </c>
      <c r="J892" s="81">
        <f t="shared" si="1441"/>
        <v>4700</v>
      </c>
      <c r="K892" s="72">
        <f t="shared" si="1367"/>
        <v>0</v>
      </c>
      <c r="L892" s="72">
        <f t="shared" si="1368"/>
        <v>4700</v>
      </c>
      <c r="M892" s="81">
        <f t="shared" ref="M892" si="1442">M893+M900</f>
        <v>1178</v>
      </c>
      <c r="N892" s="81">
        <f t="shared" ref="N892" si="1443">N893+N900</f>
        <v>1177</v>
      </c>
      <c r="O892" s="81">
        <f t="shared" ref="O892:P892" si="1444">O893+O900</f>
        <v>1173</v>
      </c>
      <c r="P892" s="81">
        <f t="shared" si="1444"/>
        <v>1172</v>
      </c>
      <c r="Q892" s="81">
        <f t="shared" si="1441"/>
        <v>4700</v>
      </c>
      <c r="R892" s="81">
        <f t="shared" si="1441"/>
        <v>4700</v>
      </c>
      <c r="S892" s="81">
        <f t="shared" si="1441"/>
        <v>4700</v>
      </c>
    </row>
    <row r="893" spans="1:19" ht="14.25">
      <c r="A893" s="41"/>
      <c r="B893" s="31" t="s">
        <v>160</v>
      </c>
      <c r="C893" s="19"/>
      <c r="D893" s="81">
        <f t="shared" ref="D893:S894" si="1445">D894</f>
        <v>4125</v>
      </c>
      <c r="E893" s="81">
        <f>E894+E899</f>
        <v>3844</v>
      </c>
      <c r="F893" s="81">
        <f t="shared" si="1445"/>
        <v>4125</v>
      </c>
      <c r="G893" s="81">
        <f t="shared" si="1445"/>
        <v>4125</v>
      </c>
      <c r="H893" s="81">
        <f t="shared" si="1445"/>
        <v>3910</v>
      </c>
      <c r="I893" s="339">
        <f t="shared" si="1445"/>
        <v>4750</v>
      </c>
      <c r="J893" s="81">
        <f t="shared" si="1445"/>
        <v>4700</v>
      </c>
      <c r="K893" s="72">
        <f t="shared" si="1367"/>
        <v>0</v>
      </c>
      <c r="L893" s="72">
        <f t="shared" si="1368"/>
        <v>4700</v>
      </c>
      <c r="M893" s="81">
        <f t="shared" si="1445"/>
        <v>1178</v>
      </c>
      <c r="N893" s="81">
        <f t="shared" si="1445"/>
        <v>1177</v>
      </c>
      <c r="O893" s="81">
        <f t="shared" si="1445"/>
        <v>1173</v>
      </c>
      <c r="P893" s="81">
        <f t="shared" si="1445"/>
        <v>1172</v>
      </c>
      <c r="Q893" s="81">
        <f t="shared" si="1445"/>
        <v>4700</v>
      </c>
      <c r="R893" s="81">
        <f t="shared" si="1445"/>
        <v>4700</v>
      </c>
      <c r="S893" s="81">
        <f t="shared" si="1445"/>
        <v>4700</v>
      </c>
    </row>
    <row r="894" spans="1:19" ht="15">
      <c r="A894" s="41"/>
      <c r="B894" s="40" t="s">
        <v>161</v>
      </c>
      <c r="C894" s="19">
        <v>1</v>
      </c>
      <c r="D894" s="76">
        <f t="shared" si="1445"/>
        <v>4125</v>
      </c>
      <c r="E894" s="76">
        <f t="shared" si="1445"/>
        <v>3850</v>
      </c>
      <c r="F894" s="76">
        <f t="shared" si="1445"/>
        <v>4125</v>
      </c>
      <c r="G894" s="76">
        <f t="shared" si="1445"/>
        <v>4125</v>
      </c>
      <c r="H894" s="76">
        <f t="shared" si="1445"/>
        <v>3910</v>
      </c>
      <c r="I894" s="330">
        <f t="shared" si="1445"/>
        <v>4750</v>
      </c>
      <c r="J894" s="76">
        <f t="shared" si="1445"/>
        <v>4700</v>
      </c>
      <c r="K894" s="72">
        <f t="shared" si="1367"/>
        <v>0</v>
      </c>
      <c r="L894" s="72">
        <f t="shared" si="1368"/>
        <v>4700</v>
      </c>
      <c r="M894" s="76">
        <f t="shared" si="1445"/>
        <v>1178</v>
      </c>
      <c r="N894" s="76">
        <f t="shared" si="1445"/>
        <v>1177</v>
      </c>
      <c r="O894" s="76">
        <f t="shared" si="1445"/>
        <v>1173</v>
      </c>
      <c r="P894" s="76">
        <f t="shared" si="1445"/>
        <v>1172</v>
      </c>
      <c r="Q894" s="76">
        <f t="shared" si="1445"/>
        <v>4700</v>
      </c>
      <c r="R894" s="76">
        <f t="shared" si="1445"/>
        <v>4700</v>
      </c>
      <c r="S894" s="76">
        <f t="shared" si="1445"/>
        <v>4700</v>
      </c>
    </row>
    <row r="895" spans="1:19" ht="15">
      <c r="A895" s="41"/>
      <c r="B895" s="40" t="s">
        <v>259</v>
      </c>
      <c r="C895" s="19" t="s">
        <v>303</v>
      </c>
      <c r="D895" s="76">
        <f t="shared" ref="D895:S895" si="1446">D896+D897+D898</f>
        <v>4125</v>
      </c>
      <c r="E895" s="76">
        <f t="shared" si="1446"/>
        <v>3850</v>
      </c>
      <c r="F895" s="76">
        <f t="shared" si="1446"/>
        <v>4125</v>
      </c>
      <c r="G895" s="76">
        <f t="shared" si="1446"/>
        <v>4125</v>
      </c>
      <c r="H895" s="76">
        <f t="shared" si="1446"/>
        <v>3910</v>
      </c>
      <c r="I895" s="330">
        <f t="shared" si="1446"/>
        <v>4750</v>
      </c>
      <c r="J895" s="76">
        <f t="shared" si="1446"/>
        <v>4700</v>
      </c>
      <c r="K895" s="72">
        <f t="shared" si="1367"/>
        <v>0</v>
      </c>
      <c r="L895" s="72">
        <f t="shared" si="1368"/>
        <v>4700</v>
      </c>
      <c r="M895" s="76">
        <f t="shared" ref="M895" si="1447">M896+M897+M898</f>
        <v>1178</v>
      </c>
      <c r="N895" s="76">
        <f t="shared" ref="N895" si="1448">N896+N897+N898</f>
        <v>1177</v>
      </c>
      <c r="O895" s="76">
        <f t="shared" ref="O895:P895" si="1449">O896+O897+O898</f>
        <v>1173</v>
      </c>
      <c r="P895" s="76">
        <f t="shared" si="1449"/>
        <v>1172</v>
      </c>
      <c r="Q895" s="76">
        <f t="shared" si="1446"/>
        <v>4700</v>
      </c>
      <c r="R895" s="76">
        <f t="shared" si="1446"/>
        <v>4700</v>
      </c>
      <c r="S895" s="76">
        <f t="shared" si="1446"/>
        <v>4700</v>
      </c>
    </row>
    <row r="896" spans="1:19" ht="15.75" customHeight="1">
      <c r="A896" s="41"/>
      <c r="B896" s="40" t="s">
        <v>162</v>
      </c>
      <c r="C896" s="19">
        <v>10</v>
      </c>
      <c r="D896" s="75">
        <v>3400</v>
      </c>
      <c r="E896" s="75">
        <v>3392</v>
      </c>
      <c r="F896" s="75">
        <v>3400</v>
      </c>
      <c r="G896" s="75">
        <v>3400</v>
      </c>
      <c r="H896" s="75">
        <v>3212</v>
      </c>
      <c r="I896" s="329">
        <v>4000</v>
      </c>
      <c r="J896" s="75">
        <v>4000</v>
      </c>
      <c r="K896" s="72">
        <f t="shared" si="1367"/>
        <v>0</v>
      </c>
      <c r="L896" s="72">
        <f t="shared" si="1368"/>
        <v>4000</v>
      </c>
      <c r="M896" s="75">
        <v>1000</v>
      </c>
      <c r="N896" s="75">
        <v>1000</v>
      </c>
      <c r="O896" s="75">
        <v>1000</v>
      </c>
      <c r="P896" s="75">
        <v>1000</v>
      </c>
      <c r="Q896" s="73">
        <v>4000</v>
      </c>
      <c r="R896" s="73">
        <v>4000</v>
      </c>
      <c r="S896" s="73">
        <v>4000</v>
      </c>
    </row>
    <row r="897" spans="1:19" ht="15" customHeight="1">
      <c r="A897" s="41"/>
      <c r="B897" s="40" t="s">
        <v>886</v>
      </c>
      <c r="C897" s="19">
        <v>20</v>
      </c>
      <c r="D897" s="75">
        <f>650+25</f>
        <v>675</v>
      </c>
      <c r="E897" s="75">
        <v>417</v>
      </c>
      <c r="F897" s="75">
        <v>675</v>
      </c>
      <c r="G897" s="75">
        <v>675</v>
      </c>
      <c r="H897" s="75">
        <v>652</v>
      </c>
      <c r="I897" s="329">
        <v>700</v>
      </c>
      <c r="J897" s="75">
        <v>650</v>
      </c>
      <c r="K897" s="72">
        <f t="shared" si="1367"/>
        <v>0</v>
      </c>
      <c r="L897" s="72">
        <f t="shared" si="1368"/>
        <v>650</v>
      </c>
      <c r="M897" s="75">
        <v>165</v>
      </c>
      <c r="N897" s="75">
        <v>165</v>
      </c>
      <c r="O897" s="75">
        <v>160</v>
      </c>
      <c r="P897" s="75">
        <v>160</v>
      </c>
      <c r="Q897" s="73">
        <v>650</v>
      </c>
      <c r="R897" s="73">
        <v>650</v>
      </c>
      <c r="S897" s="73">
        <v>650</v>
      </c>
    </row>
    <row r="898" spans="1:19" ht="15" customHeight="1">
      <c r="A898" s="41"/>
      <c r="B898" s="40" t="s">
        <v>469</v>
      </c>
      <c r="C898" s="19">
        <v>59</v>
      </c>
      <c r="D898" s="75">
        <v>50</v>
      </c>
      <c r="E898" s="75">
        <v>41</v>
      </c>
      <c r="F898" s="75">
        <v>50</v>
      </c>
      <c r="G898" s="75">
        <v>50</v>
      </c>
      <c r="H898" s="75">
        <v>46</v>
      </c>
      <c r="I898" s="329">
        <v>50</v>
      </c>
      <c r="J898" s="75">
        <v>50</v>
      </c>
      <c r="K898" s="72">
        <f t="shared" si="1367"/>
        <v>0</v>
      </c>
      <c r="L898" s="72">
        <f t="shared" si="1368"/>
        <v>50</v>
      </c>
      <c r="M898" s="75">
        <v>13</v>
      </c>
      <c r="N898" s="75">
        <v>12</v>
      </c>
      <c r="O898" s="75">
        <v>13</v>
      </c>
      <c r="P898" s="75">
        <v>12</v>
      </c>
      <c r="Q898" s="73">
        <v>50</v>
      </c>
      <c r="R898" s="73">
        <v>50</v>
      </c>
      <c r="S898" s="73">
        <v>50</v>
      </c>
    </row>
    <row r="899" spans="1:19" ht="0.75" customHeight="1">
      <c r="A899" s="41"/>
      <c r="B899" s="33" t="s">
        <v>537</v>
      </c>
      <c r="C899" s="92">
        <v>85.01</v>
      </c>
      <c r="D899" s="75"/>
      <c r="E899" s="75">
        <v>-6</v>
      </c>
      <c r="F899" s="75"/>
      <c r="G899" s="75"/>
      <c r="H899" s="75"/>
      <c r="I899" s="329"/>
      <c r="J899" s="75"/>
      <c r="K899" s="72">
        <f t="shared" si="1367"/>
        <v>0</v>
      </c>
      <c r="L899" s="72">
        <f t="shared" si="1368"/>
        <v>0</v>
      </c>
      <c r="M899" s="75"/>
      <c r="N899" s="75"/>
      <c r="O899" s="75"/>
      <c r="P899" s="75"/>
      <c r="Q899" s="73"/>
      <c r="R899" s="73"/>
      <c r="S899" s="73"/>
    </row>
    <row r="900" spans="1:19" ht="12" hidden="1" customHeight="1">
      <c r="A900" s="41"/>
      <c r="B900" s="33" t="s">
        <v>172</v>
      </c>
      <c r="C900" s="19"/>
      <c r="D900" s="81">
        <f t="shared" ref="D900:S900" si="1450">D901</f>
        <v>0</v>
      </c>
      <c r="E900" s="81"/>
      <c r="F900" s="81">
        <f>F901</f>
        <v>10</v>
      </c>
      <c r="G900" s="81">
        <f>G901</f>
        <v>10</v>
      </c>
      <c r="H900" s="81">
        <f>H901</f>
        <v>0</v>
      </c>
      <c r="I900" s="339">
        <f>I901</f>
        <v>500</v>
      </c>
      <c r="J900" s="81">
        <f>J901</f>
        <v>0</v>
      </c>
      <c r="K900" s="72">
        <f t="shared" si="1367"/>
        <v>0</v>
      </c>
      <c r="L900" s="72">
        <f t="shared" si="1368"/>
        <v>0</v>
      </c>
      <c r="M900" s="81">
        <f>M901</f>
        <v>0</v>
      </c>
      <c r="N900" s="81">
        <f>N901</f>
        <v>0</v>
      </c>
      <c r="O900" s="81">
        <f>O901</f>
        <v>0</v>
      </c>
      <c r="P900" s="81">
        <f>P901</f>
        <v>0</v>
      </c>
      <c r="Q900" s="81">
        <f t="shared" si="1450"/>
        <v>0</v>
      </c>
      <c r="R900" s="81">
        <f t="shared" si="1450"/>
        <v>0</v>
      </c>
      <c r="S900" s="81">
        <f t="shared" si="1450"/>
        <v>0</v>
      </c>
    </row>
    <row r="901" spans="1:19" ht="18.75" hidden="1" customHeight="1">
      <c r="A901" s="41"/>
      <c r="B901" s="40" t="s">
        <v>178</v>
      </c>
      <c r="C901" s="19" t="s">
        <v>179</v>
      </c>
      <c r="D901" s="75"/>
      <c r="E901" s="75"/>
      <c r="F901" s="75">
        <v>10</v>
      </c>
      <c r="G901" s="75">
        <v>10</v>
      </c>
      <c r="H901" s="75">
        <v>0</v>
      </c>
      <c r="I901" s="329">
        <v>500</v>
      </c>
      <c r="J901" s="75"/>
      <c r="K901" s="72">
        <f t="shared" si="1367"/>
        <v>0</v>
      </c>
      <c r="L901" s="72">
        <f t="shared" si="1368"/>
        <v>0</v>
      </c>
      <c r="M901" s="75"/>
      <c r="N901" s="75"/>
      <c r="O901" s="75"/>
      <c r="P901" s="75"/>
      <c r="Q901" s="73"/>
      <c r="R901" s="73"/>
      <c r="S901" s="73"/>
    </row>
    <row r="902" spans="1:19" ht="26.25" customHeight="1">
      <c r="A902" s="41" t="s">
        <v>380</v>
      </c>
      <c r="B902" s="57" t="s">
        <v>381</v>
      </c>
      <c r="C902" s="19" t="s">
        <v>379</v>
      </c>
      <c r="D902" s="81">
        <f t="shared" ref="D902:S902" si="1451">D903+D909</f>
        <v>1872</v>
      </c>
      <c r="E902" s="81">
        <f t="shared" si="1451"/>
        <v>1531</v>
      </c>
      <c r="F902" s="81">
        <f t="shared" si="1451"/>
        <v>1912</v>
      </c>
      <c r="G902" s="81">
        <f t="shared" si="1451"/>
        <v>1912</v>
      </c>
      <c r="H902" s="81">
        <f t="shared" si="1451"/>
        <v>1661</v>
      </c>
      <c r="I902" s="339">
        <f t="shared" si="1451"/>
        <v>2313</v>
      </c>
      <c r="J902" s="81">
        <f t="shared" si="1451"/>
        <v>2240</v>
      </c>
      <c r="K902" s="72">
        <f t="shared" si="1367"/>
        <v>0</v>
      </c>
      <c r="L902" s="72">
        <f t="shared" si="1368"/>
        <v>2240</v>
      </c>
      <c r="M902" s="81">
        <f t="shared" ref="M902" si="1452">M903+M909</f>
        <v>575</v>
      </c>
      <c r="N902" s="81">
        <f t="shared" ref="N902" si="1453">N903+N909</f>
        <v>575</v>
      </c>
      <c r="O902" s="81">
        <f t="shared" ref="O902:P902" si="1454">O903+O909</f>
        <v>570</v>
      </c>
      <c r="P902" s="81">
        <f t="shared" si="1454"/>
        <v>520</v>
      </c>
      <c r="Q902" s="81">
        <f t="shared" si="1451"/>
        <v>2240</v>
      </c>
      <c r="R902" s="81">
        <f t="shared" si="1451"/>
        <v>2240</v>
      </c>
      <c r="S902" s="81">
        <f t="shared" si="1451"/>
        <v>2240</v>
      </c>
    </row>
    <row r="903" spans="1:19" ht="15" customHeight="1">
      <c r="A903" s="41"/>
      <c r="B903" s="31" t="s">
        <v>160</v>
      </c>
      <c r="C903" s="19"/>
      <c r="D903" s="76">
        <f t="shared" ref="D903:S904" si="1455">D904</f>
        <v>1800</v>
      </c>
      <c r="E903" s="76">
        <f>E904+E908</f>
        <v>1516</v>
      </c>
      <c r="F903" s="76">
        <f t="shared" si="1455"/>
        <v>1840</v>
      </c>
      <c r="G903" s="76">
        <f t="shared" si="1455"/>
        <v>1840</v>
      </c>
      <c r="H903" s="76">
        <f t="shared" si="1455"/>
        <v>1613</v>
      </c>
      <c r="I903" s="330">
        <f t="shared" si="1455"/>
        <v>2248</v>
      </c>
      <c r="J903" s="76">
        <f t="shared" si="1455"/>
        <v>2240</v>
      </c>
      <c r="K903" s="72">
        <f t="shared" si="1367"/>
        <v>0</v>
      </c>
      <c r="L903" s="72">
        <f t="shared" si="1368"/>
        <v>2240</v>
      </c>
      <c r="M903" s="76">
        <f t="shared" si="1455"/>
        <v>575</v>
      </c>
      <c r="N903" s="76">
        <f t="shared" si="1455"/>
        <v>575</v>
      </c>
      <c r="O903" s="76">
        <f t="shared" si="1455"/>
        <v>570</v>
      </c>
      <c r="P903" s="76">
        <f t="shared" si="1455"/>
        <v>520</v>
      </c>
      <c r="Q903" s="76">
        <f t="shared" si="1455"/>
        <v>2240</v>
      </c>
      <c r="R903" s="76">
        <f t="shared" si="1455"/>
        <v>2240</v>
      </c>
      <c r="S903" s="76">
        <f t="shared" si="1455"/>
        <v>2240</v>
      </c>
    </row>
    <row r="904" spans="1:19" ht="15" customHeight="1">
      <c r="A904" s="41"/>
      <c r="B904" s="40" t="s">
        <v>161</v>
      </c>
      <c r="C904" s="19">
        <v>1</v>
      </c>
      <c r="D904" s="76">
        <f t="shared" si="1455"/>
        <v>1800</v>
      </c>
      <c r="E904" s="76">
        <f t="shared" si="1455"/>
        <v>1518</v>
      </c>
      <c r="F904" s="76">
        <f t="shared" si="1455"/>
        <v>1840</v>
      </c>
      <c r="G904" s="76">
        <f t="shared" si="1455"/>
        <v>1840</v>
      </c>
      <c r="H904" s="76">
        <f t="shared" si="1455"/>
        <v>1613</v>
      </c>
      <c r="I904" s="330">
        <f t="shared" si="1455"/>
        <v>2248</v>
      </c>
      <c r="J904" s="76">
        <f t="shared" si="1455"/>
        <v>2240</v>
      </c>
      <c r="K904" s="72">
        <f t="shared" si="1367"/>
        <v>0</v>
      </c>
      <c r="L904" s="72">
        <f t="shared" si="1368"/>
        <v>2240</v>
      </c>
      <c r="M904" s="76">
        <f t="shared" si="1455"/>
        <v>575</v>
      </c>
      <c r="N904" s="76">
        <f t="shared" si="1455"/>
        <v>575</v>
      </c>
      <c r="O904" s="76">
        <f t="shared" si="1455"/>
        <v>570</v>
      </c>
      <c r="P904" s="76">
        <f t="shared" si="1455"/>
        <v>520</v>
      </c>
      <c r="Q904" s="76">
        <f t="shared" si="1455"/>
        <v>2240</v>
      </c>
      <c r="R904" s="76">
        <f t="shared" si="1455"/>
        <v>2240</v>
      </c>
      <c r="S904" s="76">
        <f t="shared" si="1455"/>
        <v>2240</v>
      </c>
    </row>
    <row r="905" spans="1:19" ht="15" customHeight="1">
      <c r="A905" s="41"/>
      <c r="B905" s="40" t="s">
        <v>259</v>
      </c>
      <c r="C905" s="19" t="s">
        <v>303</v>
      </c>
      <c r="D905" s="76">
        <f t="shared" ref="D905:S905" si="1456">D906+D907</f>
        <v>1800</v>
      </c>
      <c r="E905" s="76">
        <f t="shared" si="1456"/>
        <v>1518</v>
      </c>
      <c r="F905" s="76">
        <f t="shared" si="1456"/>
        <v>1840</v>
      </c>
      <c r="G905" s="76">
        <f t="shared" si="1456"/>
        <v>1840</v>
      </c>
      <c r="H905" s="76">
        <f t="shared" si="1456"/>
        <v>1613</v>
      </c>
      <c r="I905" s="330">
        <f t="shared" si="1456"/>
        <v>2248</v>
      </c>
      <c r="J905" s="76">
        <f t="shared" si="1456"/>
        <v>2240</v>
      </c>
      <c r="K905" s="72">
        <f t="shared" si="1367"/>
        <v>0</v>
      </c>
      <c r="L905" s="72">
        <f t="shared" si="1368"/>
        <v>2240</v>
      </c>
      <c r="M905" s="76">
        <f t="shared" ref="M905" si="1457">M906+M907</f>
        <v>575</v>
      </c>
      <c r="N905" s="76">
        <f t="shared" ref="N905" si="1458">N906+N907</f>
        <v>575</v>
      </c>
      <c r="O905" s="76">
        <f t="shared" ref="O905:P905" si="1459">O906+O907</f>
        <v>570</v>
      </c>
      <c r="P905" s="76">
        <f t="shared" si="1459"/>
        <v>520</v>
      </c>
      <c r="Q905" s="76">
        <f t="shared" si="1456"/>
        <v>2240</v>
      </c>
      <c r="R905" s="76">
        <f t="shared" si="1456"/>
        <v>2240</v>
      </c>
      <c r="S905" s="76">
        <f t="shared" si="1456"/>
        <v>2240</v>
      </c>
    </row>
    <row r="906" spans="1:19" ht="15" customHeight="1">
      <c r="A906" s="41"/>
      <c r="B906" s="40" t="s">
        <v>162</v>
      </c>
      <c r="C906" s="19">
        <v>10</v>
      </c>
      <c r="D906" s="75">
        <v>1400</v>
      </c>
      <c r="E906" s="75">
        <v>1139</v>
      </c>
      <c r="F906" s="75">
        <v>1400</v>
      </c>
      <c r="G906" s="75">
        <v>1364</v>
      </c>
      <c r="H906" s="75">
        <v>1155</v>
      </c>
      <c r="I906" s="329">
        <v>1758</v>
      </c>
      <c r="J906" s="75">
        <v>1750</v>
      </c>
      <c r="K906" s="72">
        <f t="shared" si="1367"/>
        <v>0</v>
      </c>
      <c r="L906" s="72">
        <f t="shared" si="1368"/>
        <v>1750</v>
      </c>
      <c r="M906" s="75">
        <v>450</v>
      </c>
      <c r="N906" s="75">
        <v>450</v>
      </c>
      <c r="O906" s="75">
        <v>445</v>
      </c>
      <c r="P906" s="75">
        <v>405</v>
      </c>
      <c r="Q906" s="73">
        <v>1750</v>
      </c>
      <c r="R906" s="73">
        <v>1750</v>
      </c>
      <c r="S906" s="73">
        <v>1750</v>
      </c>
    </row>
    <row r="907" spans="1:19" ht="15" customHeight="1">
      <c r="A907" s="41"/>
      <c r="B907" s="40" t="s">
        <v>886</v>
      </c>
      <c r="C907" s="19">
        <v>20</v>
      </c>
      <c r="D907" s="75">
        <v>400</v>
      </c>
      <c r="E907" s="75">
        <v>379</v>
      </c>
      <c r="F907" s="75">
        <v>440</v>
      </c>
      <c r="G907" s="75">
        <v>476</v>
      </c>
      <c r="H907" s="75">
        <v>458</v>
      </c>
      <c r="I907" s="329">
        <v>490</v>
      </c>
      <c r="J907" s="75">
        <v>490</v>
      </c>
      <c r="K907" s="72">
        <f t="shared" si="1367"/>
        <v>0</v>
      </c>
      <c r="L907" s="72">
        <f t="shared" si="1368"/>
        <v>490</v>
      </c>
      <c r="M907" s="75">
        <v>125</v>
      </c>
      <c r="N907" s="75">
        <v>125</v>
      </c>
      <c r="O907" s="75">
        <v>125</v>
      </c>
      <c r="P907" s="75">
        <v>115</v>
      </c>
      <c r="Q907" s="73">
        <v>490</v>
      </c>
      <c r="R907" s="73">
        <v>490</v>
      </c>
      <c r="S907" s="73">
        <v>490</v>
      </c>
    </row>
    <row r="908" spans="1:19" ht="0.75" customHeight="1">
      <c r="A908" s="41"/>
      <c r="B908" s="33" t="s">
        <v>537</v>
      </c>
      <c r="C908" s="92">
        <v>85.01</v>
      </c>
      <c r="D908" s="75"/>
      <c r="E908" s="75">
        <v>-2</v>
      </c>
      <c r="F908" s="75"/>
      <c r="G908" s="75"/>
      <c r="H908" s="75"/>
      <c r="I908" s="329"/>
      <c r="J908" s="75"/>
      <c r="K908" s="72">
        <f t="shared" ref="K908:K971" si="1460">J908-L908</f>
        <v>0</v>
      </c>
      <c r="L908" s="72">
        <f t="shared" ref="L908:L971" si="1461">M908+N908+O908+P908</f>
        <v>0</v>
      </c>
      <c r="M908" s="75"/>
      <c r="N908" s="75"/>
      <c r="O908" s="75"/>
      <c r="P908" s="75"/>
      <c r="Q908" s="73"/>
      <c r="R908" s="73"/>
      <c r="S908" s="73"/>
    </row>
    <row r="909" spans="1:19" ht="15" hidden="1" customHeight="1">
      <c r="A909" s="41"/>
      <c r="B909" s="33" t="s">
        <v>172</v>
      </c>
      <c r="C909" s="19"/>
      <c r="D909" s="81">
        <f t="shared" ref="D909:S909" si="1462">D910</f>
        <v>72</v>
      </c>
      <c r="E909" s="81">
        <f t="shared" si="1462"/>
        <v>15</v>
      </c>
      <c r="F909" s="81">
        <f t="shared" si="1462"/>
        <v>72</v>
      </c>
      <c r="G909" s="81">
        <f t="shared" si="1462"/>
        <v>72</v>
      </c>
      <c r="H909" s="81">
        <f t="shared" si="1462"/>
        <v>48</v>
      </c>
      <c r="I909" s="339">
        <f t="shared" si="1462"/>
        <v>65</v>
      </c>
      <c r="J909" s="81">
        <f t="shared" si="1462"/>
        <v>0</v>
      </c>
      <c r="K909" s="72">
        <f t="shared" si="1460"/>
        <v>0</v>
      </c>
      <c r="L909" s="72">
        <f t="shared" si="1461"/>
        <v>0</v>
      </c>
      <c r="M909" s="81">
        <f t="shared" si="1462"/>
        <v>0</v>
      </c>
      <c r="N909" s="81">
        <f t="shared" si="1462"/>
        <v>0</v>
      </c>
      <c r="O909" s="81">
        <f t="shared" si="1462"/>
        <v>0</v>
      </c>
      <c r="P909" s="81">
        <f t="shared" si="1462"/>
        <v>0</v>
      </c>
      <c r="Q909" s="81">
        <f t="shared" si="1462"/>
        <v>0</v>
      </c>
      <c r="R909" s="81">
        <f t="shared" si="1462"/>
        <v>0</v>
      </c>
      <c r="S909" s="81">
        <f t="shared" si="1462"/>
        <v>0</v>
      </c>
    </row>
    <row r="910" spans="1:19" ht="15" hidden="1" customHeight="1">
      <c r="A910" s="41"/>
      <c r="B910" s="40" t="s">
        <v>178</v>
      </c>
      <c r="C910" s="19" t="s">
        <v>179</v>
      </c>
      <c r="D910" s="75">
        <v>72</v>
      </c>
      <c r="E910" s="75">
        <v>15</v>
      </c>
      <c r="F910" s="75">
        <v>72</v>
      </c>
      <c r="G910" s="75">
        <v>72</v>
      </c>
      <c r="H910" s="75">
        <v>48</v>
      </c>
      <c r="I910" s="329">
        <v>65</v>
      </c>
      <c r="J910" s="75"/>
      <c r="K910" s="72">
        <f t="shared" si="1460"/>
        <v>0</v>
      </c>
      <c r="L910" s="72">
        <f t="shared" si="1461"/>
        <v>0</v>
      </c>
      <c r="M910" s="75"/>
      <c r="N910" s="75"/>
      <c r="O910" s="75"/>
      <c r="P910" s="75"/>
      <c r="Q910" s="73"/>
      <c r="R910" s="73"/>
      <c r="S910" s="73"/>
    </row>
    <row r="911" spans="1:19" ht="28.5" customHeight="1">
      <c r="A911" s="41" t="s">
        <v>382</v>
      </c>
      <c r="B911" s="57" t="s">
        <v>383</v>
      </c>
      <c r="C911" s="19" t="s">
        <v>379</v>
      </c>
      <c r="D911" s="81">
        <f t="shared" ref="D911:S911" si="1463">D912+D917</f>
        <v>1860</v>
      </c>
      <c r="E911" s="81">
        <f t="shared" si="1463"/>
        <v>689</v>
      </c>
      <c r="F911" s="81">
        <f t="shared" si="1463"/>
        <v>1860</v>
      </c>
      <c r="G911" s="81">
        <f t="shared" si="1463"/>
        <v>1919</v>
      </c>
      <c r="H911" s="81">
        <f t="shared" si="1463"/>
        <v>1654</v>
      </c>
      <c r="I911" s="339">
        <f t="shared" si="1463"/>
        <v>1992</v>
      </c>
      <c r="J911" s="81">
        <f t="shared" si="1463"/>
        <v>1942</v>
      </c>
      <c r="K911" s="72">
        <f t="shared" si="1460"/>
        <v>0</v>
      </c>
      <c r="L911" s="72">
        <f t="shared" si="1461"/>
        <v>1942</v>
      </c>
      <c r="M911" s="81">
        <f t="shared" ref="M911" si="1464">M912+M917</f>
        <v>495</v>
      </c>
      <c r="N911" s="81">
        <f t="shared" ref="N911" si="1465">N912+N917</f>
        <v>495</v>
      </c>
      <c r="O911" s="81">
        <f t="shared" ref="O911:P911" si="1466">O912+O917</f>
        <v>485</v>
      </c>
      <c r="P911" s="81">
        <f t="shared" si="1466"/>
        <v>467</v>
      </c>
      <c r="Q911" s="81">
        <f t="shared" si="1463"/>
        <v>1950</v>
      </c>
      <c r="R911" s="81">
        <f t="shared" si="1463"/>
        <v>1950</v>
      </c>
      <c r="S911" s="81">
        <f t="shared" si="1463"/>
        <v>1950</v>
      </c>
    </row>
    <row r="912" spans="1:19" ht="15" customHeight="1">
      <c r="A912" s="41"/>
      <c r="B912" s="31" t="s">
        <v>160</v>
      </c>
      <c r="C912" s="19"/>
      <c r="D912" s="81">
        <f t="shared" ref="D912:S913" si="1467">D913</f>
        <v>1860</v>
      </c>
      <c r="E912" s="81">
        <f t="shared" si="1467"/>
        <v>677</v>
      </c>
      <c r="F912" s="81">
        <f t="shared" si="1467"/>
        <v>1860</v>
      </c>
      <c r="G912" s="81">
        <f t="shared" si="1467"/>
        <v>1860</v>
      </c>
      <c r="H912" s="81">
        <f t="shared" si="1467"/>
        <v>1599</v>
      </c>
      <c r="I912" s="339">
        <f t="shared" si="1467"/>
        <v>1992</v>
      </c>
      <c r="J912" s="81">
        <f t="shared" si="1467"/>
        <v>1942</v>
      </c>
      <c r="K912" s="72">
        <f t="shared" si="1460"/>
        <v>0</v>
      </c>
      <c r="L912" s="72">
        <f t="shared" si="1461"/>
        <v>1942</v>
      </c>
      <c r="M912" s="81">
        <f t="shared" si="1467"/>
        <v>495</v>
      </c>
      <c r="N912" s="81">
        <f t="shared" si="1467"/>
        <v>495</v>
      </c>
      <c r="O912" s="81">
        <f t="shared" si="1467"/>
        <v>485</v>
      </c>
      <c r="P912" s="81">
        <f t="shared" si="1467"/>
        <v>467</v>
      </c>
      <c r="Q912" s="81">
        <f t="shared" si="1467"/>
        <v>1950</v>
      </c>
      <c r="R912" s="81">
        <f t="shared" si="1467"/>
        <v>1950</v>
      </c>
      <c r="S912" s="81">
        <f t="shared" si="1467"/>
        <v>1950</v>
      </c>
    </row>
    <row r="913" spans="1:19" ht="15" customHeight="1">
      <c r="A913" s="41"/>
      <c r="B913" s="40" t="s">
        <v>161</v>
      </c>
      <c r="C913" s="19">
        <v>1</v>
      </c>
      <c r="D913" s="76">
        <f t="shared" si="1467"/>
        <v>1860</v>
      </c>
      <c r="E913" s="76">
        <f t="shared" si="1467"/>
        <v>677</v>
      </c>
      <c r="F913" s="76">
        <f t="shared" si="1467"/>
        <v>1860</v>
      </c>
      <c r="G913" s="76">
        <f t="shared" si="1467"/>
        <v>1860</v>
      </c>
      <c r="H913" s="76">
        <f t="shared" si="1467"/>
        <v>1599</v>
      </c>
      <c r="I913" s="330">
        <f t="shared" si="1467"/>
        <v>1992</v>
      </c>
      <c r="J913" s="76">
        <f t="shared" si="1467"/>
        <v>1942</v>
      </c>
      <c r="K913" s="72">
        <f t="shared" si="1460"/>
        <v>0</v>
      </c>
      <c r="L913" s="72">
        <f t="shared" si="1461"/>
        <v>1942</v>
      </c>
      <c r="M913" s="76">
        <f t="shared" si="1467"/>
        <v>495</v>
      </c>
      <c r="N913" s="76">
        <f t="shared" si="1467"/>
        <v>495</v>
      </c>
      <c r="O913" s="76">
        <f t="shared" si="1467"/>
        <v>485</v>
      </c>
      <c r="P913" s="76">
        <f t="shared" si="1467"/>
        <v>467</v>
      </c>
      <c r="Q913" s="76">
        <f t="shared" si="1467"/>
        <v>1950</v>
      </c>
      <c r="R913" s="76">
        <f t="shared" si="1467"/>
        <v>1950</v>
      </c>
      <c r="S913" s="76">
        <f t="shared" si="1467"/>
        <v>1950</v>
      </c>
    </row>
    <row r="914" spans="1:19" ht="15" customHeight="1">
      <c r="A914" s="41"/>
      <c r="B914" s="40" t="s">
        <v>259</v>
      </c>
      <c r="C914" s="19" t="s">
        <v>303</v>
      </c>
      <c r="D914" s="76">
        <f t="shared" ref="D914:S914" si="1468">D915+D916</f>
        <v>1860</v>
      </c>
      <c r="E914" s="76">
        <f t="shared" si="1468"/>
        <v>677</v>
      </c>
      <c r="F914" s="76">
        <f t="shared" si="1468"/>
        <v>1860</v>
      </c>
      <c r="G914" s="76">
        <f t="shared" si="1468"/>
        <v>1860</v>
      </c>
      <c r="H914" s="76">
        <f t="shared" si="1468"/>
        <v>1599</v>
      </c>
      <c r="I914" s="330">
        <f t="shared" si="1468"/>
        <v>1992</v>
      </c>
      <c r="J914" s="76">
        <f t="shared" si="1468"/>
        <v>1942</v>
      </c>
      <c r="K914" s="72">
        <f t="shared" si="1460"/>
        <v>0</v>
      </c>
      <c r="L914" s="72">
        <f t="shared" si="1461"/>
        <v>1942</v>
      </c>
      <c r="M914" s="76">
        <f t="shared" ref="M914" si="1469">M915+M916</f>
        <v>495</v>
      </c>
      <c r="N914" s="76">
        <f t="shared" ref="N914" si="1470">N915+N916</f>
        <v>495</v>
      </c>
      <c r="O914" s="76">
        <f t="shared" ref="O914:P914" si="1471">O915+O916</f>
        <v>485</v>
      </c>
      <c r="P914" s="76">
        <f t="shared" si="1471"/>
        <v>467</v>
      </c>
      <c r="Q914" s="76">
        <f t="shared" si="1468"/>
        <v>1950</v>
      </c>
      <c r="R914" s="76">
        <f t="shared" si="1468"/>
        <v>1950</v>
      </c>
      <c r="S914" s="76">
        <f t="shared" si="1468"/>
        <v>1950</v>
      </c>
    </row>
    <row r="915" spans="1:19" ht="15" customHeight="1">
      <c r="A915" s="41"/>
      <c r="B915" s="40" t="s">
        <v>162</v>
      </c>
      <c r="C915" s="19">
        <v>10</v>
      </c>
      <c r="D915" s="75">
        <v>1310</v>
      </c>
      <c r="E915" s="75">
        <v>462</v>
      </c>
      <c r="F915" s="75">
        <v>1310</v>
      </c>
      <c r="G915" s="75">
        <v>1310</v>
      </c>
      <c r="H915" s="75">
        <v>1188</v>
      </c>
      <c r="I915" s="329">
        <v>1442</v>
      </c>
      <c r="J915" s="75">
        <v>1442</v>
      </c>
      <c r="K915" s="72">
        <f t="shared" si="1460"/>
        <v>0</v>
      </c>
      <c r="L915" s="72">
        <f t="shared" si="1461"/>
        <v>1442</v>
      </c>
      <c r="M915" s="75">
        <v>370</v>
      </c>
      <c r="N915" s="75">
        <v>370</v>
      </c>
      <c r="O915" s="75">
        <v>360</v>
      </c>
      <c r="P915" s="75">
        <v>342</v>
      </c>
      <c r="Q915" s="73">
        <v>1450</v>
      </c>
      <c r="R915" s="73">
        <v>1450</v>
      </c>
      <c r="S915" s="73">
        <v>1450</v>
      </c>
    </row>
    <row r="916" spans="1:19" ht="14.25" customHeight="1">
      <c r="A916" s="41"/>
      <c r="B916" s="40" t="s">
        <v>163</v>
      </c>
      <c r="C916" s="19">
        <v>20</v>
      </c>
      <c r="D916" s="75">
        <v>550</v>
      </c>
      <c r="E916" s="75">
        <v>215</v>
      </c>
      <c r="F916" s="75">
        <v>550</v>
      </c>
      <c r="G916" s="75">
        <v>550</v>
      </c>
      <c r="H916" s="75">
        <v>411</v>
      </c>
      <c r="I916" s="329">
        <v>550</v>
      </c>
      <c r="J916" s="75">
        <v>500</v>
      </c>
      <c r="K916" s="72">
        <f t="shared" si="1460"/>
        <v>0</v>
      </c>
      <c r="L916" s="72">
        <f t="shared" si="1461"/>
        <v>500</v>
      </c>
      <c r="M916" s="75">
        <v>125</v>
      </c>
      <c r="N916" s="75">
        <v>125</v>
      </c>
      <c r="O916" s="75">
        <v>125</v>
      </c>
      <c r="P916" s="75">
        <v>125</v>
      </c>
      <c r="Q916" s="73">
        <v>500</v>
      </c>
      <c r="R916" s="73">
        <v>500</v>
      </c>
      <c r="S916" s="73">
        <v>500</v>
      </c>
    </row>
    <row r="917" spans="1:19" ht="15" hidden="1" customHeight="1">
      <c r="A917" s="41"/>
      <c r="B917" s="33" t="s">
        <v>172</v>
      </c>
      <c r="C917" s="19"/>
      <c r="D917" s="76">
        <f t="shared" ref="D917:S917" si="1472">D918</f>
        <v>0</v>
      </c>
      <c r="E917" s="76">
        <f t="shared" si="1472"/>
        <v>12</v>
      </c>
      <c r="F917" s="76">
        <f t="shared" si="1472"/>
        <v>0</v>
      </c>
      <c r="G917" s="76">
        <f t="shared" si="1472"/>
        <v>59</v>
      </c>
      <c r="H917" s="76">
        <f t="shared" si="1472"/>
        <v>55</v>
      </c>
      <c r="I917" s="330">
        <f t="shared" si="1472"/>
        <v>0</v>
      </c>
      <c r="J917" s="76">
        <f t="shared" si="1472"/>
        <v>0</v>
      </c>
      <c r="K917" s="72">
        <f t="shared" si="1460"/>
        <v>0</v>
      </c>
      <c r="L917" s="72">
        <f t="shared" si="1461"/>
        <v>0</v>
      </c>
      <c r="M917" s="76">
        <f t="shared" si="1472"/>
        <v>0</v>
      </c>
      <c r="N917" s="76">
        <f t="shared" si="1472"/>
        <v>0</v>
      </c>
      <c r="O917" s="76">
        <f t="shared" si="1472"/>
        <v>0</v>
      </c>
      <c r="P917" s="76">
        <f t="shared" si="1472"/>
        <v>0</v>
      </c>
      <c r="Q917" s="76">
        <f t="shared" si="1472"/>
        <v>0</v>
      </c>
      <c r="R917" s="76">
        <f t="shared" si="1472"/>
        <v>0</v>
      </c>
      <c r="S917" s="76">
        <f t="shared" si="1472"/>
        <v>0</v>
      </c>
    </row>
    <row r="918" spans="1:19" ht="15" hidden="1" customHeight="1">
      <c r="A918" s="41"/>
      <c r="B918" s="40" t="s">
        <v>178</v>
      </c>
      <c r="C918" s="19" t="s">
        <v>179</v>
      </c>
      <c r="D918" s="75">
        <v>0</v>
      </c>
      <c r="E918" s="75">
        <v>12</v>
      </c>
      <c r="F918" s="75"/>
      <c r="G918" s="75">
        <v>59</v>
      </c>
      <c r="H918" s="75">
        <v>55</v>
      </c>
      <c r="I918" s="329">
        <v>0</v>
      </c>
      <c r="J918" s="75"/>
      <c r="K918" s="72">
        <f t="shared" si="1460"/>
        <v>0</v>
      </c>
      <c r="L918" s="72">
        <f t="shared" si="1461"/>
        <v>0</v>
      </c>
      <c r="M918" s="75"/>
      <c r="N918" s="75"/>
      <c r="O918" s="75"/>
      <c r="P918" s="75"/>
      <c r="Q918" s="73"/>
      <c r="R918" s="73"/>
      <c r="S918" s="73"/>
    </row>
    <row r="919" spans="1:19" ht="14.25">
      <c r="A919" s="41" t="s">
        <v>384</v>
      </c>
      <c r="B919" s="33" t="s">
        <v>385</v>
      </c>
      <c r="C919" s="19" t="s">
        <v>386</v>
      </c>
      <c r="D919" s="81">
        <f t="shared" ref="D919:S921" si="1473">D920</f>
        <v>570</v>
      </c>
      <c r="E919" s="81">
        <f t="shared" si="1473"/>
        <v>521</v>
      </c>
      <c r="F919" s="81">
        <f t="shared" si="1473"/>
        <v>464</v>
      </c>
      <c r="G919" s="81">
        <f t="shared" si="1473"/>
        <v>570</v>
      </c>
      <c r="H919" s="81">
        <f t="shared" si="1473"/>
        <v>464</v>
      </c>
      <c r="I919" s="339">
        <f t="shared" si="1473"/>
        <v>585</v>
      </c>
      <c r="J919" s="81">
        <f t="shared" si="1473"/>
        <v>585</v>
      </c>
      <c r="K919" s="72">
        <f t="shared" si="1460"/>
        <v>0</v>
      </c>
      <c r="L919" s="72">
        <f t="shared" si="1461"/>
        <v>585</v>
      </c>
      <c r="M919" s="81">
        <f t="shared" si="1473"/>
        <v>160</v>
      </c>
      <c r="N919" s="81">
        <f t="shared" si="1473"/>
        <v>160</v>
      </c>
      <c r="O919" s="81">
        <f t="shared" si="1473"/>
        <v>100</v>
      </c>
      <c r="P919" s="81">
        <f t="shared" si="1473"/>
        <v>165</v>
      </c>
      <c r="Q919" s="81">
        <f t="shared" si="1473"/>
        <v>570</v>
      </c>
      <c r="R919" s="81">
        <f t="shared" si="1473"/>
        <v>570</v>
      </c>
      <c r="S919" s="81">
        <f t="shared" si="1473"/>
        <v>570</v>
      </c>
    </row>
    <row r="920" spans="1:19" ht="14.25">
      <c r="A920" s="41"/>
      <c r="B920" s="31" t="s">
        <v>160</v>
      </c>
      <c r="C920" s="19"/>
      <c r="D920" s="81">
        <f t="shared" si="1473"/>
        <v>570</v>
      </c>
      <c r="E920" s="81">
        <f t="shared" si="1473"/>
        <v>521</v>
      </c>
      <c r="F920" s="81">
        <f t="shared" si="1473"/>
        <v>464</v>
      </c>
      <c r="G920" s="81">
        <f t="shared" si="1473"/>
        <v>570</v>
      </c>
      <c r="H920" s="81">
        <f t="shared" si="1473"/>
        <v>464</v>
      </c>
      <c r="I920" s="339">
        <f t="shared" si="1473"/>
        <v>585</v>
      </c>
      <c r="J920" s="81">
        <f t="shared" si="1473"/>
        <v>585</v>
      </c>
      <c r="K920" s="72">
        <f t="shared" si="1460"/>
        <v>0</v>
      </c>
      <c r="L920" s="72">
        <f t="shared" si="1461"/>
        <v>585</v>
      </c>
      <c r="M920" s="81">
        <f t="shared" si="1473"/>
        <v>160</v>
      </c>
      <c r="N920" s="81">
        <f t="shared" si="1473"/>
        <v>160</v>
      </c>
      <c r="O920" s="81">
        <f t="shared" si="1473"/>
        <v>100</v>
      </c>
      <c r="P920" s="81">
        <f t="shared" si="1473"/>
        <v>165</v>
      </c>
      <c r="Q920" s="81">
        <f t="shared" si="1473"/>
        <v>570</v>
      </c>
      <c r="R920" s="81">
        <f t="shared" si="1473"/>
        <v>570</v>
      </c>
      <c r="S920" s="81">
        <f t="shared" si="1473"/>
        <v>570</v>
      </c>
    </row>
    <row r="921" spans="1:19" ht="15">
      <c r="A921" s="41"/>
      <c r="B921" s="40" t="s">
        <v>161</v>
      </c>
      <c r="C921" s="19">
        <v>1</v>
      </c>
      <c r="D921" s="76">
        <f t="shared" si="1473"/>
        <v>570</v>
      </c>
      <c r="E921" s="76">
        <f t="shared" si="1473"/>
        <v>521</v>
      </c>
      <c r="F921" s="76">
        <f t="shared" si="1473"/>
        <v>464</v>
      </c>
      <c r="G921" s="76">
        <f t="shared" si="1473"/>
        <v>570</v>
      </c>
      <c r="H921" s="76">
        <f t="shared" si="1473"/>
        <v>464</v>
      </c>
      <c r="I921" s="330">
        <f t="shared" si="1473"/>
        <v>585</v>
      </c>
      <c r="J921" s="76">
        <f t="shared" si="1473"/>
        <v>585</v>
      </c>
      <c r="K921" s="72">
        <f t="shared" si="1460"/>
        <v>0</v>
      </c>
      <c r="L921" s="72">
        <f t="shared" si="1461"/>
        <v>585</v>
      </c>
      <c r="M921" s="76">
        <f t="shared" si="1473"/>
        <v>160</v>
      </c>
      <c r="N921" s="76">
        <f t="shared" si="1473"/>
        <v>160</v>
      </c>
      <c r="O921" s="76">
        <f t="shared" si="1473"/>
        <v>100</v>
      </c>
      <c r="P921" s="76">
        <f t="shared" si="1473"/>
        <v>165</v>
      </c>
      <c r="Q921" s="76">
        <f t="shared" si="1473"/>
        <v>570</v>
      </c>
      <c r="R921" s="76">
        <f t="shared" si="1473"/>
        <v>570</v>
      </c>
      <c r="S921" s="76">
        <f t="shared" si="1473"/>
        <v>570</v>
      </c>
    </row>
    <row r="922" spans="1:19" ht="23.25" customHeight="1">
      <c r="A922" s="41"/>
      <c r="B922" s="40" t="s">
        <v>266</v>
      </c>
      <c r="C922" s="19" t="s">
        <v>278</v>
      </c>
      <c r="D922" s="75">
        <f>450+120</f>
        <v>570</v>
      </c>
      <c r="E922" s="75">
        <v>521</v>
      </c>
      <c r="F922" s="75">
        <v>464</v>
      </c>
      <c r="G922" s="75">
        <v>570</v>
      </c>
      <c r="H922" s="75">
        <v>464</v>
      </c>
      <c r="I922" s="329">
        <v>585</v>
      </c>
      <c r="J922" s="75">
        <f>120+465</f>
        <v>585</v>
      </c>
      <c r="K922" s="72">
        <f t="shared" si="1460"/>
        <v>0</v>
      </c>
      <c r="L922" s="72">
        <f t="shared" si="1461"/>
        <v>585</v>
      </c>
      <c r="M922" s="75">
        <v>160</v>
      </c>
      <c r="N922" s="75">
        <v>160</v>
      </c>
      <c r="O922" s="75">
        <v>100</v>
      </c>
      <c r="P922" s="75">
        <v>165</v>
      </c>
      <c r="Q922" s="73">
        <f>450+120</f>
        <v>570</v>
      </c>
      <c r="R922" s="73">
        <f>450+120</f>
        <v>570</v>
      </c>
      <c r="S922" s="73">
        <f>450+120</f>
        <v>570</v>
      </c>
    </row>
    <row r="923" spans="1:19" ht="28.5" customHeight="1">
      <c r="A923" s="48" t="s">
        <v>7</v>
      </c>
      <c r="B923" s="64" t="s">
        <v>900</v>
      </c>
      <c r="C923" s="98">
        <v>69.02</v>
      </c>
      <c r="D923" s="84">
        <f t="shared" ref="D923:S925" si="1474">D933+D970</f>
        <v>2981</v>
      </c>
      <c r="E923" s="84">
        <f t="shared" si="1474"/>
        <v>2979</v>
      </c>
      <c r="F923" s="84">
        <f t="shared" si="1474"/>
        <v>2730</v>
      </c>
      <c r="G923" s="84">
        <f t="shared" si="1474"/>
        <v>3156</v>
      </c>
      <c r="H923" s="84">
        <f t="shared" si="1474"/>
        <v>2725</v>
      </c>
      <c r="I923" s="349">
        <f t="shared" si="1474"/>
        <v>5129</v>
      </c>
      <c r="J923" s="84">
        <f t="shared" si="1474"/>
        <v>2728</v>
      </c>
      <c r="K923" s="72">
        <f t="shared" si="1460"/>
        <v>0</v>
      </c>
      <c r="L923" s="72">
        <f t="shared" si="1461"/>
        <v>2728</v>
      </c>
      <c r="M923" s="84">
        <f t="shared" ref="M923" si="1475">M933+M970</f>
        <v>738</v>
      </c>
      <c r="N923" s="84">
        <f t="shared" ref="N923" si="1476">N933+N970</f>
        <v>670</v>
      </c>
      <c r="O923" s="84">
        <f t="shared" ref="O923:P923" si="1477">O933+O970</f>
        <v>660</v>
      </c>
      <c r="P923" s="84">
        <f t="shared" si="1477"/>
        <v>660</v>
      </c>
      <c r="Q923" s="84">
        <f t="shared" si="1474"/>
        <v>2400</v>
      </c>
      <c r="R923" s="84">
        <f t="shared" si="1474"/>
        <v>2456</v>
      </c>
      <c r="S923" s="84">
        <f t="shared" si="1474"/>
        <v>2512</v>
      </c>
    </row>
    <row r="924" spans="1:19" ht="18" customHeight="1">
      <c r="A924" s="41"/>
      <c r="B924" s="31" t="s">
        <v>160</v>
      </c>
      <c r="C924" s="92"/>
      <c r="D924" s="84">
        <f t="shared" si="1474"/>
        <v>2657</v>
      </c>
      <c r="E924" s="84">
        <f t="shared" si="1474"/>
        <v>1404</v>
      </c>
      <c r="F924" s="84">
        <f t="shared" si="1474"/>
        <v>2363</v>
      </c>
      <c r="G924" s="84">
        <f t="shared" si="1474"/>
        <v>2789</v>
      </c>
      <c r="H924" s="84">
        <f t="shared" si="1474"/>
        <v>2360</v>
      </c>
      <c r="I924" s="349">
        <f t="shared" si="1474"/>
        <v>3161</v>
      </c>
      <c r="J924" s="84">
        <f t="shared" si="1474"/>
        <v>2683</v>
      </c>
      <c r="K924" s="72">
        <f t="shared" si="1460"/>
        <v>0</v>
      </c>
      <c r="L924" s="72">
        <f t="shared" si="1461"/>
        <v>2683</v>
      </c>
      <c r="M924" s="84">
        <f t="shared" ref="M924" si="1478">M934+M971</f>
        <v>693</v>
      </c>
      <c r="N924" s="84">
        <f t="shared" ref="N924" si="1479">N934+N971</f>
        <v>670</v>
      </c>
      <c r="O924" s="84">
        <f t="shared" ref="O924:P924" si="1480">O934+O971</f>
        <v>660</v>
      </c>
      <c r="P924" s="84">
        <f t="shared" si="1480"/>
        <v>660</v>
      </c>
      <c r="Q924" s="84">
        <f t="shared" si="1474"/>
        <v>2400</v>
      </c>
      <c r="R924" s="84">
        <f t="shared" si="1474"/>
        <v>2456</v>
      </c>
      <c r="S924" s="84">
        <f t="shared" si="1474"/>
        <v>2512</v>
      </c>
    </row>
    <row r="925" spans="1:19" ht="15">
      <c r="A925" s="41"/>
      <c r="B925" s="40" t="s">
        <v>161</v>
      </c>
      <c r="C925" s="19">
        <v>1</v>
      </c>
      <c r="D925" s="76">
        <f t="shared" si="1474"/>
        <v>2657</v>
      </c>
      <c r="E925" s="76">
        <f t="shared" si="1474"/>
        <v>1404</v>
      </c>
      <c r="F925" s="76">
        <f t="shared" si="1474"/>
        <v>2363</v>
      </c>
      <c r="G925" s="76">
        <f t="shared" si="1474"/>
        <v>2789</v>
      </c>
      <c r="H925" s="76">
        <f t="shared" si="1474"/>
        <v>2360</v>
      </c>
      <c r="I925" s="330">
        <f t="shared" si="1474"/>
        <v>3161</v>
      </c>
      <c r="J925" s="76">
        <f t="shared" si="1474"/>
        <v>2683</v>
      </c>
      <c r="K925" s="72">
        <f t="shared" si="1460"/>
        <v>0</v>
      </c>
      <c r="L925" s="72">
        <f t="shared" si="1461"/>
        <v>2683</v>
      </c>
      <c r="M925" s="76">
        <f t="shared" ref="M925" si="1481">M935+M972</f>
        <v>693</v>
      </c>
      <c r="N925" s="76">
        <f t="shared" ref="N925" si="1482">N935+N972</f>
        <v>670</v>
      </c>
      <c r="O925" s="76">
        <f t="shared" ref="O925:P925" si="1483">O935+O972</f>
        <v>660</v>
      </c>
      <c r="P925" s="76">
        <f t="shared" si="1483"/>
        <v>660</v>
      </c>
      <c r="Q925" s="76">
        <f t="shared" si="1474"/>
        <v>2400</v>
      </c>
      <c r="R925" s="76">
        <f t="shared" si="1474"/>
        <v>2456</v>
      </c>
      <c r="S925" s="76">
        <f t="shared" si="1474"/>
        <v>2512</v>
      </c>
    </row>
    <row r="926" spans="1:19" ht="15">
      <c r="A926" s="41"/>
      <c r="B926" s="40" t="s">
        <v>162</v>
      </c>
      <c r="C926" s="19">
        <v>10</v>
      </c>
      <c r="D926" s="76">
        <f t="shared" ref="D926:S926" si="1484">D936</f>
        <v>1470</v>
      </c>
      <c r="E926" s="76">
        <f t="shared" si="1484"/>
        <v>910</v>
      </c>
      <c r="F926" s="76">
        <f t="shared" si="1484"/>
        <v>1470</v>
      </c>
      <c r="G926" s="76">
        <f t="shared" si="1484"/>
        <v>1470</v>
      </c>
      <c r="H926" s="76">
        <f t="shared" si="1484"/>
        <v>1435</v>
      </c>
      <c r="I926" s="330">
        <f t="shared" si="1484"/>
        <v>1902</v>
      </c>
      <c r="J926" s="76">
        <f t="shared" si="1484"/>
        <v>1850</v>
      </c>
      <c r="K926" s="72">
        <f t="shared" si="1460"/>
        <v>0</v>
      </c>
      <c r="L926" s="72">
        <f t="shared" si="1461"/>
        <v>1850</v>
      </c>
      <c r="M926" s="76">
        <f t="shared" ref="M926" si="1485">M936</f>
        <v>460</v>
      </c>
      <c r="N926" s="76">
        <f t="shared" ref="N926" si="1486">N936</f>
        <v>470</v>
      </c>
      <c r="O926" s="76">
        <f t="shared" ref="O926:P926" si="1487">O936</f>
        <v>460</v>
      </c>
      <c r="P926" s="76">
        <f t="shared" si="1487"/>
        <v>460</v>
      </c>
      <c r="Q926" s="76">
        <f t="shared" si="1484"/>
        <v>1600</v>
      </c>
      <c r="R926" s="76">
        <f t="shared" si="1484"/>
        <v>1656</v>
      </c>
      <c r="S926" s="76">
        <f t="shared" si="1484"/>
        <v>1712</v>
      </c>
    </row>
    <row r="927" spans="1:19" ht="15">
      <c r="A927" s="41"/>
      <c r="B927" s="40" t="s">
        <v>886</v>
      </c>
      <c r="C927" s="19">
        <v>20</v>
      </c>
      <c r="D927" s="76">
        <f>D937+D973</f>
        <v>1187</v>
      </c>
      <c r="E927" s="76">
        <f>E937+E973</f>
        <v>494</v>
      </c>
      <c r="F927" s="76">
        <f>F937+F973</f>
        <v>893</v>
      </c>
      <c r="G927" s="76">
        <f>G937+G973</f>
        <v>1319</v>
      </c>
      <c r="H927" s="76">
        <f t="shared" ref="H927:H928" si="1488">H937+H973</f>
        <v>927</v>
      </c>
      <c r="I927" s="330">
        <f>I937+I973</f>
        <v>1259</v>
      </c>
      <c r="J927" s="76">
        <f>J937+J973</f>
        <v>833</v>
      </c>
      <c r="K927" s="72">
        <f t="shared" si="1460"/>
        <v>0</v>
      </c>
      <c r="L927" s="72">
        <f t="shared" si="1461"/>
        <v>833</v>
      </c>
      <c r="M927" s="76">
        <f t="shared" ref="M927:S927" si="1489">M937+M973</f>
        <v>233</v>
      </c>
      <c r="N927" s="76">
        <f t="shared" si="1489"/>
        <v>200</v>
      </c>
      <c r="O927" s="76">
        <f t="shared" si="1489"/>
        <v>200</v>
      </c>
      <c r="P927" s="76">
        <f t="shared" si="1489"/>
        <v>200</v>
      </c>
      <c r="Q927" s="76">
        <f t="shared" si="1489"/>
        <v>800</v>
      </c>
      <c r="R927" s="76">
        <f t="shared" si="1489"/>
        <v>800</v>
      </c>
      <c r="S927" s="76">
        <f t="shared" si="1489"/>
        <v>800</v>
      </c>
    </row>
    <row r="928" spans="1:19" ht="14.25" customHeight="1">
      <c r="A928" s="41"/>
      <c r="B928" s="33" t="s">
        <v>172</v>
      </c>
      <c r="C928" s="19"/>
      <c r="D928" s="81">
        <f t="shared" ref="D928:J928" si="1490">D938+D974</f>
        <v>324</v>
      </c>
      <c r="E928" s="81">
        <f t="shared" si="1490"/>
        <v>1575</v>
      </c>
      <c r="F928" s="81">
        <f t="shared" si="1490"/>
        <v>367</v>
      </c>
      <c r="G928" s="81">
        <f t="shared" si="1490"/>
        <v>367</v>
      </c>
      <c r="H928" s="81">
        <f t="shared" si="1488"/>
        <v>365</v>
      </c>
      <c r="I928" s="339">
        <f>I938+I974</f>
        <v>1968</v>
      </c>
      <c r="J928" s="81">
        <f t="shared" si="1490"/>
        <v>45</v>
      </c>
      <c r="K928" s="72">
        <f t="shared" si="1460"/>
        <v>0</v>
      </c>
      <c r="L928" s="72">
        <f t="shared" si="1461"/>
        <v>45</v>
      </c>
      <c r="M928" s="81">
        <f t="shared" ref="M928" si="1491">M938+M974</f>
        <v>45</v>
      </c>
      <c r="N928" s="81">
        <f t="shared" ref="N928" si="1492">N938+N974</f>
        <v>0</v>
      </c>
      <c r="O928" s="81">
        <f t="shared" ref="O928:P928" si="1493">O938+O974</f>
        <v>0</v>
      </c>
      <c r="P928" s="81">
        <f t="shared" si="1493"/>
        <v>0</v>
      </c>
      <c r="Q928" s="81">
        <f>Q938+Q974</f>
        <v>0</v>
      </c>
      <c r="R928" s="81">
        <f>R938+R974</f>
        <v>0</v>
      </c>
      <c r="S928" s="81">
        <f>S938+S974</f>
        <v>0</v>
      </c>
    </row>
    <row r="929" spans="1:19" ht="14.25" hidden="1">
      <c r="A929" s="41"/>
      <c r="B929" s="33"/>
      <c r="C929" s="19"/>
      <c r="D929" s="81"/>
      <c r="E929" s="81"/>
      <c r="F929" s="81"/>
      <c r="G929" s="81"/>
      <c r="H929" s="81"/>
      <c r="I929" s="339"/>
      <c r="J929" s="81"/>
      <c r="K929" s="72">
        <f t="shared" si="1460"/>
        <v>0</v>
      </c>
      <c r="L929" s="72">
        <f t="shared" si="1461"/>
        <v>0</v>
      </c>
      <c r="M929" s="81"/>
      <c r="N929" s="81"/>
      <c r="O929" s="81"/>
      <c r="P929" s="81"/>
      <c r="Q929" s="81"/>
      <c r="R929" s="81"/>
      <c r="S929" s="81"/>
    </row>
    <row r="930" spans="1:19" ht="15" hidden="1" customHeight="1">
      <c r="A930" s="41"/>
      <c r="B930" s="33" t="s">
        <v>181</v>
      </c>
      <c r="C930" s="19">
        <v>56</v>
      </c>
      <c r="D930" s="76">
        <f t="shared" ref="D930:S930" si="1494">D939+D975</f>
        <v>0</v>
      </c>
      <c r="E930" s="76">
        <f t="shared" si="1494"/>
        <v>650</v>
      </c>
      <c r="F930" s="76">
        <f t="shared" si="1494"/>
        <v>0</v>
      </c>
      <c r="G930" s="76">
        <f t="shared" si="1494"/>
        <v>0</v>
      </c>
      <c r="H930" s="76">
        <f t="shared" si="1494"/>
        <v>0</v>
      </c>
      <c r="I930" s="330">
        <f t="shared" si="1494"/>
        <v>0</v>
      </c>
      <c r="J930" s="76">
        <f t="shared" si="1494"/>
        <v>0</v>
      </c>
      <c r="K930" s="72">
        <f t="shared" si="1460"/>
        <v>0</v>
      </c>
      <c r="L930" s="72">
        <f t="shared" si="1461"/>
        <v>0</v>
      </c>
      <c r="M930" s="76">
        <f t="shared" ref="M930" si="1495">M939+M975</f>
        <v>0</v>
      </c>
      <c r="N930" s="76">
        <f t="shared" ref="N930" si="1496">N939+N975</f>
        <v>0</v>
      </c>
      <c r="O930" s="76">
        <f t="shared" ref="O930:P930" si="1497">O939+O975</f>
        <v>0</v>
      </c>
      <c r="P930" s="76">
        <f t="shared" si="1497"/>
        <v>0</v>
      </c>
      <c r="Q930" s="76">
        <f t="shared" si="1494"/>
        <v>0</v>
      </c>
      <c r="R930" s="76">
        <f t="shared" si="1494"/>
        <v>0</v>
      </c>
      <c r="S930" s="76">
        <f t="shared" si="1494"/>
        <v>0</v>
      </c>
    </row>
    <row r="931" spans="1:19" ht="29.25" hidden="1" customHeight="1">
      <c r="A931" s="41"/>
      <c r="B931" s="33" t="s">
        <v>181</v>
      </c>
      <c r="C931" s="19">
        <v>58</v>
      </c>
      <c r="D931" s="76">
        <f t="shared" ref="D931:S932" si="1498">D940</f>
        <v>0</v>
      </c>
      <c r="E931" s="76">
        <f t="shared" si="1498"/>
        <v>0</v>
      </c>
      <c r="F931" s="76">
        <f t="shared" si="1498"/>
        <v>0</v>
      </c>
      <c r="G931" s="76">
        <f t="shared" si="1498"/>
        <v>0</v>
      </c>
      <c r="H931" s="76">
        <f t="shared" si="1498"/>
        <v>0</v>
      </c>
      <c r="I931" s="330">
        <f t="shared" si="1498"/>
        <v>0</v>
      </c>
      <c r="J931" s="76">
        <f t="shared" si="1498"/>
        <v>0</v>
      </c>
      <c r="K931" s="72">
        <f t="shared" si="1460"/>
        <v>0</v>
      </c>
      <c r="L931" s="72">
        <f t="shared" si="1461"/>
        <v>0</v>
      </c>
      <c r="M931" s="76">
        <f t="shared" ref="M931" si="1499">M940</f>
        <v>0</v>
      </c>
      <c r="N931" s="76">
        <f t="shared" ref="N931" si="1500">N940</f>
        <v>0</v>
      </c>
      <c r="O931" s="76">
        <f t="shared" ref="O931:P931" si="1501">O940</f>
        <v>0</v>
      </c>
      <c r="P931" s="76">
        <f t="shared" si="1501"/>
        <v>0</v>
      </c>
      <c r="Q931" s="76">
        <f>Q940</f>
        <v>0</v>
      </c>
      <c r="R931" s="76">
        <f>R940</f>
        <v>0</v>
      </c>
      <c r="S931" s="76">
        <f>S940</f>
        <v>0</v>
      </c>
    </row>
    <row r="932" spans="1:19" ht="15.75" customHeight="1">
      <c r="A932" s="41"/>
      <c r="B932" s="40" t="s">
        <v>201</v>
      </c>
      <c r="C932" s="19">
        <v>70</v>
      </c>
      <c r="D932" s="76">
        <f t="shared" si="1498"/>
        <v>324</v>
      </c>
      <c r="E932" s="76">
        <f t="shared" si="1498"/>
        <v>925</v>
      </c>
      <c r="F932" s="76">
        <f t="shared" si="1498"/>
        <v>367</v>
      </c>
      <c r="G932" s="76">
        <f t="shared" si="1498"/>
        <v>367</v>
      </c>
      <c r="H932" s="76">
        <f t="shared" si="1498"/>
        <v>365</v>
      </c>
      <c r="I932" s="330">
        <f t="shared" si="1498"/>
        <v>1968</v>
      </c>
      <c r="J932" s="76">
        <f t="shared" si="1498"/>
        <v>45</v>
      </c>
      <c r="K932" s="72">
        <f t="shared" si="1460"/>
        <v>0</v>
      </c>
      <c r="L932" s="72">
        <f t="shared" si="1461"/>
        <v>45</v>
      </c>
      <c r="M932" s="76">
        <f t="shared" ref="M932" si="1502">M941</f>
        <v>45</v>
      </c>
      <c r="N932" s="76">
        <f t="shared" ref="N932" si="1503">N941</f>
        <v>0</v>
      </c>
      <c r="O932" s="76">
        <f t="shared" ref="O932:P932" si="1504">O941</f>
        <v>0</v>
      </c>
      <c r="P932" s="76">
        <f t="shared" si="1504"/>
        <v>0</v>
      </c>
      <c r="Q932" s="76">
        <f t="shared" si="1498"/>
        <v>0</v>
      </c>
      <c r="R932" s="76">
        <f t="shared" si="1498"/>
        <v>0</v>
      </c>
      <c r="S932" s="76">
        <f t="shared" si="1498"/>
        <v>0</v>
      </c>
    </row>
    <row r="933" spans="1:19" ht="28.5">
      <c r="A933" s="48">
        <v>1</v>
      </c>
      <c r="B933" s="465" t="s">
        <v>901</v>
      </c>
      <c r="C933" s="461">
        <v>70.02</v>
      </c>
      <c r="D933" s="462">
        <f t="shared" ref="D933:S933" si="1505">D942+D950+D956+D960</f>
        <v>2594</v>
      </c>
      <c r="E933" s="462">
        <f>E942+E950+E956+E960+E966</f>
        <v>2979</v>
      </c>
      <c r="F933" s="462">
        <f t="shared" ref="F933:J933" si="1506">F942+F950+F956+F960</f>
        <v>2729</v>
      </c>
      <c r="G933" s="462">
        <f t="shared" si="1506"/>
        <v>2769</v>
      </c>
      <c r="H933" s="462">
        <f t="shared" si="1506"/>
        <v>2724</v>
      </c>
      <c r="I933" s="463">
        <f t="shared" si="1506"/>
        <v>5096</v>
      </c>
      <c r="J933" s="462">
        <f t="shared" si="1506"/>
        <v>2695</v>
      </c>
      <c r="K933" s="462">
        <f t="shared" si="1460"/>
        <v>0</v>
      </c>
      <c r="L933" s="462">
        <f t="shared" si="1461"/>
        <v>2695</v>
      </c>
      <c r="M933" s="462">
        <f t="shared" ref="M933" si="1507">M942+M950+M956+M960</f>
        <v>705</v>
      </c>
      <c r="N933" s="462">
        <f t="shared" ref="N933" si="1508">N942+N950+N956+N960</f>
        <v>670</v>
      </c>
      <c r="O933" s="462">
        <f t="shared" ref="O933:P933" si="1509">O942+O950+O956+O960</f>
        <v>660</v>
      </c>
      <c r="P933" s="462">
        <f t="shared" si="1509"/>
        <v>660</v>
      </c>
      <c r="Q933" s="462">
        <f t="shared" si="1505"/>
        <v>2400</v>
      </c>
      <c r="R933" s="462">
        <f t="shared" si="1505"/>
        <v>2456</v>
      </c>
      <c r="S933" s="462">
        <f t="shared" si="1505"/>
        <v>2512</v>
      </c>
    </row>
    <row r="934" spans="1:19" ht="14.25">
      <c r="A934" s="41"/>
      <c r="B934" s="31" t="s">
        <v>160</v>
      </c>
      <c r="C934" s="92"/>
      <c r="D934" s="81">
        <f t="shared" ref="D934:S935" si="1510">D943+D961</f>
        <v>2270</v>
      </c>
      <c r="E934" s="81">
        <f t="shared" si="1510"/>
        <v>1404</v>
      </c>
      <c r="F934" s="81">
        <f t="shared" si="1510"/>
        <v>2362</v>
      </c>
      <c r="G934" s="81">
        <f t="shared" si="1510"/>
        <v>2402</v>
      </c>
      <c r="H934" s="81">
        <f t="shared" si="1510"/>
        <v>2359</v>
      </c>
      <c r="I934" s="339">
        <f t="shared" si="1510"/>
        <v>3128</v>
      </c>
      <c r="J934" s="81">
        <f t="shared" si="1510"/>
        <v>2650</v>
      </c>
      <c r="K934" s="72">
        <f t="shared" si="1460"/>
        <v>0</v>
      </c>
      <c r="L934" s="72">
        <f t="shared" si="1461"/>
        <v>2650</v>
      </c>
      <c r="M934" s="81">
        <f t="shared" ref="M934" si="1511">M943+M961</f>
        <v>660</v>
      </c>
      <c r="N934" s="81">
        <f t="shared" ref="N934" si="1512">N943+N961</f>
        <v>670</v>
      </c>
      <c r="O934" s="81">
        <f t="shared" ref="O934:P934" si="1513">O943+O961</f>
        <v>660</v>
      </c>
      <c r="P934" s="81">
        <f t="shared" si="1513"/>
        <v>660</v>
      </c>
      <c r="Q934" s="81">
        <f t="shared" si="1510"/>
        <v>2400</v>
      </c>
      <c r="R934" s="81">
        <f t="shared" si="1510"/>
        <v>2456</v>
      </c>
      <c r="S934" s="81">
        <f t="shared" si="1510"/>
        <v>2512</v>
      </c>
    </row>
    <row r="935" spans="1:19" ht="15">
      <c r="A935" s="41"/>
      <c r="B935" s="40" t="s">
        <v>161</v>
      </c>
      <c r="C935" s="92">
        <v>1</v>
      </c>
      <c r="D935" s="81">
        <f t="shared" si="1510"/>
        <v>2270</v>
      </c>
      <c r="E935" s="81">
        <f t="shared" si="1510"/>
        <v>1404</v>
      </c>
      <c r="F935" s="81">
        <f t="shared" si="1510"/>
        <v>2362</v>
      </c>
      <c r="G935" s="81">
        <f t="shared" si="1510"/>
        <v>2402</v>
      </c>
      <c r="H935" s="81">
        <f t="shared" si="1510"/>
        <v>2359</v>
      </c>
      <c r="I935" s="339">
        <f t="shared" si="1510"/>
        <v>3128</v>
      </c>
      <c r="J935" s="81">
        <f t="shared" si="1510"/>
        <v>2650</v>
      </c>
      <c r="K935" s="72">
        <f t="shared" si="1460"/>
        <v>0</v>
      </c>
      <c r="L935" s="72">
        <f t="shared" si="1461"/>
        <v>2650</v>
      </c>
      <c r="M935" s="81">
        <f t="shared" ref="M935" si="1514">M944+M962</f>
        <v>660</v>
      </c>
      <c r="N935" s="81">
        <f t="shared" ref="N935" si="1515">N944+N962</f>
        <v>670</v>
      </c>
      <c r="O935" s="81">
        <f t="shared" ref="O935:P935" si="1516">O944+O962</f>
        <v>660</v>
      </c>
      <c r="P935" s="81">
        <f t="shared" si="1516"/>
        <v>660</v>
      </c>
      <c r="Q935" s="81">
        <f t="shared" si="1510"/>
        <v>2400</v>
      </c>
      <c r="R935" s="81">
        <f t="shared" si="1510"/>
        <v>2456</v>
      </c>
      <c r="S935" s="81">
        <f t="shared" si="1510"/>
        <v>2512</v>
      </c>
    </row>
    <row r="936" spans="1:19" ht="15">
      <c r="A936" s="41"/>
      <c r="B936" s="40" t="s">
        <v>162</v>
      </c>
      <c r="C936" s="92">
        <v>10</v>
      </c>
      <c r="D936" s="81">
        <f t="shared" ref="D936:S936" si="1517">D945</f>
        <v>1470</v>
      </c>
      <c r="E936" s="81">
        <f t="shared" si="1517"/>
        <v>910</v>
      </c>
      <c r="F936" s="81">
        <f t="shared" si="1517"/>
        <v>1470</v>
      </c>
      <c r="G936" s="81">
        <f t="shared" si="1517"/>
        <v>1470</v>
      </c>
      <c r="H936" s="81">
        <f t="shared" si="1517"/>
        <v>1435</v>
      </c>
      <c r="I936" s="339">
        <f t="shared" si="1517"/>
        <v>1902</v>
      </c>
      <c r="J936" s="81">
        <f t="shared" si="1517"/>
        <v>1850</v>
      </c>
      <c r="K936" s="72">
        <f t="shared" si="1460"/>
        <v>0</v>
      </c>
      <c r="L936" s="72">
        <f t="shared" si="1461"/>
        <v>1850</v>
      </c>
      <c r="M936" s="81">
        <f t="shared" ref="M936" si="1518">M945</f>
        <v>460</v>
      </c>
      <c r="N936" s="81">
        <f t="shared" ref="N936" si="1519">N945</f>
        <v>470</v>
      </c>
      <c r="O936" s="81">
        <f t="shared" ref="O936:P936" si="1520">O945</f>
        <v>460</v>
      </c>
      <c r="P936" s="81">
        <f t="shared" si="1520"/>
        <v>460</v>
      </c>
      <c r="Q936" s="81">
        <f t="shared" si="1517"/>
        <v>1600</v>
      </c>
      <c r="R936" s="81">
        <f t="shared" si="1517"/>
        <v>1656</v>
      </c>
      <c r="S936" s="81">
        <f t="shared" si="1517"/>
        <v>1712</v>
      </c>
    </row>
    <row r="937" spans="1:19" ht="15">
      <c r="A937" s="41"/>
      <c r="B937" s="40" t="s">
        <v>886</v>
      </c>
      <c r="C937" s="92">
        <v>20</v>
      </c>
      <c r="D937" s="81">
        <f t="shared" ref="D937:S937" si="1521">D946+D963</f>
        <v>800</v>
      </c>
      <c r="E937" s="81">
        <f t="shared" si="1521"/>
        <v>494</v>
      </c>
      <c r="F937" s="81">
        <f t="shared" si="1521"/>
        <v>892</v>
      </c>
      <c r="G937" s="81">
        <f t="shared" si="1521"/>
        <v>932</v>
      </c>
      <c r="H937" s="81">
        <f t="shared" si="1521"/>
        <v>926</v>
      </c>
      <c r="I937" s="339">
        <f t="shared" si="1521"/>
        <v>1226</v>
      </c>
      <c r="J937" s="81">
        <f t="shared" si="1521"/>
        <v>800</v>
      </c>
      <c r="K937" s="72">
        <f t="shared" si="1460"/>
        <v>0</v>
      </c>
      <c r="L937" s="72">
        <f t="shared" si="1461"/>
        <v>800</v>
      </c>
      <c r="M937" s="81">
        <f t="shared" ref="M937" si="1522">M946+M963</f>
        <v>200</v>
      </c>
      <c r="N937" s="81">
        <f t="shared" ref="N937" si="1523">N946+N963</f>
        <v>200</v>
      </c>
      <c r="O937" s="81">
        <f t="shared" ref="O937:P937" si="1524">O946+O963</f>
        <v>200</v>
      </c>
      <c r="P937" s="81">
        <f t="shared" si="1524"/>
        <v>200</v>
      </c>
      <c r="Q937" s="81">
        <f t="shared" si="1521"/>
        <v>800</v>
      </c>
      <c r="R937" s="81">
        <f t="shared" si="1521"/>
        <v>800</v>
      </c>
      <c r="S937" s="81">
        <f t="shared" si="1521"/>
        <v>800</v>
      </c>
    </row>
    <row r="938" spans="1:19" ht="19.5" customHeight="1">
      <c r="A938" s="41"/>
      <c r="B938" s="33" t="s">
        <v>172</v>
      </c>
      <c r="C938" s="92"/>
      <c r="D938" s="81">
        <f t="shared" ref="D938" si="1525">D948+D951+D957+D964</f>
        <v>324</v>
      </c>
      <c r="E938" s="81">
        <f>E948+E951+E957+E964+E967</f>
        <v>1575</v>
      </c>
      <c r="F938" s="81">
        <f t="shared" ref="F938:J938" si="1526">F948+F951+F957+F964</f>
        <v>367</v>
      </c>
      <c r="G938" s="81">
        <f t="shared" si="1526"/>
        <v>367</v>
      </c>
      <c r="H938" s="81">
        <f t="shared" si="1526"/>
        <v>365</v>
      </c>
      <c r="I938" s="339">
        <f t="shared" si="1526"/>
        <v>1968</v>
      </c>
      <c r="J938" s="81">
        <f t="shared" si="1526"/>
        <v>45</v>
      </c>
      <c r="K938" s="72">
        <f t="shared" si="1460"/>
        <v>0</v>
      </c>
      <c r="L938" s="72">
        <f t="shared" si="1461"/>
        <v>45</v>
      </c>
      <c r="M938" s="81">
        <f t="shared" ref="M938" si="1527">M948+M951+M957+M964</f>
        <v>45</v>
      </c>
      <c r="N938" s="81">
        <f t="shared" ref="N938" si="1528">N948+N951+N957+N964</f>
        <v>0</v>
      </c>
      <c r="O938" s="81">
        <f t="shared" ref="O938:P938" si="1529">O948+O951+O957+O964</f>
        <v>0</v>
      </c>
      <c r="P938" s="81">
        <f t="shared" si="1529"/>
        <v>0</v>
      </c>
      <c r="Q938" s="81">
        <f>Q948+Q951+Q957+Q964</f>
        <v>0</v>
      </c>
      <c r="R938" s="81">
        <f>R948+R951+R957+R964</f>
        <v>0</v>
      </c>
      <c r="S938" s="81">
        <f>S948+S951+S957+S964</f>
        <v>0</v>
      </c>
    </row>
    <row r="939" spans="1:19" ht="0.75" customHeight="1">
      <c r="A939" s="41"/>
      <c r="B939" s="33" t="s">
        <v>181</v>
      </c>
      <c r="C939" s="92">
        <v>56</v>
      </c>
      <c r="D939" s="81">
        <f t="shared" ref="D939:S939" si="1530">D952+D958</f>
        <v>0</v>
      </c>
      <c r="E939" s="81">
        <f t="shared" si="1530"/>
        <v>650</v>
      </c>
      <c r="F939" s="81">
        <f t="shared" si="1530"/>
        <v>0</v>
      </c>
      <c r="G939" s="81">
        <f t="shared" si="1530"/>
        <v>0</v>
      </c>
      <c r="H939" s="81">
        <f t="shared" si="1530"/>
        <v>0</v>
      </c>
      <c r="I939" s="339">
        <f t="shared" si="1530"/>
        <v>0</v>
      </c>
      <c r="J939" s="81">
        <f t="shared" si="1530"/>
        <v>0</v>
      </c>
      <c r="K939" s="72">
        <f t="shared" si="1460"/>
        <v>0</v>
      </c>
      <c r="L939" s="72">
        <f t="shared" si="1461"/>
        <v>0</v>
      </c>
      <c r="M939" s="81">
        <f t="shared" ref="M939" si="1531">M952+M958</f>
        <v>0</v>
      </c>
      <c r="N939" s="81">
        <f t="shared" ref="N939" si="1532">N952+N958</f>
        <v>0</v>
      </c>
      <c r="O939" s="81">
        <f t="shared" ref="O939:P939" si="1533">O952+O958</f>
        <v>0</v>
      </c>
      <c r="P939" s="81">
        <f t="shared" si="1533"/>
        <v>0</v>
      </c>
      <c r="Q939" s="81">
        <f t="shared" si="1530"/>
        <v>0</v>
      </c>
      <c r="R939" s="81">
        <f t="shared" si="1530"/>
        <v>0</v>
      </c>
      <c r="S939" s="81">
        <f t="shared" si="1530"/>
        <v>0</v>
      </c>
    </row>
    <row r="940" spans="1:19" ht="14.25" hidden="1">
      <c r="A940" s="41"/>
      <c r="B940" s="33" t="s">
        <v>181</v>
      </c>
      <c r="C940" s="92">
        <v>58</v>
      </c>
      <c r="D940" s="81">
        <f t="shared" ref="D940:J940" si="1534">D965</f>
        <v>0</v>
      </c>
      <c r="E940" s="81">
        <f t="shared" si="1534"/>
        <v>0</v>
      </c>
      <c r="F940" s="81">
        <f t="shared" si="1534"/>
        <v>0</v>
      </c>
      <c r="G940" s="81">
        <f t="shared" si="1534"/>
        <v>0</v>
      </c>
      <c r="H940" s="81">
        <f t="shared" si="1534"/>
        <v>0</v>
      </c>
      <c r="I940" s="339">
        <f t="shared" si="1534"/>
        <v>0</v>
      </c>
      <c r="J940" s="81">
        <f t="shared" si="1534"/>
        <v>0</v>
      </c>
      <c r="K940" s="72">
        <f t="shared" si="1460"/>
        <v>0</v>
      </c>
      <c r="L940" s="72">
        <f t="shared" si="1461"/>
        <v>0</v>
      </c>
      <c r="M940" s="81">
        <f t="shared" ref="M940" si="1535">M965</f>
        <v>0</v>
      </c>
      <c r="N940" s="81">
        <f t="shared" ref="N940" si="1536">N965</f>
        <v>0</v>
      </c>
      <c r="O940" s="81">
        <f t="shared" ref="O940:P940" si="1537">O965</f>
        <v>0</v>
      </c>
      <c r="P940" s="81">
        <f t="shared" si="1537"/>
        <v>0</v>
      </c>
      <c r="Q940" s="81">
        <f>Q965</f>
        <v>0</v>
      </c>
      <c r="R940" s="81">
        <f>R965</f>
        <v>0</v>
      </c>
      <c r="S940" s="81">
        <f>S965</f>
        <v>0</v>
      </c>
    </row>
    <row r="941" spans="1:19" ht="15">
      <c r="A941" s="41"/>
      <c r="B941" s="40" t="s">
        <v>201</v>
      </c>
      <c r="C941" s="92">
        <v>70</v>
      </c>
      <c r="D941" s="81">
        <f t="shared" ref="D941:S941" si="1538">D949</f>
        <v>324</v>
      </c>
      <c r="E941" s="81">
        <f>E949+E967</f>
        <v>925</v>
      </c>
      <c r="F941" s="81">
        <f t="shared" ref="F941:J941" si="1539">F949</f>
        <v>367</v>
      </c>
      <c r="G941" s="81">
        <f t="shared" si="1539"/>
        <v>367</v>
      </c>
      <c r="H941" s="81">
        <f t="shared" si="1539"/>
        <v>365</v>
      </c>
      <c r="I941" s="339">
        <f t="shared" si="1539"/>
        <v>1968</v>
      </c>
      <c r="J941" s="81">
        <f t="shared" si="1539"/>
        <v>45</v>
      </c>
      <c r="K941" s="72">
        <f t="shared" si="1460"/>
        <v>0</v>
      </c>
      <c r="L941" s="72">
        <f t="shared" si="1461"/>
        <v>45</v>
      </c>
      <c r="M941" s="81">
        <f t="shared" ref="M941" si="1540">M949</f>
        <v>45</v>
      </c>
      <c r="N941" s="81">
        <f t="shared" ref="N941" si="1541">N949</f>
        <v>0</v>
      </c>
      <c r="O941" s="81">
        <f t="shared" ref="O941:P941" si="1542">O949</f>
        <v>0</v>
      </c>
      <c r="P941" s="81">
        <f t="shared" si="1542"/>
        <v>0</v>
      </c>
      <c r="Q941" s="81">
        <f t="shared" si="1538"/>
        <v>0</v>
      </c>
      <c r="R941" s="81">
        <f t="shared" si="1538"/>
        <v>0</v>
      </c>
      <c r="S941" s="81">
        <f t="shared" si="1538"/>
        <v>0</v>
      </c>
    </row>
    <row r="942" spans="1:19" ht="28.5">
      <c r="A942" s="41" t="s">
        <v>264</v>
      </c>
      <c r="B942" s="57" t="s">
        <v>387</v>
      </c>
      <c r="C942" s="92" t="s">
        <v>388</v>
      </c>
      <c r="D942" s="81">
        <f t="shared" ref="D942:S942" si="1543">D943+D948</f>
        <v>2594</v>
      </c>
      <c r="E942" s="81">
        <f t="shared" si="1543"/>
        <v>1429</v>
      </c>
      <c r="F942" s="81">
        <f t="shared" si="1543"/>
        <v>2729</v>
      </c>
      <c r="G942" s="81">
        <f t="shared" si="1543"/>
        <v>2769</v>
      </c>
      <c r="H942" s="81">
        <f t="shared" si="1543"/>
        <v>2724</v>
      </c>
      <c r="I942" s="339">
        <f t="shared" si="1543"/>
        <v>5096</v>
      </c>
      <c r="J942" s="81">
        <f t="shared" si="1543"/>
        <v>2695</v>
      </c>
      <c r="K942" s="72">
        <f t="shared" si="1460"/>
        <v>0</v>
      </c>
      <c r="L942" s="72">
        <f t="shared" si="1461"/>
        <v>2695</v>
      </c>
      <c r="M942" s="81">
        <f t="shared" ref="M942" si="1544">M943+M948</f>
        <v>705</v>
      </c>
      <c r="N942" s="81">
        <f t="shared" ref="N942" si="1545">N943+N948</f>
        <v>670</v>
      </c>
      <c r="O942" s="81">
        <f t="shared" ref="O942:P942" si="1546">O943+O948</f>
        <v>660</v>
      </c>
      <c r="P942" s="81">
        <f t="shared" si="1546"/>
        <v>660</v>
      </c>
      <c r="Q942" s="81">
        <f t="shared" si="1543"/>
        <v>2400</v>
      </c>
      <c r="R942" s="81">
        <f t="shared" si="1543"/>
        <v>2456</v>
      </c>
      <c r="S942" s="81">
        <f t="shared" si="1543"/>
        <v>2512</v>
      </c>
    </row>
    <row r="943" spans="1:19" ht="14.25">
      <c r="A943" s="41"/>
      <c r="B943" s="31" t="s">
        <v>160</v>
      </c>
      <c r="C943" s="19"/>
      <c r="D943" s="81">
        <f t="shared" ref="D943:S943" si="1547">D944</f>
        <v>2270</v>
      </c>
      <c r="E943" s="81">
        <f t="shared" si="1547"/>
        <v>1404</v>
      </c>
      <c r="F943" s="81">
        <f t="shared" si="1547"/>
        <v>2362</v>
      </c>
      <c r="G943" s="81">
        <f t="shared" si="1547"/>
        <v>2402</v>
      </c>
      <c r="H943" s="81">
        <f t="shared" si="1547"/>
        <v>2359</v>
      </c>
      <c r="I943" s="339">
        <f t="shared" si="1547"/>
        <v>3128</v>
      </c>
      <c r="J943" s="81">
        <f t="shared" si="1547"/>
        <v>2650</v>
      </c>
      <c r="K943" s="72">
        <f t="shared" si="1460"/>
        <v>0</v>
      </c>
      <c r="L943" s="72">
        <f t="shared" si="1461"/>
        <v>2650</v>
      </c>
      <c r="M943" s="81">
        <f t="shared" si="1547"/>
        <v>660</v>
      </c>
      <c r="N943" s="81">
        <f t="shared" si="1547"/>
        <v>670</v>
      </c>
      <c r="O943" s="81">
        <f t="shared" si="1547"/>
        <v>660</v>
      </c>
      <c r="P943" s="81">
        <f t="shared" si="1547"/>
        <v>660</v>
      </c>
      <c r="Q943" s="81">
        <f t="shared" si="1547"/>
        <v>2400</v>
      </c>
      <c r="R943" s="81">
        <f t="shared" si="1547"/>
        <v>2456</v>
      </c>
      <c r="S943" s="81">
        <f t="shared" si="1547"/>
        <v>2512</v>
      </c>
    </row>
    <row r="944" spans="1:19" ht="15">
      <c r="A944" s="41"/>
      <c r="B944" s="40" t="s">
        <v>161</v>
      </c>
      <c r="C944" s="19">
        <v>1</v>
      </c>
      <c r="D944" s="76">
        <f t="shared" ref="D944:S944" si="1548">D945+D946</f>
        <v>2270</v>
      </c>
      <c r="E944" s="76">
        <f t="shared" si="1548"/>
        <v>1404</v>
      </c>
      <c r="F944" s="76">
        <f t="shared" si="1548"/>
        <v>2362</v>
      </c>
      <c r="G944" s="76">
        <f t="shared" si="1548"/>
        <v>2402</v>
      </c>
      <c r="H944" s="76">
        <f>H945+H946+H947</f>
        <v>2359</v>
      </c>
      <c r="I944" s="330">
        <f t="shared" si="1548"/>
        <v>3128</v>
      </c>
      <c r="J944" s="76">
        <f t="shared" si="1548"/>
        <v>2650</v>
      </c>
      <c r="K944" s="72">
        <f t="shared" si="1460"/>
        <v>0</v>
      </c>
      <c r="L944" s="72">
        <f t="shared" si="1461"/>
        <v>2650</v>
      </c>
      <c r="M944" s="76">
        <f t="shared" ref="M944" si="1549">M945+M946</f>
        <v>660</v>
      </c>
      <c r="N944" s="76">
        <f t="shared" ref="N944" si="1550">N945+N946</f>
        <v>670</v>
      </c>
      <c r="O944" s="76">
        <f t="shared" ref="O944:P944" si="1551">O945+O946</f>
        <v>660</v>
      </c>
      <c r="P944" s="76">
        <f t="shared" si="1551"/>
        <v>660</v>
      </c>
      <c r="Q944" s="76">
        <f t="shared" si="1548"/>
        <v>2400</v>
      </c>
      <c r="R944" s="76">
        <f t="shared" si="1548"/>
        <v>2456</v>
      </c>
      <c r="S944" s="76">
        <f t="shared" si="1548"/>
        <v>2512</v>
      </c>
    </row>
    <row r="945" spans="1:20" ht="15">
      <c r="A945" s="41"/>
      <c r="B945" s="40" t="s">
        <v>162</v>
      </c>
      <c r="C945" s="19">
        <v>10</v>
      </c>
      <c r="D945" s="75">
        <v>1470</v>
      </c>
      <c r="E945" s="75">
        <v>910</v>
      </c>
      <c r="F945" s="75">
        <v>1470</v>
      </c>
      <c r="G945" s="75">
        <v>1470</v>
      </c>
      <c r="H945" s="75">
        <v>1435</v>
      </c>
      <c r="I945" s="329">
        <v>1902</v>
      </c>
      <c r="J945" s="75">
        <v>1850</v>
      </c>
      <c r="K945" s="72">
        <f t="shared" si="1460"/>
        <v>0</v>
      </c>
      <c r="L945" s="72">
        <f t="shared" si="1461"/>
        <v>1850</v>
      </c>
      <c r="M945" s="75">
        <v>460</v>
      </c>
      <c r="N945" s="75">
        <v>470</v>
      </c>
      <c r="O945" s="75">
        <v>460</v>
      </c>
      <c r="P945" s="75">
        <v>460</v>
      </c>
      <c r="Q945" s="73">
        <v>1600</v>
      </c>
      <c r="R945" s="73">
        <v>1656</v>
      </c>
      <c r="S945" s="73">
        <v>1712</v>
      </c>
    </row>
    <row r="946" spans="1:20" ht="17.25" customHeight="1">
      <c r="A946" s="41"/>
      <c r="B946" s="40" t="s">
        <v>886</v>
      </c>
      <c r="C946" s="19">
        <v>20</v>
      </c>
      <c r="D946" s="75">
        <f>675+125</f>
        <v>800</v>
      </c>
      <c r="E946" s="75">
        <v>494</v>
      </c>
      <c r="F946" s="75">
        <v>892</v>
      </c>
      <c r="G946" s="75">
        <v>932</v>
      </c>
      <c r="H946" s="75">
        <v>926</v>
      </c>
      <c r="I946" s="329">
        <v>1226</v>
      </c>
      <c r="J946" s="75">
        <v>800</v>
      </c>
      <c r="K946" s="72">
        <f t="shared" si="1460"/>
        <v>0</v>
      </c>
      <c r="L946" s="72">
        <f t="shared" si="1461"/>
        <v>800</v>
      </c>
      <c r="M946" s="75">
        <v>200</v>
      </c>
      <c r="N946" s="75">
        <v>200</v>
      </c>
      <c r="O946" s="75">
        <v>200</v>
      </c>
      <c r="P946" s="75">
        <v>200</v>
      </c>
      <c r="Q946" s="73">
        <v>800</v>
      </c>
      <c r="R946" s="73">
        <v>800</v>
      </c>
      <c r="S946" s="73">
        <v>800</v>
      </c>
    </row>
    <row r="947" spans="1:20" ht="0.75" customHeight="1">
      <c r="A947" s="41"/>
      <c r="B947" s="40" t="s">
        <v>171</v>
      </c>
      <c r="C947" s="19" t="s">
        <v>260</v>
      </c>
      <c r="D947" s="75"/>
      <c r="E947" s="75"/>
      <c r="F947" s="75"/>
      <c r="G947" s="75"/>
      <c r="H947" s="75">
        <v>-2</v>
      </c>
      <c r="I947" s="329"/>
      <c r="J947" s="75"/>
      <c r="K947" s="72">
        <f t="shared" si="1460"/>
        <v>0</v>
      </c>
      <c r="L947" s="72">
        <f t="shared" si="1461"/>
        <v>0</v>
      </c>
      <c r="M947" s="75"/>
      <c r="N947" s="75"/>
      <c r="O947" s="75"/>
      <c r="P947" s="75"/>
      <c r="Q947" s="73"/>
      <c r="R947" s="73"/>
      <c r="S947" s="73"/>
    </row>
    <row r="948" spans="1:20" ht="18.75" customHeight="1">
      <c r="A948" s="41"/>
      <c r="B948" s="33" t="s">
        <v>172</v>
      </c>
      <c r="C948" s="19"/>
      <c r="D948" s="81">
        <f t="shared" ref="D948:S948" si="1552">D949</f>
        <v>324</v>
      </c>
      <c r="E948" s="81">
        <f t="shared" si="1552"/>
        <v>25</v>
      </c>
      <c r="F948" s="81">
        <f t="shared" si="1552"/>
        <v>367</v>
      </c>
      <c r="G948" s="81">
        <f t="shared" si="1552"/>
        <v>367</v>
      </c>
      <c r="H948" s="81">
        <f t="shared" si="1552"/>
        <v>365</v>
      </c>
      <c r="I948" s="339">
        <f t="shared" si="1552"/>
        <v>1968</v>
      </c>
      <c r="J948" s="81">
        <f t="shared" si="1552"/>
        <v>45</v>
      </c>
      <c r="K948" s="72">
        <f t="shared" si="1460"/>
        <v>0</v>
      </c>
      <c r="L948" s="72">
        <f t="shared" si="1461"/>
        <v>45</v>
      </c>
      <c r="M948" s="81">
        <f t="shared" si="1552"/>
        <v>45</v>
      </c>
      <c r="N948" s="81">
        <f t="shared" si="1552"/>
        <v>0</v>
      </c>
      <c r="O948" s="81">
        <f t="shared" si="1552"/>
        <v>0</v>
      </c>
      <c r="P948" s="81">
        <f t="shared" si="1552"/>
        <v>0</v>
      </c>
      <c r="Q948" s="81">
        <f t="shared" si="1552"/>
        <v>0</v>
      </c>
      <c r="R948" s="81">
        <f t="shared" si="1552"/>
        <v>0</v>
      </c>
      <c r="S948" s="81">
        <f t="shared" si="1552"/>
        <v>0</v>
      </c>
    </row>
    <row r="949" spans="1:20" ht="17.25" customHeight="1">
      <c r="A949" s="41"/>
      <c r="B949" s="40" t="s">
        <v>201</v>
      </c>
      <c r="C949" s="19">
        <v>70</v>
      </c>
      <c r="D949" s="75">
        <v>324</v>
      </c>
      <c r="E949" s="75">
        <v>25</v>
      </c>
      <c r="F949" s="75">
        <v>367</v>
      </c>
      <c r="G949" s="75">
        <v>367</v>
      </c>
      <c r="H949" s="75">
        <v>365</v>
      </c>
      <c r="I949" s="329">
        <v>1968</v>
      </c>
      <c r="J949" s="75">
        <v>45</v>
      </c>
      <c r="K949" s="72">
        <f t="shared" si="1460"/>
        <v>0</v>
      </c>
      <c r="L949" s="72">
        <f t="shared" si="1461"/>
        <v>45</v>
      </c>
      <c r="M949" s="75">
        <v>45</v>
      </c>
      <c r="N949" s="75"/>
      <c r="O949" s="75"/>
      <c r="P949" s="75"/>
      <c r="Q949" s="73"/>
      <c r="R949" s="73"/>
      <c r="S949" s="73"/>
    </row>
    <row r="950" spans="1:20" ht="27" hidden="1" customHeight="1">
      <c r="A950" s="41" t="s">
        <v>284</v>
      </c>
      <c r="B950" s="38" t="s">
        <v>389</v>
      </c>
      <c r="C950" s="92" t="s">
        <v>388</v>
      </c>
      <c r="D950" s="81">
        <f t="shared" ref="D950:D951" si="1553">D951</f>
        <v>0</v>
      </c>
      <c r="E950" s="81">
        <f>E951</f>
        <v>100</v>
      </c>
      <c r="F950" s="81">
        <f t="shared" ref="F950:S951" si="1554">F951</f>
        <v>0</v>
      </c>
      <c r="G950" s="81">
        <f t="shared" si="1554"/>
        <v>0</v>
      </c>
      <c r="H950" s="81">
        <f t="shared" si="1554"/>
        <v>0</v>
      </c>
      <c r="I950" s="339">
        <f t="shared" si="1554"/>
        <v>0</v>
      </c>
      <c r="J950" s="81">
        <f t="shared" si="1554"/>
        <v>0</v>
      </c>
      <c r="K950" s="72">
        <f t="shared" si="1460"/>
        <v>0</v>
      </c>
      <c r="L950" s="72">
        <f t="shared" si="1461"/>
        <v>0</v>
      </c>
      <c r="M950" s="81">
        <f t="shared" si="1554"/>
        <v>0</v>
      </c>
      <c r="N950" s="81">
        <f t="shared" si="1554"/>
        <v>0</v>
      </c>
      <c r="O950" s="81">
        <f t="shared" si="1554"/>
        <v>0</v>
      </c>
      <c r="P950" s="81">
        <f t="shared" si="1554"/>
        <v>0</v>
      </c>
      <c r="Q950" s="81">
        <f t="shared" si="1554"/>
        <v>0</v>
      </c>
      <c r="R950" s="81">
        <f t="shared" si="1554"/>
        <v>0</v>
      </c>
      <c r="S950" s="81">
        <f t="shared" si="1554"/>
        <v>0</v>
      </c>
      <c r="T950" s="2" t="s">
        <v>529</v>
      </c>
    </row>
    <row r="951" spans="1:20" ht="19.5" hidden="1" customHeight="1">
      <c r="A951" s="41"/>
      <c r="B951" s="33" t="s">
        <v>172</v>
      </c>
      <c r="C951" s="19"/>
      <c r="D951" s="81">
        <f t="shared" si="1553"/>
        <v>0</v>
      </c>
      <c r="E951" s="81">
        <f>E952</f>
        <v>100</v>
      </c>
      <c r="F951" s="81">
        <f t="shared" si="1554"/>
        <v>0</v>
      </c>
      <c r="G951" s="81">
        <f t="shared" si="1554"/>
        <v>0</v>
      </c>
      <c r="H951" s="81">
        <f t="shared" si="1554"/>
        <v>0</v>
      </c>
      <c r="I951" s="339">
        <f t="shared" si="1554"/>
        <v>0</v>
      </c>
      <c r="J951" s="81">
        <f t="shared" si="1554"/>
        <v>0</v>
      </c>
      <c r="K951" s="72">
        <f t="shared" si="1460"/>
        <v>0</v>
      </c>
      <c r="L951" s="72">
        <f t="shared" si="1461"/>
        <v>0</v>
      </c>
      <c r="M951" s="81">
        <f t="shared" si="1554"/>
        <v>0</v>
      </c>
      <c r="N951" s="81">
        <f t="shared" si="1554"/>
        <v>0</v>
      </c>
      <c r="O951" s="81">
        <f t="shared" si="1554"/>
        <v>0</v>
      </c>
      <c r="P951" s="81">
        <f t="shared" si="1554"/>
        <v>0</v>
      </c>
      <c r="Q951" s="81">
        <f t="shared" si="1554"/>
        <v>0</v>
      </c>
      <c r="R951" s="81">
        <f t="shared" si="1554"/>
        <v>0</v>
      </c>
      <c r="S951" s="81">
        <f t="shared" si="1554"/>
        <v>0</v>
      </c>
    </row>
    <row r="952" spans="1:20" ht="18" hidden="1" customHeight="1">
      <c r="A952" s="41"/>
      <c r="B952" s="40" t="s">
        <v>181</v>
      </c>
      <c r="C952" s="19">
        <v>56</v>
      </c>
      <c r="D952" s="76">
        <f t="shared" ref="D952:S952" si="1555">D953+D954+D955</f>
        <v>0</v>
      </c>
      <c r="E952" s="76">
        <f t="shared" si="1555"/>
        <v>100</v>
      </c>
      <c r="F952" s="76">
        <f t="shared" si="1555"/>
        <v>0</v>
      </c>
      <c r="G952" s="76">
        <f t="shared" si="1555"/>
        <v>0</v>
      </c>
      <c r="H952" s="76">
        <f t="shared" si="1555"/>
        <v>0</v>
      </c>
      <c r="I952" s="330">
        <f t="shared" si="1555"/>
        <v>0</v>
      </c>
      <c r="J952" s="76">
        <f t="shared" si="1555"/>
        <v>0</v>
      </c>
      <c r="K952" s="72">
        <f t="shared" si="1460"/>
        <v>0</v>
      </c>
      <c r="L952" s="72">
        <f t="shared" si="1461"/>
        <v>0</v>
      </c>
      <c r="M952" s="76">
        <f t="shared" ref="M952" si="1556">M953+M954+M955</f>
        <v>0</v>
      </c>
      <c r="N952" s="76">
        <f t="shared" ref="N952" si="1557">N953+N954+N955</f>
        <v>0</v>
      </c>
      <c r="O952" s="76">
        <f t="shared" ref="O952:P952" si="1558">O953+O954+O955</f>
        <v>0</v>
      </c>
      <c r="P952" s="76">
        <f t="shared" si="1558"/>
        <v>0</v>
      </c>
      <c r="Q952" s="76">
        <f t="shared" si="1555"/>
        <v>0</v>
      </c>
      <c r="R952" s="76">
        <f t="shared" si="1555"/>
        <v>0</v>
      </c>
      <c r="S952" s="76">
        <f t="shared" si="1555"/>
        <v>0</v>
      </c>
    </row>
    <row r="953" spans="1:20" ht="24" hidden="1" customHeight="1">
      <c r="A953" s="41"/>
      <c r="B953" s="28" t="s">
        <v>212</v>
      </c>
      <c r="C953" s="19" t="s">
        <v>213</v>
      </c>
      <c r="D953" s="75">
        <v>0</v>
      </c>
      <c r="E953" s="75"/>
      <c r="F953" s="75"/>
      <c r="G953" s="75"/>
      <c r="H953" s="75"/>
      <c r="I953" s="329"/>
      <c r="J953" s="75"/>
      <c r="K953" s="72">
        <f t="shared" si="1460"/>
        <v>0</v>
      </c>
      <c r="L953" s="72">
        <f t="shared" si="1461"/>
        <v>0</v>
      </c>
      <c r="M953" s="75"/>
      <c r="N953" s="75"/>
      <c r="O953" s="75"/>
      <c r="P953" s="75"/>
      <c r="Q953" s="73"/>
      <c r="R953" s="73"/>
      <c r="S953" s="73"/>
    </row>
    <row r="954" spans="1:20" ht="24" hidden="1" customHeight="1">
      <c r="A954" s="41"/>
      <c r="B954" s="28" t="s">
        <v>214</v>
      </c>
      <c r="C954" s="19" t="s">
        <v>215</v>
      </c>
      <c r="D954" s="75">
        <v>0</v>
      </c>
      <c r="E954" s="75"/>
      <c r="F954" s="75"/>
      <c r="G954" s="75"/>
      <c r="H954" s="75"/>
      <c r="I954" s="329"/>
      <c r="J954" s="75"/>
      <c r="K954" s="72">
        <f t="shared" si="1460"/>
        <v>0</v>
      </c>
      <c r="L954" s="72">
        <f t="shared" si="1461"/>
        <v>0</v>
      </c>
      <c r="M954" s="75"/>
      <c r="N954" s="75"/>
      <c r="O954" s="75"/>
      <c r="P954" s="75"/>
      <c r="Q954" s="73"/>
      <c r="R954" s="73"/>
      <c r="S954" s="73"/>
    </row>
    <row r="955" spans="1:20" ht="14.25" hidden="1" customHeight="1">
      <c r="A955" s="41"/>
      <c r="B955" s="28" t="s">
        <v>217</v>
      </c>
      <c r="C955" s="19" t="s">
        <v>216</v>
      </c>
      <c r="D955" s="75"/>
      <c r="E955" s="75">
        <v>100</v>
      </c>
      <c r="F955" s="75"/>
      <c r="G955" s="75"/>
      <c r="H955" s="75"/>
      <c r="I955" s="329"/>
      <c r="J955" s="75"/>
      <c r="K955" s="72">
        <f t="shared" si="1460"/>
        <v>0</v>
      </c>
      <c r="L955" s="72">
        <f t="shared" si="1461"/>
        <v>0</v>
      </c>
      <c r="M955" s="75"/>
      <c r="N955" s="75"/>
      <c r="O955" s="75"/>
      <c r="P955" s="75"/>
      <c r="Q955" s="73"/>
      <c r="R955" s="73">
        <v>0</v>
      </c>
      <c r="S955" s="73">
        <v>0</v>
      </c>
    </row>
    <row r="956" spans="1:20" ht="35.25" hidden="1" customHeight="1">
      <c r="A956" s="41" t="s">
        <v>390</v>
      </c>
      <c r="B956" s="38" t="s">
        <v>391</v>
      </c>
      <c r="C956" s="92" t="s">
        <v>392</v>
      </c>
      <c r="D956" s="83">
        <f t="shared" ref="D956:S956" si="1559">D958</f>
        <v>0</v>
      </c>
      <c r="E956" s="81">
        <f t="shared" si="1559"/>
        <v>550</v>
      </c>
      <c r="F956" s="81">
        <f t="shared" si="1559"/>
        <v>0</v>
      </c>
      <c r="G956" s="81">
        <f t="shared" si="1559"/>
        <v>0</v>
      </c>
      <c r="H956" s="81">
        <f t="shared" si="1559"/>
        <v>0</v>
      </c>
      <c r="I956" s="339">
        <f t="shared" si="1559"/>
        <v>0</v>
      </c>
      <c r="J956" s="81">
        <f t="shared" si="1559"/>
        <v>0</v>
      </c>
      <c r="K956" s="72">
        <f t="shared" si="1460"/>
        <v>0</v>
      </c>
      <c r="L956" s="72">
        <f t="shared" si="1461"/>
        <v>0</v>
      </c>
      <c r="M956" s="81">
        <f t="shared" ref="M956" si="1560">M958</f>
        <v>0</v>
      </c>
      <c r="N956" s="81">
        <f t="shared" ref="N956" si="1561">N958</f>
        <v>0</v>
      </c>
      <c r="O956" s="81">
        <f t="shared" ref="O956:P956" si="1562">O958</f>
        <v>0</v>
      </c>
      <c r="P956" s="81">
        <f t="shared" si="1562"/>
        <v>0</v>
      </c>
      <c r="Q956" s="81">
        <f t="shared" si="1559"/>
        <v>0</v>
      </c>
      <c r="R956" s="81">
        <f t="shared" si="1559"/>
        <v>0</v>
      </c>
      <c r="S956" s="81">
        <f t="shared" si="1559"/>
        <v>0</v>
      </c>
      <c r="T956" s="2" t="s">
        <v>652</v>
      </c>
    </row>
    <row r="957" spans="1:20" ht="19.5" hidden="1" customHeight="1">
      <c r="A957" s="41"/>
      <c r="B957" s="33" t="s">
        <v>172</v>
      </c>
      <c r="C957" s="19"/>
      <c r="D957" s="75">
        <f t="shared" ref="D957:S958" si="1563">D958</f>
        <v>0</v>
      </c>
      <c r="E957" s="76">
        <f t="shared" si="1563"/>
        <v>550</v>
      </c>
      <c r="F957" s="76">
        <f t="shared" si="1563"/>
        <v>0</v>
      </c>
      <c r="G957" s="76">
        <f t="shared" si="1563"/>
        <v>0</v>
      </c>
      <c r="H957" s="76">
        <f t="shared" si="1563"/>
        <v>0</v>
      </c>
      <c r="I957" s="330">
        <f t="shared" si="1563"/>
        <v>0</v>
      </c>
      <c r="J957" s="76">
        <f t="shared" si="1563"/>
        <v>0</v>
      </c>
      <c r="K957" s="72">
        <f t="shared" si="1460"/>
        <v>0</v>
      </c>
      <c r="L957" s="72">
        <f t="shared" si="1461"/>
        <v>0</v>
      </c>
      <c r="M957" s="76">
        <f t="shared" si="1563"/>
        <v>0</v>
      </c>
      <c r="N957" s="76">
        <f t="shared" si="1563"/>
        <v>0</v>
      </c>
      <c r="O957" s="76">
        <f t="shared" si="1563"/>
        <v>0</v>
      </c>
      <c r="P957" s="76">
        <f t="shared" si="1563"/>
        <v>0</v>
      </c>
      <c r="Q957" s="76">
        <f t="shared" si="1563"/>
        <v>0</v>
      </c>
      <c r="R957" s="76">
        <f t="shared" si="1563"/>
        <v>0</v>
      </c>
      <c r="S957" s="76">
        <f t="shared" si="1563"/>
        <v>0</v>
      </c>
    </row>
    <row r="958" spans="1:20" ht="14.25" hidden="1" customHeight="1">
      <c r="A958" s="41"/>
      <c r="B958" s="40" t="s">
        <v>181</v>
      </c>
      <c r="C958" s="19">
        <v>56</v>
      </c>
      <c r="D958" s="75">
        <f t="shared" si="1563"/>
        <v>0</v>
      </c>
      <c r="E958" s="76">
        <f t="shared" si="1563"/>
        <v>550</v>
      </c>
      <c r="F958" s="76">
        <f t="shared" si="1563"/>
        <v>0</v>
      </c>
      <c r="G958" s="76">
        <f t="shared" si="1563"/>
        <v>0</v>
      </c>
      <c r="H958" s="76">
        <f t="shared" si="1563"/>
        <v>0</v>
      </c>
      <c r="I958" s="330">
        <f t="shared" si="1563"/>
        <v>0</v>
      </c>
      <c r="J958" s="76">
        <f t="shared" si="1563"/>
        <v>0</v>
      </c>
      <c r="K958" s="72">
        <f t="shared" si="1460"/>
        <v>0</v>
      </c>
      <c r="L958" s="72">
        <f t="shared" si="1461"/>
        <v>0</v>
      </c>
      <c r="M958" s="76">
        <f t="shared" si="1563"/>
        <v>0</v>
      </c>
      <c r="N958" s="76">
        <f t="shared" si="1563"/>
        <v>0</v>
      </c>
      <c r="O958" s="76">
        <f t="shared" si="1563"/>
        <v>0</v>
      </c>
      <c r="P958" s="76">
        <f t="shared" si="1563"/>
        <v>0</v>
      </c>
      <c r="Q958" s="76">
        <f t="shared" si="1563"/>
        <v>0</v>
      </c>
      <c r="R958" s="76">
        <f t="shared" si="1563"/>
        <v>0</v>
      </c>
      <c r="S958" s="76">
        <f t="shared" si="1563"/>
        <v>0</v>
      </c>
    </row>
    <row r="959" spans="1:20" ht="24.75" hidden="1" customHeight="1">
      <c r="A959" s="41"/>
      <c r="B959" s="28" t="s">
        <v>217</v>
      </c>
      <c r="C959" s="19" t="s">
        <v>318</v>
      </c>
      <c r="D959" s="75"/>
      <c r="E959" s="136">
        <v>550</v>
      </c>
      <c r="F959" s="75"/>
      <c r="G959" s="75"/>
      <c r="H959" s="75"/>
      <c r="I959" s="329"/>
      <c r="J959" s="75"/>
      <c r="K959" s="72">
        <f t="shared" si="1460"/>
        <v>0</v>
      </c>
      <c r="L959" s="72">
        <f t="shared" si="1461"/>
        <v>0</v>
      </c>
      <c r="M959" s="75"/>
      <c r="N959" s="75"/>
      <c r="O959" s="75"/>
      <c r="P959" s="75"/>
      <c r="Q959" s="75"/>
      <c r="R959" s="75"/>
      <c r="S959" s="75"/>
    </row>
    <row r="960" spans="1:20" ht="24.75" hidden="1" customHeight="1">
      <c r="A960" s="41" t="s">
        <v>393</v>
      </c>
      <c r="B960" s="38" t="s">
        <v>429</v>
      </c>
      <c r="C960" s="92" t="s">
        <v>392</v>
      </c>
      <c r="D960" s="83">
        <f t="shared" ref="D960" si="1564">D961+D964</f>
        <v>0</v>
      </c>
      <c r="E960" s="83"/>
      <c r="F960" s="83"/>
      <c r="G960" s="83"/>
      <c r="H960" s="83"/>
      <c r="I960" s="340"/>
      <c r="J960" s="83"/>
      <c r="K960" s="72">
        <f t="shared" si="1460"/>
        <v>0</v>
      </c>
      <c r="L960" s="72">
        <f t="shared" si="1461"/>
        <v>0</v>
      </c>
      <c r="M960" s="83"/>
      <c r="N960" s="83"/>
      <c r="O960" s="83"/>
      <c r="P960" s="83"/>
      <c r="Q960" s="83">
        <f>Q961+Q964</f>
        <v>0</v>
      </c>
      <c r="R960" s="83">
        <f>R961+R964</f>
        <v>0</v>
      </c>
      <c r="S960" s="83">
        <f>S961+S964</f>
        <v>0</v>
      </c>
    </row>
    <row r="961" spans="1:19" ht="24.75" hidden="1" customHeight="1">
      <c r="A961" s="41"/>
      <c r="B961" s="31" t="s">
        <v>160</v>
      </c>
      <c r="C961" s="92"/>
      <c r="D961" s="83">
        <f t="shared" ref="D961:D962" si="1565">D962</f>
        <v>0</v>
      </c>
      <c r="E961" s="83"/>
      <c r="F961" s="83"/>
      <c r="G961" s="83"/>
      <c r="H961" s="83"/>
      <c r="I961" s="340"/>
      <c r="J961" s="83"/>
      <c r="K961" s="72">
        <f t="shared" si="1460"/>
        <v>0</v>
      </c>
      <c r="L961" s="72">
        <f t="shared" si="1461"/>
        <v>0</v>
      </c>
      <c r="M961" s="83"/>
      <c r="N961" s="83"/>
      <c r="O961" s="83"/>
      <c r="P961" s="83"/>
      <c r="Q961" s="73"/>
      <c r="R961" s="73"/>
      <c r="S961" s="73"/>
    </row>
    <row r="962" spans="1:19" s="1" customFormat="1" ht="24.75" hidden="1" customHeight="1">
      <c r="A962" s="41"/>
      <c r="B962" s="40" t="s">
        <v>161</v>
      </c>
      <c r="C962" s="92">
        <v>1</v>
      </c>
      <c r="D962" s="75">
        <f t="shared" si="1565"/>
        <v>0</v>
      </c>
      <c r="E962" s="75"/>
      <c r="F962" s="75"/>
      <c r="G962" s="75"/>
      <c r="H962" s="75"/>
      <c r="I962" s="329"/>
      <c r="J962" s="75"/>
      <c r="K962" s="72">
        <f t="shared" si="1460"/>
        <v>0</v>
      </c>
      <c r="L962" s="72">
        <f t="shared" si="1461"/>
        <v>0</v>
      </c>
      <c r="M962" s="75"/>
      <c r="N962" s="75"/>
      <c r="O962" s="75"/>
      <c r="P962" s="75"/>
      <c r="Q962" s="87"/>
      <c r="R962" s="87"/>
      <c r="S962" s="87"/>
    </row>
    <row r="963" spans="1:19" s="1" customFormat="1" ht="24.75" hidden="1" customHeight="1">
      <c r="A963" s="41"/>
      <c r="B963" s="40" t="s">
        <v>163</v>
      </c>
      <c r="C963" s="92" t="s">
        <v>394</v>
      </c>
      <c r="D963" s="75">
        <v>0</v>
      </c>
      <c r="E963" s="75"/>
      <c r="F963" s="75"/>
      <c r="G963" s="75"/>
      <c r="H963" s="75"/>
      <c r="I963" s="329"/>
      <c r="J963" s="75"/>
      <c r="K963" s="72">
        <f t="shared" si="1460"/>
        <v>0</v>
      </c>
      <c r="L963" s="72">
        <f t="shared" si="1461"/>
        <v>0</v>
      </c>
      <c r="M963" s="75"/>
      <c r="N963" s="75"/>
      <c r="O963" s="75"/>
      <c r="P963" s="75"/>
      <c r="Q963" s="87"/>
      <c r="R963" s="87"/>
      <c r="S963" s="87"/>
    </row>
    <row r="964" spans="1:19" s="1" customFormat="1" ht="24.75" hidden="1" customHeight="1">
      <c r="A964" s="41"/>
      <c r="B964" s="33" t="s">
        <v>172</v>
      </c>
      <c r="C964" s="92"/>
      <c r="D964" s="75">
        <f>D965</f>
        <v>0</v>
      </c>
      <c r="E964" s="75"/>
      <c r="F964" s="75"/>
      <c r="G964" s="75"/>
      <c r="H964" s="75"/>
      <c r="I964" s="329"/>
      <c r="J964" s="75"/>
      <c r="K964" s="72">
        <f t="shared" si="1460"/>
        <v>0</v>
      </c>
      <c r="L964" s="72">
        <f t="shared" si="1461"/>
        <v>0</v>
      </c>
      <c r="M964" s="75"/>
      <c r="N964" s="75"/>
      <c r="O964" s="75"/>
      <c r="P964" s="75"/>
      <c r="Q964" s="75">
        <f t="shared" ref="Q964:S964" si="1566">Q965</f>
        <v>0</v>
      </c>
      <c r="R964" s="75">
        <f t="shared" si="1566"/>
        <v>0</v>
      </c>
      <c r="S964" s="75">
        <f t="shared" si="1566"/>
        <v>0</v>
      </c>
    </row>
    <row r="965" spans="1:19" s="1" customFormat="1" ht="24.75" hidden="1" customHeight="1">
      <c r="A965" s="41"/>
      <c r="B965" s="40" t="s">
        <v>430</v>
      </c>
      <c r="C965" s="92" t="s">
        <v>431</v>
      </c>
      <c r="D965" s="75"/>
      <c r="E965" s="75"/>
      <c r="F965" s="75"/>
      <c r="G965" s="75"/>
      <c r="H965" s="75"/>
      <c r="I965" s="329"/>
      <c r="J965" s="75"/>
      <c r="K965" s="72">
        <f t="shared" si="1460"/>
        <v>0</v>
      </c>
      <c r="L965" s="72">
        <f t="shared" si="1461"/>
        <v>0</v>
      </c>
      <c r="M965" s="75"/>
      <c r="N965" s="75"/>
      <c r="O965" s="75"/>
      <c r="P965" s="75"/>
      <c r="Q965" s="87"/>
      <c r="R965" s="87"/>
      <c r="S965" s="87"/>
    </row>
    <row r="966" spans="1:19" s="1" customFormat="1" ht="0.75" customHeight="1">
      <c r="A966" s="41"/>
      <c r="B966" s="38" t="s">
        <v>653</v>
      </c>
      <c r="C966" s="92" t="s">
        <v>392</v>
      </c>
      <c r="D966" s="83"/>
      <c r="E966" s="83">
        <f>E967</f>
        <v>900</v>
      </c>
      <c r="F966" s="83">
        <f t="shared" ref="F966:S968" si="1567">F967</f>
        <v>0</v>
      </c>
      <c r="G966" s="83">
        <f t="shared" si="1567"/>
        <v>0</v>
      </c>
      <c r="H966" s="83">
        <f t="shared" si="1567"/>
        <v>0</v>
      </c>
      <c r="I966" s="340">
        <f t="shared" si="1567"/>
        <v>0</v>
      </c>
      <c r="J966" s="83">
        <f t="shared" si="1567"/>
        <v>0</v>
      </c>
      <c r="K966" s="72">
        <f t="shared" si="1460"/>
        <v>0</v>
      </c>
      <c r="L966" s="72">
        <f t="shared" si="1461"/>
        <v>0</v>
      </c>
      <c r="M966" s="83">
        <f t="shared" si="1567"/>
        <v>0</v>
      </c>
      <c r="N966" s="83">
        <f t="shared" si="1567"/>
        <v>0</v>
      </c>
      <c r="O966" s="83">
        <f t="shared" si="1567"/>
        <v>0</v>
      </c>
      <c r="P966" s="83">
        <f t="shared" si="1567"/>
        <v>0</v>
      </c>
      <c r="Q966" s="83">
        <f t="shared" si="1567"/>
        <v>0</v>
      </c>
      <c r="R966" s="83">
        <f t="shared" si="1567"/>
        <v>0</v>
      </c>
      <c r="S966" s="83">
        <f t="shared" si="1567"/>
        <v>0</v>
      </c>
    </row>
    <row r="967" spans="1:19" s="1" customFormat="1" ht="24.75" hidden="1" customHeight="1">
      <c r="A967" s="41"/>
      <c r="B967" s="40" t="s">
        <v>654</v>
      </c>
      <c r="C967" s="92"/>
      <c r="D967" s="75"/>
      <c r="E967" s="75">
        <f>E968</f>
        <v>900</v>
      </c>
      <c r="F967" s="75">
        <f t="shared" si="1567"/>
        <v>0</v>
      </c>
      <c r="G967" s="75">
        <f t="shared" si="1567"/>
        <v>0</v>
      </c>
      <c r="H967" s="75">
        <f t="shared" si="1567"/>
        <v>0</v>
      </c>
      <c r="I967" s="329">
        <f t="shared" si="1567"/>
        <v>0</v>
      </c>
      <c r="J967" s="75">
        <f t="shared" si="1567"/>
        <v>0</v>
      </c>
      <c r="K967" s="72">
        <f t="shared" si="1460"/>
        <v>0</v>
      </c>
      <c r="L967" s="72">
        <f t="shared" si="1461"/>
        <v>0</v>
      </c>
      <c r="M967" s="75">
        <f t="shared" si="1567"/>
        <v>0</v>
      </c>
      <c r="N967" s="75">
        <f t="shared" si="1567"/>
        <v>0</v>
      </c>
      <c r="O967" s="75">
        <f t="shared" si="1567"/>
        <v>0</v>
      </c>
      <c r="P967" s="75">
        <f t="shared" si="1567"/>
        <v>0</v>
      </c>
      <c r="Q967" s="75">
        <f t="shared" si="1567"/>
        <v>0</v>
      </c>
      <c r="R967" s="75">
        <f t="shared" si="1567"/>
        <v>0</v>
      </c>
      <c r="S967" s="75">
        <f t="shared" si="1567"/>
        <v>0</v>
      </c>
    </row>
    <row r="968" spans="1:19" s="1" customFormat="1" ht="24.75" hidden="1" customHeight="1">
      <c r="A968" s="41"/>
      <c r="B968" s="40" t="s">
        <v>655</v>
      </c>
      <c r="C968" s="92" t="s">
        <v>656</v>
      </c>
      <c r="D968" s="75"/>
      <c r="E968" s="75">
        <f>E969</f>
        <v>900</v>
      </c>
      <c r="F968" s="75">
        <f t="shared" si="1567"/>
        <v>0</v>
      </c>
      <c r="G968" s="75">
        <f t="shared" si="1567"/>
        <v>0</v>
      </c>
      <c r="H968" s="75">
        <f t="shared" si="1567"/>
        <v>0</v>
      </c>
      <c r="I968" s="329">
        <f t="shared" si="1567"/>
        <v>0</v>
      </c>
      <c r="J968" s="75">
        <f t="shared" si="1567"/>
        <v>0</v>
      </c>
      <c r="K968" s="72">
        <f t="shared" si="1460"/>
        <v>0</v>
      </c>
      <c r="L968" s="72">
        <f t="shared" si="1461"/>
        <v>0</v>
      </c>
      <c r="M968" s="75">
        <f t="shared" si="1567"/>
        <v>0</v>
      </c>
      <c r="N968" s="75">
        <f t="shared" si="1567"/>
        <v>0</v>
      </c>
      <c r="O968" s="75">
        <f t="shared" si="1567"/>
        <v>0</v>
      </c>
      <c r="P968" s="75">
        <f t="shared" si="1567"/>
        <v>0</v>
      </c>
      <c r="Q968" s="75">
        <f t="shared" si="1567"/>
        <v>0</v>
      </c>
      <c r="R968" s="75">
        <f t="shared" si="1567"/>
        <v>0</v>
      </c>
      <c r="S968" s="75">
        <f t="shared" si="1567"/>
        <v>0</v>
      </c>
    </row>
    <row r="969" spans="1:19" s="1" customFormat="1" ht="24.75" hidden="1" customHeight="1">
      <c r="A969" s="41"/>
      <c r="B969" s="40" t="s">
        <v>657</v>
      </c>
      <c r="C969" s="92" t="s">
        <v>658</v>
      </c>
      <c r="D969" s="75"/>
      <c r="E969" s="75">
        <v>900</v>
      </c>
      <c r="F969" s="75"/>
      <c r="G969" s="75"/>
      <c r="H969" s="75"/>
      <c r="I969" s="329"/>
      <c r="J969" s="75"/>
      <c r="K969" s="72">
        <f t="shared" si="1460"/>
        <v>0</v>
      </c>
      <c r="L969" s="72">
        <f t="shared" si="1461"/>
        <v>0</v>
      </c>
      <c r="M969" s="75"/>
      <c r="N969" s="75"/>
      <c r="O969" s="75"/>
      <c r="P969" s="75"/>
      <c r="Q969" s="87"/>
      <c r="R969" s="87"/>
      <c r="S969" s="87"/>
    </row>
    <row r="970" spans="1:19" ht="24.75" customHeight="1">
      <c r="A970" s="48">
        <v>2</v>
      </c>
      <c r="B970" s="464" t="s">
        <v>902</v>
      </c>
      <c r="C970" s="461">
        <v>74.02</v>
      </c>
      <c r="D970" s="462">
        <f>D976+D980+D986</f>
        <v>387</v>
      </c>
      <c r="E970" s="462">
        <f t="shared" ref="E970:S970" si="1568">E976+E980+E986</f>
        <v>0</v>
      </c>
      <c r="F970" s="462">
        <f t="shared" si="1568"/>
        <v>1</v>
      </c>
      <c r="G970" s="462">
        <f t="shared" si="1568"/>
        <v>387</v>
      </c>
      <c r="H970" s="462">
        <f t="shared" si="1568"/>
        <v>1</v>
      </c>
      <c r="I970" s="463">
        <f t="shared" si="1568"/>
        <v>33</v>
      </c>
      <c r="J970" s="462">
        <f t="shared" si="1568"/>
        <v>33</v>
      </c>
      <c r="K970" s="462">
        <f t="shared" si="1460"/>
        <v>0</v>
      </c>
      <c r="L970" s="462">
        <f t="shared" si="1461"/>
        <v>33</v>
      </c>
      <c r="M970" s="462">
        <f t="shared" ref="M970" si="1569">M976+M980+M986</f>
        <v>33</v>
      </c>
      <c r="N970" s="462">
        <f t="shared" ref="N970" si="1570">N976+N980+N986</f>
        <v>0</v>
      </c>
      <c r="O970" s="462">
        <f t="shared" ref="O970:P970" si="1571">O976+O980+O986</f>
        <v>0</v>
      </c>
      <c r="P970" s="462">
        <f t="shared" si="1571"/>
        <v>0</v>
      </c>
      <c r="Q970" s="462">
        <f t="shared" si="1568"/>
        <v>0</v>
      </c>
      <c r="R970" s="462">
        <f t="shared" si="1568"/>
        <v>0</v>
      </c>
      <c r="S970" s="462">
        <f t="shared" si="1568"/>
        <v>0</v>
      </c>
    </row>
    <row r="971" spans="1:19" ht="20.25" customHeight="1">
      <c r="A971" s="41"/>
      <c r="B971" s="31" t="s">
        <v>160</v>
      </c>
      <c r="C971" s="92"/>
      <c r="D971" s="81">
        <f>D987</f>
        <v>387</v>
      </c>
      <c r="E971" s="81">
        <f t="shared" ref="E971:S973" si="1572">E987</f>
        <v>0</v>
      </c>
      <c r="F971" s="81">
        <f t="shared" si="1572"/>
        <v>1</v>
      </c>
      <c r="G971" s="81">
        <f t="shared" si="1572"/>
        <v>387</v>
      </c>
      <c r="H971" s="81">
        <f t="shared" si="1572"/>
        <v>1</v>
      </c>
      <c r="I971" s="339">
        <f t="shared" si="1572"/>
        <v>33</v>
      </c>
      <c r="J971" s="81">
        <f t="shared" si="1572"/>
        <v>33</v>
      </c>
      <c r="K971" s="72">
        <f t="shared" si="1460"/>
        <v>0</v>
      </c>
      <c r="L971" s="72">
        <f t="shared" si="1461"/>
        <v>33</v>
      </c>
      <c r="M971" s="81">
        <f t="shared" ref="M971" si="1573">M987</f>
        <v>33</v>
      </c>
      <c r="N971" s="81">
        <f t="shared" ref="N971" si="1574">N987</f>
        <v>0</v>
      </c>
      <c r="O971" s="81">
        <f t="shared" ref="O971:P971" si="1575">O987</f>
        <v>0</v>
      </c>
      <c r="P971" s="81">
        <f t="shared" si="1575"/>
        <v>0</v>
      </c>
      <c r="Q971" s="81">
        <f t="shared" si="1572"/>
        <v>0</v>
      </c>
      <c r="R971" s="81">
        <f t="shared" si="1572"/>
        <v>0</v>
      </c>
      <c r="S971" s="81">
        <f t="shared" si="1572"/>
        <v>0</v>
      </c>
    </row>
    <row r="972" spans="1:19" ht="21" customHeight="1">
      <c r="A972" s="41"/>
      <c r="B972" s="40" t="s">
        <v>161</v>
      </c>
      <c r="C972" s="92">
        <v>1</v>
      </c>
      <c r="D972" s="81">
        <f>D988</f>
        <v>387</v>
      </c>
      <c r="E972" s="81">
        <f t="shared" si="1572"/>
        <v>0</v>
      </c>
      <c r="F972" s="81">
        <f t="shared" si="1572"/>
        <v>1</v>
      </c>
      <c r="G972" s="81">
        <f t="shared" si="1572"/>
        <v>387</v>
      </c>
      <c r="H972" s="81">
        <f t="shared" si="1572"/>
        <v>1</v>
      </c>
      <c r="I972" s="339">
        <f t="shared" si="1572"/>
        <v>33</v>
      </c>
      <c r="J972" s="81">
        <f t="shared" si="1572"/>
        <v>33</v>
      </c>
      <c r="K972" s="72">
        <f t="shared" ref="K972:K1035" si="1576">J972-L972</f>
        <v>0</v>
      </c>
      <c r="L972" s="72">
        <f t="shared" ref="L972:L1035" si="1577">M972+N972+O972+P972</f>
        <v>33</v>
      </c>
      <c r="M972" s="81">
        <f t="shared" ref="M972" si="1578">M988</f>
        <v>33</v>
      </c>
      <c r="N972" s="81">
        <f t="shared" ref="N972" si="1579">N988</f>
        <v>0</v>
      </c>
      <c r="O972" s="81">
        <f t="shared" ref="O972:P972" si="1580">O988</f>
        <v>0</v>
      </c>
      <c r="P972" s="81">
        <f t="shared" si="1580"/>
        <v>0</v>
      </c>
      <c r="Q972" s="81">
        <f t="shared" si="1572"/>
        <v>0</v>
      </c>
      <c r="R972" s="81">
        <f t="shared" si="1572"/>
        <v>0</v>
      </c>
      <c r="S972" s="81">
        <f t="shared" si="1572"/>
        <v>0</v>
      </c>
    </row>
    <row r="973" spans="1:19" ht="20.25" customHeight="1">
      <c r="A973" s="41"/>
      <c r="B973" s="40" t="s">
        <v>395</v>
      </c>
      <c r="C973" s="92">
        <v>20</v>
      </c>
      <c r="D973" s="81">
        <f>D989</f>
        <v>387</v>
      </c>
      <c r="E973" s="81">
        <f t="shared" si="1572"/>
        <v>0</v>
      </c>
      <c r="F973" s="81">
        <f t="shared" si="1572"/>
        <v>1</v>
      </c>
      <c r="G973" s="81">
        <f t="shared" si="1572"/>
        <v>387</v>
      </c>
      <c r="H973" s="81">
        <f t="shared" si="1572"/>
        <v>1</v>
      </c>
      <c r="I973" s="339">
        <f t="shared" si="1572"/>
        <v>33</v>
      </c>
      <c r="J973" s="81">
        <f t="shared" si="1572"/>
        <v>33</v>
      </c>
      <c r="K973" s="72">
        <f t="shared" si="1576"/>
        <v>0</v>
      </c>
      <c r="L973" s="72">
        <f t="shared" si="1577"/>
        <v>33</v>
      </c>
      <c r="M973" s="81">
        <f t="shared" ref="M973" si="1581">M989</f>
        <v>33</v>
      </c>
      <c r="N973" s="81">
        <f t="shared" ref="N973" si="1582">N989</f>
        <v>0</v>
      </c>
      <c r="O973" s="81">
        <f t="shared" ref="O973:P973" si="1583">O989</f>
        <v>0</v>
      </c>
      <c r="P973" s="81">
        <f t="shared" si="1583"/>
        <v>0</v>
      </c>
      <c r="Q973" s="81">
        <f t="shared" si="1572"/>
        <v>0</v>
      </c>
      <c r="R973" s="81">
        <f t="shared" si="1572"/>
        <v>0</v>
      </c>
      <c r="S973" s="81">
        <f t="shared" si="1572"/>
        <v>0</v>
      </c>
    </row>
    <row r="974" spans="1:19" ht="24.75" hidden="1" customHeight="1">
      <c r="A974" s="41"/>
      <c r="B974" s="33" t="s">
        <v>172</v>
      </c>
      <c r="C974" s="92"/>
      <c r="D974" s="81">
        <f t="shared" ref="D974:S975" si="1584">D977+D981</f>
        <v>0</v>
      </c>
      <c r="E974" s="81"/>
      <c r="F974" s="81"/>
      <c r="G974" s="81"/>
      <c r="H974" s="81"/>
      <c r="I974" s="339"/>
      <c r="J974" s="81"/>
      <c r="K974" s="72">
        <f t="shared" si="1576"/>
        <v>0</v>
      </c>
      <c r="L974" s="72">
        <f t="shared" si="1577"/>
        <v>0</v>
      </c>
      <c r="M974" s="81"/>
      <c r="N974" s="81"/>
      <c r="O974" s="81"/>
      <c r="P974" s="81"/>
      <c r="Q974" s="81">
        <f t="shared" si="1584"/>
        <v>0</v>
      </c>
      <c r="R974" s="81">
        <f t="shared" si="1584"/>
        <v>0</v>
      </c>
      <c r="S974" s="81">
        <f t="shared" si="1584"/>
        <v>0</v>
      </c>
    </row>
    <row r="975" spans="1:19" ht="24.75" hidden="1" customHeight="1">
      <c r="A975" s="41"/>
      <c r="B975" s="40" t="s">
        <v>396</v>
      </c>
      <c r="C975" s="92">
        <v>56</v>
      </c>
      <c r="D975" s="76">
        <f>D978+D982</f>
        <v>0</v>
      </c>
      <c r="E975" s="76"/>
      <c r="F975" s="76"/>
      <c r="G975" s="76"/>
      <c r="H975" s="76"/>
      <c r="I975" s="330"/>
      <c r="J975" s="76"/>
      <c r="K975" s="72">
        <f t="shared" si="1576"/>
        <v>0</v>
      </c>
      <c r="L975" s="72">
        <f t="shared" si="1577"/>
        <v>0</v>
      </c>
      <c r="M975" s="76"/>
      <c r="N975" s="76"/>
      <c r="O975" s="76"/>
      <c r="P975" s="76"/>
      <c r="Q975" s="76">
        <f t="shared" si="1584"/>
        <v>0</v>
      </c>
      <c r="R975" s="76">
        <f t="shared" si="1584"/>
        <v>0</v>
      </c>
      <c r="S975" s="76">
        <f t="shared" si="1584"/>
        <v>0</v>
      </c>
    </row>
    <row r="976" spans="1:19" ht="18.75" hidden="1" customHeight="1">
      <c r="A976" s="41" t="s">
        <v>293</v>
      </c>
      <c r="B976" s="33" t="s">
        <v>397</v>
      </c>
      <c r="C976" s="92" t="s">
        <v>398</v>
      </c>
      <c r="D976" s="81">
        <f t="shared" ref="D976:S978" si="1585">D977</f>
        <v>0</v>
      </c>
      <c r="E976" s="81"/>
      <c r="F976" s="81"/>
      <c r="G976" s="81"/>
      <c r="H976" s="81"/>
      <c r="I976" s="339"/>
      <c r="J976" s="81"/>
      <c r="K976" s="72">
        <f t="shared" si="1576"/>
        <v>0</v>
      </c>
      <c r="L976" s="72">
        <f t="shared" si="1577"/>
        <v>0</v>
      </c>
      <c r="M976" s="81"/>
      <c r="N976" s="81"/>
      <c r="O976" s="81"/>
      <c r="P976" s="81"/>
      <c r="Q976" s="81">
        <f t="shared" si="1585"/>
        <v>0</v>
      </c>
      <c r="R976" s="81">
        <f t="shared" si="1585"/>
        <v>0</v>
      </c>
      <c r="S976" s="81">
        <f t="shared" si="1585"/>
        <v>0</v>
      </c>
    </row>
    <row r="977" spans="1:19" ht="24.75" hidden="1" customHeight="1">
      <c r="A977" s="41"/>
      <c r="B977" s="33" t="s">
        <v>172</v>
      </c>
      <c r="C977" s="92"/>
      <c r="D977" s="81">
        <f t="shared" si="1585"/>
        <v>0</v>
      </c>
      <c r="E977" s="81"/>
      <c r="F977" s="81"/>
      <c r="G977" s="81"/>
      <c r="H977" s="81"/>
      <c r="I977" s="339"/>
      <c r="J977" s="81"/>
      <c r="K977" s="72">
        <f t="shared" si="1576"/>
        <v>0</v>
      </c>
      <c r="L977" s="72">
        <f t="shared" si="1577"/>
        <v>0</v>
      </c>
      <c r="M977" s="81"/>
      <c r="N977" s="81"/>
      <c r="O977" s="81"/>
      <c r="P977" s="81"/>
      <c r="Q977" s="81">
        <f t="shared" si="1585"/>
        <v>0</v>
      </c>
      <c r="R977" s="81">
        <f t="shared" si="1585"/>
        <v>0</v>
      </c>
      <c r="S977" s="81">
        <f t="shared" si="1585"/>
        <v>0</v>
      </c>
    </row>
    <row r="978" spans="1:19" ht="24" hidden="1" customHeight="1">
      <c r="A978" s="41"/>
      <c r="B978" s="40" t="s">
        <v>396</v>
      </c>
      <c r="C978" s="19">
        <v>56.01</v>
      </c>
      <c r="D978" s="76">
        <f t="shared" si="1585"/>
        <v>0</v>
      </c>
      <c r="E978" s="76"/>
      <c r="F978" s="76"/>
      <c r="G978" s="76"/>
      <c r="H978" s="76"/>
      <c r="I978" s="330"/>
      <c r="J978" s="76"/>
      <c r="K978" s="72">
        <f t="shared" si="1576"/>
        <v>0</v>
      </c>
      <c r="L978" s="72">
        <f t="shared" si="1577"/>
        <v>0</v>
      </c>
      <c r="M978" s="76"/>
      <c r="N978" s="76"/>
      <c r="O978" s="76"/>
      <c r="P978" s="76"/>
      <c r="Q978" s="76">
        <f t="shared" si="1585"/>
        <v>0</v>
      </c>
      <c r="R978" s="76">
        <f t="shared" si="1585"/>
        <v>0</v>
      </c>
      <c r="S978" s="76">
        <f t="shared" si="1585"/>
        <v>0</v>
      </c>
    </row>
    <row r="979" spans="1:19" ht="24.75" hidden="1" customHeight="1">
      <c r="A979" s="41"/>
      <c r="B979" s="40" t="s">
        <v>217</v>
      </c>
      <c r="C979" s="19" t="s">
        <v>216</v>
      </c>
      <c r="D979" s="75"/>
      <c r="E979" s="75"/>
      <c r="F979" s="75"/>
      <c r="G979" s="75"/>
      <c r="H979" s="75"/>
      <c r="I979" s="329"/>
      <c r="J979" s="75"/>
      <c r="K979" s="72">
        <f t="shared" si="1576"/>
        <v>0</v>
      </c>
      <c r="L979" s="72">
        <f t="shared" si="1577"/>
        <v>0</v>
      </c>
      <c r="M979" s="75"/>
      <c r="N979" s="75"/>
      <c r="O979" s="75"/>
      <c r="P979" s="75"/>
      <c r="Q979" s="73">
        <v>0</v>
      </c>
      <c r="R979" s="73">
        <v>0</v>
      </c>
      <c r="S979" s="73">
        <v>0</v>
      </c>
    </row>
    <row r="980" spans="1:19" ht="24.75" hidden="1" customHeight="1">
      <c r="A980" s="41" t="s">
        <v>300</v>
      </c>
      <c r="B980" s="38" t="s">
        <v>399</v>
      </c>
      <c r="C980" s="92" t="s">
        <v>398</v>
      </c>
      <c r="D980" s="81">
        <f t="shared" ref="D980:S981" si="1586">D981</f>
        <v>0</v>
      </c>
      <c r="E980" s="81"/>
      <c r="F980" s="81"/>
      <c r="G980" s="81"/>
      <c r="H980" s="81"/>
      <c r="I980" s="339"/>
      <c r="J980" s="81"/>
      <c r="K980" s="72">
        <f t="shared" si="1576"/>
        <v>0</v>
      </c>
      <c r="L980" s="72">
        <f t="shared" si="1577"/>
        <v>0</v>
      </c>
      <c r="M980" s="81"/>
      <c r="N980" s="81"/>
      <c r="O980" s="81"/>
      <c r="P980" s="81"/>
      <c r="Q980" s="81">
        <f t="shared" si="1586"/>
        <v>0</v>
      </c>
      <c r="R980" s="81">
        <f t="shared" si="1586"/>
        <v>0</v>
      </c>
      <c r="S980" s="81">
        <f t="shared" si="1586"/>
        <v>0</v>
      </c>
    </row>
    <row r="981" spans="1:19" ht="24.75" hidden="1" customHeight="1">
      <c r="A981" s="41"/>
      <c r="B981" s="33" t="s">
        <v>172</v>
      </c>
      <c r="C981" s="19">
        <v>0</v>
      </c>
      <c r="D981" s="76">
        <f t="shared" si="1586"/>
        <v>0</v>
      </c>
      <c r="E981" s="76"/>
      <c r="F981" s="76"/>
      <c r="G981" s="76"/>
      <c r="H981" s="76"/>
      <c r="I981" s="330"/>
      <c r="J981" s="76"/>
      <c r="K981" s="72">
        <f t="shared" si="1576"/>
        <v>0</v>
      </c>
      <c r="L981" s="72">
        <f t="shared" si="1577"/>
        <v>0</v>
      </c>
      <c r="M981" s="76"/>
      <c r="N981" s="76"/>
      <c r="O981" s="76"/>
      <c r="P981" s="76"/>
      <c r="Q981" s="76">
        <f t="shared" si="1586"/>
        <v>0</v>
      </c>
      <c r="R981" s="76">
        <f t="shared" si="1586"/>
        <v>0</v>
      </c>
      <c r="S981" s="76">
        <f t="shared" si="1586"/>
        <v>0</v>
      </c>
    </row>
    <row r="982" spans="1:19" ht="24.75" hidden="1" customHeight="1">
      <c r="A982" s="41"/>
      <c r="B982" s="40" t="s">
        <v>396</v>
      </c>
      <c r="C982" s="19">
        <v>56.01</v>
      </c>
      <c r="D982" s="76">
        <f t="shared" ref="D982:S982" si="1587">D983+D984+D985</f>
        <v>0</v>
      </c>
      <c r="E982" s="76"/>
      <c r="F982" s="76"/>
      <c r="G982" s="76"/>
      <c r="H982" s="76"/>
      <c r="I982" s="330"/>
      <c r="J982" s="76"/>
      <c r="K982" s="72">
        <f t="shared" si="1576"/>
        <v>0</v>
      </c>
      <c r="L982" s="72">
        <f t="shared" si="1577"/>
        <v>0</v>
      </c>
      <c r="M982" s="76"/>
      <c r="N982" s="76"/>
      <c r="O982" s="76"/>
      <c r="P982" s="76"/>
      <c r="Q982" s="76">
        <f t="shared" si="1587"/>
        <v>0</v>
      </c>
      <c r="R982" s="76">
        <f t="shared" si="1587"/>
        <v>0</v>
      </c>
      <c r="S982" s="76">
        <f t="shared" si="1587"/>
        <v>0</v>
      </c>
    </row>
    <row r="983" spans="1:19" ht="24.75" hidden="1" customHeight="1">
      <c r="A983" s="41"/>
      <c r="B983" s="40" t="s">
        <v>324</v>
      </c>
      <c r="C983" s="19" t="s">
        <v>213</v>
      </c>
      <c r="D983" s="75">
        <v>0</v>
      </c>
      <c r="E983" s="75"/>
      <c r="F983" s="75"/>
      <c r="G983" s="75"/>
      <c r="H983" s="75"/>
      <c r="I983" s="329"/>
      <c r="J983" s="75"/>
      <c r="K983" s="72">
        <f t="shared" si="1576"/>
        <v>0</v>
      </c>
      <c r="L983" s="72">
        <f t="shared" si="1577"/>
        <v>0</v>
      </c>
      <c r="M983" s="75"/>
      <c r="N983" s="75"/>
      <c r="O983" s="75"/>
      <c r="P983" s="75"/>
      <c r="Q983" s="73"/>
      <c r="R983" s="73"/>
      <c r="S983" s="73"/>
    </row>
    <row r="984" spans="1:19" ht="24.75" hidden="1" customHeight="1">
      <c r="A984" s="41"/>
      <c r="B984" s="40" t="s">
        <v>400</v>
      </c>
      <c r="C984" s="19" t="s">
        <v>215</v>
      </c>
      <c r="D984" s="75">
        <v>0</v>
      </c>
      <c r="E984" s="75"/>
      <c r="F984" s="75"/>
      <c r="G984" s="75"/>
      <c r="H984" s="75"/>
      <c r="I984" s="329"/>
      <c r="J984" s="75"/>
      <c r="K984" s="72">
        <f t="shared" si="1576"/>
        <v>0</v>
      </c>
      <c r="L984" s="72">
        <f t="shared" si="1577"/>
        <v>0</v>
      </c>
      <c r="M984" s="75"/>
      <c r="N984" s="75"/>
      <c r="O984" s="75"/>
      <c r="P984" s="75"/>
      <c r="Q984" s="73"/>
      <c r="R984" s="73"/>
      <c r="S984" s="73"/>
    </row>
    <row r="985" spans="1:19" ht="24.75" hidden="1" customHeight="1">
      <c r="A985" s="41"/>
      <c r="B985" s="40" t="s">
        <v>401</v>
      </c>
      <c r="C985" s="19" t="s">
        <v>216</v>
      </c>
      <c r="D985" s="136">
        <v>0</v>
      </c>
      <c r="E985" s="136"/>
      <c r="F985" s="136"/>
      <c r="G985" s="136"/>
      <c r="H985" s="136"/>
      <c r="I985" s="335"/>
      <c r="J985" s="136"/>
      <c r="K985" s="72">
        <f t="shared" si="1576"/>
        <v>0</v>
      </c>
      <c r="L985" s="72">
        <f t="shared" si="1577"/>
        <v>0</v>
      </c>
      <c r="M985" s="136"/>
      <c r="N985" s="136"/>
      <c r="O985" s="136"/>
      <c r="P985" s="136"/>
      <c r="Q985" s="73"/>
      <c r="R985" s="73"/>
      <c r="S985" s="73"/>
    </row>
    <row r="986" spans="1:19" ht="26.25" customHeight="1">
      <c r="A986" s="41"/>
      <c r="B986" s="38" t="s">
        <v>622</v>
      </c>
      <c r="C986" s="19"/>
      <c r="D986" s="75">
        <f>D987</f>
        <v>387</v>
      </c>
      <c r="E986" s="75">
        <f t="shared" ref="E986:S988" si="1588">E987</f>
        <v>0</v>
      </c>
      <c r="F986" s="75">
        <f t="shared" si="1588"/>
        <v>1</v>
      </c>
      <c r="G986" s="75">
        <f t="shared" si="1588"/>
        <v>387</v>
      </c>
      <c r="H986" s="75">
        <f t="shared" si="1588"/>
        <v>1</v>
      </c>
      <c r="I986" s="329">
        <f t="shared" si="1588"/>
        <v>33</v>
      </c>
      <c r="J986" s="75">
        <f t="shared" si="1588"/>
        <v>33</v>
      </c>
      <c r="K986" s="72">
        <f t="shared" si="1576"/>
        <v>0</v>
      </c>
      <c r="L986" s="72">
        <f t="shared" si="1577"/>
        <v>33</v>
      </c>
      <c r="M986" s="75">
        <f t="shared" si="1588"/>
        <v>33</v>
      </c>
      <c r="N986" s="75">
        <f t="shared" si="1588"/>
        <v>0</v>
      </c>
      <c r="O986" s="75">
        <f t="shared" si="1588"/>
        <v>0</v>
      </c>
      <c r="P986" s="75">
        <f t="shared" si="1588"/>
        <v>0</v>
      </c>
      <c r="Q986" s="75">
        <f t="shared" si="1588"/>
        <v>0</v>
      </c>
      <c r="R986" s="75">
        <f t="shared" si="1588"/>
        <v>0</v>
      </c>
      <c r="S986" s="75">
        <f t="shared" si="1588"/>
        <v>0</v>
      </c>
    </row>
    <row r="987" spans="1:19" ht="18.75" customHeight="1">
      <c r="A987" s="41"/>
      <c r="B987" s="31" t="s">
        <v>160</v>
      </c>
      <c r="C987" s="19"/>
      <c r="D987" s="75">
        <f>D988</f>
        <v>387</v>
      </c>
      <c r="E987" s="75">
        <f t="shared" si="1588"/>
        <v>0</v>
      </c>
      <c r="F987" s="75">
        <f t="shared" si="1588"/>
        <v>1</v>
      </c>
      <c r="G987" s="75">
        <f t="shared" si="1588"/>
        <v>387</v>
      </c>
      <c r="H987" s="75">
        <f t="shared" si="1588"/>
        <v>1</v>
      </c>
      <c r="I987" s="329">
        <f t="shared" si="1588"/>
        <v>33</v>
      </c>
      <c r="J987" s="75">
        <f t="shared" si="1588"/>
        <v>33</v>
      </c>
      <c r="K987" s="72">
        <f t="shared" si="1576"/>
        <v>0</v>
      </c>
      <c r="L987" s="72">
        <f t="shared" si="1577"/>
        <v>33</v>
      </c>
      <c r="M987" s="75">
        <f t="shared" si="1588"/>
        <v>33</v>
      </c>
      <c r="N987" s="75">
        <f t="shared" si="1588"/>
        <v>0</v>
      </c>
      <c r="O987" s="75">
        <f t="shared" si="1588"/>
        <v>0</v>
      </c>
      <c r="P987" s="75">
        <f t="shared" si="1588"/>
        <v>0</v>
      </c>
      <c r="Q987" s="75">
        <f t="shared" si="1588"/>
        <v>0</v>
      </c>
      <c r="R987" s="75">
        <f t="shared" si="1588"/>
        <v>0</v>
      </c>
      <c r="S987" s="75">
        <f t="shared" si="1588"/>
        <v>0</v>
      </c>
    </row>
    <row r="988" spans="1:19" ht="17.25" customHeight="1">
      <c r="A988" s="41"/>
      <c r="B988" s="40" t="s">
        <v>161</v>
      </c>
      <c r="C988" s="19"/>
      <c r="D988" s="75">
        <f>D989</f>
        <v>387</v>
      </c>
      <c r="E988" s="75">
        <f t="shared" si="1588"/>
        <v>0</v>
      </c>
      <c r="F988" s="75">
        <f t="shared" si="1588"/>
        <v>1</v>
      </c>
      <c r="G988" s="75">
        <f t="shared" si="1588"/>
        <v>387</v>
      </c>
      <c r="H988" s="75">
        <f t="shared" si="1588"/>
        <v>1</v>
      </c>
      <c r="I988" s="329">
        <f t="shared" si="1588"/>
        <v>33</v>
      </c>
      <c r="J988" s="75">
        <f t="shared" si="1588"/>
        <v>33</v>
      </c>
      <c r="K988" s="72">
        <f t="shared" si="1576"/>
        <v>0</v>
      </c>
      <c r="L988" s="72">
        <f t="shared" si="1577"/>
        <v>33</v>
      </c>
      <c r="M988" s="75">
        <f t="shared" si="1588"/>
        <v>33</v>
      </c>
      <c r="N988" s="75">
        <f t="shared" si="1588"/>
        <v>0</v>
      </c>
      <c r="O988" s="75">
        <f t="shared" si="1588"/>
        <v>0</v>
      </c>
      <c r="P988" s="75">
        <f t="shared" si="1588"/>
        <v>0</v>
      </c>
      <c r="Q988" s="75">
        <f t="shared" si="1588"/>
        <v>0</v>
      </c>
      <c r="R988" s="75">
        <f t="shared" si="1588"/>
        <v>0</v>
      </c>
      <c r="S988" s="75">
        <f t="shared" si="1588"/>
        <v>0</v>
      </c>
    </row>
    <row r="989" spans="1:19" ht="14.25" customHeight="1">
      <c r="A989" s="41"/>
      <c r="B989" s="40" t="s">
        <v>886</v>
      </c>
      <c r="C989" s="19">
        <v>20</v>
      </c>
      <c r="D989" s="75">
        <v>387</v>
      </c>
      <c r="E989" s="75">
        <v>0</v>
      </c>
      <c r="F989" s="75">
        <v>1</v>
      </c>
      <c r="G989" s="75">
        <v>387</v>
      </c>
      <c r="H989" s="75">
        <v>1</v>
      </c>
      <c r="I989" s="329">
        <v>33</v>
      </c>
      <c r="J989" s="73">
        <v>33</v>
      </c>
      <c r="K989" s="72">
        <f t="shared" si="1576"/>
        <v>0</v>
      </c>
      <c r="L989" s="72">
        <f t="shared" si="1577"/>
        <v>33</v>
      </c>
      <c r="M989" s="73">
        <v>33</v>
      </c>
      <c r="N989" s="73"/>
      <c r="O989" s="73"/>
      <c r="P989" s="73"/>
      <c r="Q989" s="73">
        <v>0</v>
      </c>
      <c r="R989" s="73">
        <v>0</v>
      </c>
      <c r="S989" s="73">
        <v>0</v>
      </c>
    </row>
    <row r="990" spans="1:19" ht="24.75" customHeight="1">
      <c r="A990" s="48" t="s">
        <v>402</v>
      </c>
      <c r="B990" s="50" t="s">
        <v>904</v>
      </c>
      <c r="C990" s="98">
        <v>79.02</v>
      </c>
      <c r="D990" s="84">
        <f>D1005+D1023+D1036+D1082</f>
        <v>65806</v>
      </c>
      <c r="E990" s="84">
        <f t="shared" ref="E990:J990" si="1589">E1005+E1023+E1036+E1082</f>
        <v>23762</v>
      </c>
      <c r="F990" s="84">
        <f t="shared" si="1589"/>
        <v>102244</v>
      </c>
      <c r="G990" s="84">
        <f t="shared" si="1589"/>
        <v>75099.649999999994</v>
      </c>
      <c r="H990" s="84">
        <f t="shared" si="1589"/>
        <v>21871</v>
      </c>
      <c r="I990" s="349">
        <f t="shared" si="1589"/>
        <v>169143</v>
      </c>
      <c r="J990" s="84">
        <f t="shared" si="1589"/>
        <v>96284</v>
      </c>
      <c r="K990" s="72">
        <f t="shared" si="1576"/>
        <v>0</v>
      </c>
      <c r="L990" s="72">
        <f t="shared" si="1577"/>
        <v>96284</v>
      </c>
      <c r="M990" s="84">
        <f t="shared" ref="M990" si="1590">M1005+M1023+M1036+M1082</f>
        <v>41791</v>
      </c>
      <c r="N990" s="84">
        <f t="shared" ref="N990" si="1591">N1005+N1023+N1036+N1082</f>
        <v>18819</v>
      </c>
      <c r="O990" s="84">
        <f t="shared" ref="O990:P990" si="1592">O1005+O1023+O1036+O1082</f>
        <v>17663</v>
      </c>
      <c r="P990" s="84">
        <f t="shared" si="1592"/>
        <v>18011</v>
      </c>
      <c r="Q990" s="84">
        <f>Q1005+Q1023+Q1036+Q1082</f>
        <v>85380</v>
      </c>
      <c r="R990" s="84">
        <f>R1005+R1023+R1036+R1082</f>
        <v>76933</v>
      </c>
      <c r="S990" s="84">
        <f>S1005+S1023+S1036+S1082</f>
        <v>35030</v>
      </c>
    </row>
    <row r="991" spans="1:19" ht="24" customHeight="1">
      <c r="A991" s="41"/>
      <c r="B991" s="31" t="s">
        <v>160</v>
      </c>
      <c r="C991" s="92"/>
      <c r="D991" s="84">
        <f t="shared" ref="D991:S992" si="1593">D1006+D1029+D1037+D1025</f>
        <v>22730</v>
      </c>
      <c r="E991" s="84">
        <f t="shared" si="1593"/>
        <v>11697</v>
      </c>
      <c r="F991" s="84">
        <f t="shared" si="1593"/>
        <v>21530</v>
      </c>
      <c r="G991" s="84">
        <f t="shared" si="1593"/>
        <v>21180</v>
      </c>
      <c r="H991" s="84">
        <f t="shared" si="1593"/>
        <v>11564</v>
      </c>
      <c r="I991" s="349">
        <f t="shared" si="1593"/>
        <v>23000</v>
      </c>
      <c r="J991" s="84">
        <f t="shared" si="1593"/>
        <v>23100</v>
      </c>
      <c r="K991" s="72">
        <f t="shared" si="1576"/>
        <v>0</v>
      </c>
      <c r="L991" s="72">
        <f t="shared" si="1577"/>
        <v>23100</v>
      </c>
      <c r="M991" s="84">
        <f t="shared" ref="M991" si="1594">M1006+M1029+M1037+M1025</f>
        <v>8674</v>
      </c>
      <c r="N991" s="84">
        <f t="shared" ref="N991" si="1595">N1006+N1029+N1037+N1025</f>
        <v>5479</v>
      </c>
      <c r="O991" s="84">
        <f t="shared" ref="O991:P991" si="1596">O1006+O1029+O1037+O1025</f>
        <v>4323</v>
      </c>
      <c r="P991" s="84">
        <f t="shared" si="1596"/>
        <v>4624</v>
      </c>
      <c r="Q991" s="84">
        <f t="shared" si="1593"/>
        <v>13450</v>
      </c>
      <c r="R991" s="84">
        <f t="shared" si="1593"/>
        <v>13500</v>
      </c>
      <c r="S991" s="84">
        <f t="shared" si="1593"/>
        <v>13600</v>
      </c>
    </row>
    <row r="992" spans="1:19" ht="15">
      <c r="A992" s="41"/>
      <c r="B992" s="40" t="s">
        <v>161</v>
      </c>
      <c r="C992" s="19">
        <v>1</v>
      </c>
      <c r="D992" s="76">
        <f t="shared" si="1593"/>
        <v>22730</v>
      </c>
      <c r="E992" s="76">
        <f t="shared" si="1593"/>
        <v>11697</v>
      </c>
      <c r="F992" s="76">
        <f t="shared" si="1593"/>
        <v>21530</v>
      </c>
      <c r="G992" s="76">
        <f t="shared" si="1593"/>
        <v>21180</v>
      </c>
      <c r="H992" s="76">
        <f t="shared" si="1593"/>
        <v>11564</v>
      </c>
      <c r="I992" s="330">
        <f t="shared" si="1593"/>
        <v>23000</v>
      </c>
      <c r="J992" s="76">
        <f t="shared" si="1593"/>
        <v>23100</v>
      </c>
      <c r="K992" s="72">
        <f t="shared" si="1576"/>
        <v>0</v>
      </c>
      <c r="L992" s="72">
        <f t="shared" si="1577"/>
        <v>23100</v>
      </c>
      <c r="M992" s="76">
        <f t="shared" ref="M992" si="1597">M1007+M1030+M1038+M1026</f>
        <v>8674</v>
      </c>
      <c r="N992" s="76">
        <f t="shared" ref="N992" si="1598">N1007+N1030+N1038+N1026</f>
        <v>5479</v>
      </c>
      <c r="O992" s="76">
        <f t="shared" ref="O992:P992" si="1599">O1007+O1030+O1038+O1026</f>
        <v>4323</v>
      </c>
      <c r="P992" s="76">
        <f t="shared" si="1599"/>
        <v>4624</v>
      </c>
      <c r="Q992" s="76">
        <f t="shared" si="1593"/>
        <v>13450</v>
      </c>
      <c r="R992" s="76">
        <f t="shared" si="1593"/>
        <v>13500</v>
      </c>
      <c r="S992" s="76">
        <f t="shared" si="1593"/>
        <v>13600</v>
      </c>
    </row>
    <row r="993" spans="1:19" ht="15" hidden="1">
      <c r="A993" s="41"/>
      <c r="B993" s="40" t="s">
        <v>162</v>
      </c>
      <c r="C993" s="19">
        <v>10</v>
      </c>
      <c r="D993" s="76">
        <f t="shared" ref="D993:S993" si="1600">D1039</f>
        <v>0</v>
      </c>
      <c r="E993" s="76">
        <f t="shared" si="1600"/>
        <v>0</v>
      </c>
      <c r="F993" s="76">
        <f t="shared" si="1600"/>
        <v>0</v>
      </c>
      <c r="G993" s="76">
        <f t="shared" si="1600"/>
        <v>0</v>
      </c>
      <c r="H993" s="76">
        <f t="shared" si="1600"/>
        <v>0</v>
      </c>
      <c r="I993" s="330">
        <f t="shared" si="1600"/>
        <v>0</v>
      </c>
      <c r="J993" s="76">
        <f t="shared" si="1600"/>
        <v>0</v>
      </c>
      <c r="K993" s="72">
        <f t="shared" si="1576"/>
        <v>0</v>
      </c>
      <c r="L993" s="72">
        <f t="shared" si="1577"/>
        <v>0</v>
      </c>
      <c r="M993" s="76">
        <f t="shared" ref="M993" si="1601">M1039</f>
        <v>0</v>
      </c>
      <c r="N993" s="76">
        <f t="shared" ref="N993" si="1602">N1039</f>
        <v>0</v>
      </c>
      <c r="O993" s="76">
        <f t="shared" ref="O993:P993" si="1603">O1039</f>
        <v>0</v>
      </c>
      <c r="P993" s="76">
        <f t="shared" si="1603"/>
        <v>0</v>
      </c>
      <c r="Q993" s="76">
        <f t="shared" si="1600"/>
        <v>0</v>
      </c>
      <c r="R993" s="76">
        <f t="shared" si="1600"/>
        <v>0</v>
      </c>
      <c r="S993" s="76">
        <f t="shared" si="1600"/>
        <v>0</v>
      </c>
    </row>
    <row r="994" spans="1:19" ht="15">
      <c r="A994" s="41"/>
      <c r="B994" s="40" t="s">
        <v>886</v>
      </c>
      <c r="C994" s="19">
        <v>20</v>
      </c>
      <c r="D994" s="76">
        <f t="shared" ref="D994:S994" si="1604">D1008+D1040+D1027</f>
        <v>22730</v>
      </c>
      <c r="E994" s="76">
        <f t="shared" si="1604"/>
        <v>11697</v>
      </c>
      <c r="F994" s="76">
        <f t="shared" si="1604"/>
        <v>21530</v>
      </c>
      <c r="G994" s="76">
        <f t="shared" si="1604"/>
        <v>21180</v>
      </c>
      <c r="H994" s="76">
        <f t="shared" si="1604"/>
        <v>11564</v>
      </c>
      <c r="I994" s="330">
        <f t="shared" si="1604"/>
        <v>23000</v>
      </c>
      <c r="J994" s="76">
        <f t="shared" si="1604"/>
        <v>22150</v>
      </c>
      <c r="K994" s="72">
        <f t="shared" si="1576"/>
        <v>0</v>
      </c>
      <c r="L994" s="72">
        <f t="shared" si="1577"/>
        <v>22150</v>
      </c>
      <c r="M994" s="76">
        <f t="shared" ref="M994" si="1605">M1008+M1040+M1027</f>
        <v>7724</v>
      </c>
      <c r="N994" s="76">
        <f t="shared" ref="N994" si="1606">N1008+N1040+N1027</f>
        <v>5479</v>
      </c>
      <c r="O994" s="76">
        <f t="shared" ref="O994:P994" si="1607">O1008+O1040+O1027</f>
        <v>4323</v>
      </c>
      <c r="P994" s="76">
        <f t="shared" si="1607"/>
        <v>4624</v>
      </c>
      <c r="Q994" s="76">
        <f t="shared" si="1604"/>
        <v>13450</v>
      </c>
      <c r="R994" s="76">
        <f t="shared" si="1604"/>
        <v>13500</v>
      </c>
      <c r="S994" s="76">
        <f t="shared" si="1604"/>
        <v>13600</v>
      </c>
    </row>
    <row r="995" spans="1:19" ht="15" hidden="1">
      <c r="A995" s="41"/>
      <c r="B995" s="40" t="s">
        <v>403</v>
      </c>
      <c r="C995" s="19">
        <v>51</v>
      </c>
      <c r="D995" s="76">
        <f t="shared" ref="D995:S995" si="1608">D1031</f>
        <v>0</v>
      </c>
      <c r="E995" s="76">
        <f t="shared" si="1608"/>
        <v>0</v>
      </c>
      <c r="F995" s="76">
        <f t="shared" si="1608"/>
        <v>0</v>
      </c>
      <c r="G995" s="76">
        <f t="shared" si="1608"/>
        <v>0</v>
      </c>
      <c r="H995" s="76">
        <f t="shared" si="1608"/>
        <v>0</v>
      </c>
      <c r="I995" s="330">
        <f t="shared" si="1608"/>
        <v>0</v>
      </c>
      <c r="J995" s="76">
        <f t="shared" si="1608"/>
        <v>0</v>
      </c>
      <c r="K995" s="72">
        <f t="shared" si="1576"/>
        <v>0</v>
      </c>
      <c r="L995" s="72">
        <f t="shared" si="1577"/>
        <v>0</v>
      </c>
      <c r="M995" s="76">
        <f t="shared" ref="M995" si="1609">M1031</f>
        <v>0</v>
      </c>
      <c r="N995" s="76">
        <f t="shared" ref="N995" si="1610">N1031</f>
        <v>0</v>
      </c>
      <c r="O995" s="76">
        <f t="shared" ref="O995:P995" si="1611">O1031</f>
        <v>0</v>
      </c>
      <c r="P995" s="76">
        <f t="shared" si="1611"/>
        <v>0</v>
      </c>
      <c r="Q995" s="76">
        <f t="shared" si="1608"/>
        <v>0</v>
      </c>
      <c r="R995" s="76">
        <f t="shared" si="1608"/>
        <v>0</v>
      </c>
      <c r="S995" s="76">
        <f t="shared" si="1608"/>
        <v>0</v>
      </c>
    </row>
    <row r="996" spans="1:19" ht="13.5" hidden="1" customHeight="1">
      <c r="A996" s="41"/>
      <c r="B996" s="40" t="s">
        <v>345</v>
      </c>
      <c r="C996" s="19">
        <v>59.02</v>
      </c>
      <c r="D996" s="76">
        <f t="shared" ref="D996:S996" si="1612">D1009+D1052</f>
        <v>0</v>
      </c>
      <c r="E996" s="76">
        <f t="shared" si="1612"/>
        <v>0</v>
      </c>
      <c r="F996" s="76">
        <f t="shared" si="1612"/>
        <v>0</v>
      </c>
      <c r="G996" s="76">
        <f t="shared" si="1612"/>
        <v>0</v>
      </c>
      <c r="H996" s="76">
        <f t="shared" si="1612"/>
        <v>0</v>
      </c>
      <c r="I996" s="330">
        <f t="shared" si="1612"/>
        <v>0</v>
      </c>
      <c r="J996" s="76">
        <f t="shared" si="1612"/>
        <v>0</v>
      </c>
      <c r="K996" s="72">
        <f t="shared" si="1576"/>
        <v>0</v>
      </c>
      <c r="L996" s="72">
        <f t="shared" si="1577"/>
        <v>0</v>
      </c>
      <c r="M996" s="76">
        <f t="shared" ref="M996" si="1613">M1009+M1052</f>
        <v>0</v>
      </c>
      <c r="N996" s="76">
        <f t="shared" ref="N996" si="1614">N1009+N1052</f>
        <v>0</v>
      </c>
      <c r="O996" s="76">
        <f t="shared" ref="O996:P996" si="1615">O1009+O1052</f>
        <v>0</v>
      </c>
      <c r="P996" s="76">
        <f t="shared" si="1615"/>
        <v>0</v>
      </c>
      <c r="Q996" s="76">
        <f t="shared" si="1612"/>
        <v>0</v>
      </c>
      <c r="R996" s="76">
        <f t="shared" si="1612"/>
        <v>0</v>
      </c>
      <c r="S996" s="76">
        <f t="shared" si="1612"/>
        <v>0</v>
      </c>
    </row>
    <row r="997" spans="1:19" ht="13.5" customHeight="1">
      <c r="A997" s="41"/>
      <c r="B997" s="40" t="s">
        <v>665</v>
      </c>
      <c r="C997" s="19"/>
      <c r="D997" s="76"/>
      <c r="E997" s="76"/>
      <c r="F997" s="76"/>
      <c r="G997" s="76">
        <f>G1041</f>
        <v>0</v>
      </c>
      <c r="H997" s="76">
        <f t="shared" ref="H997:S997" si="1616">H1041</f>
        <v>0</v>
      </c>
      <c r="I997" s="330">
        <f t="shared" si="1616"/>
        <v>0</v>
      </c>
      <c r="J997" s="76">
        <f t="shared" si="1616"/>
        <v>950</v>
      </c>
      <c r="K997" s="72">
        <f t="shared" si="1576"/>
        <v>0</v>
      </c>
      <c r="L997" s="72">
        <f t="shared" si="1577"/>
        <v>950</v>
      </c>
      <c r="M997" s="76">
        <f t="shared" ref="M997" si="1617">M1041</f>
        <v>950</v>
      </c>
      <c r="N997" s="76">
        <f t="shared" ref="N997" si="1618">N1041</f>
        <v>0</v>
      </c>
      <c r="O997" s="76">
        <f t="shared" ref="O997:P997" si="1619">O1041</f>
        <v>0</v>
      </c>
      <c r="P997" s="76">
        <f t="shared" si="1619"/>
        <v>0</v>
      </c>
      <c r="Q997" s="76">
        <f t="shared" si="1616"/>
        <v>0</v>
      </c>
      <c r="R997" s="76">
        <f t="shared" si="1616"/>
        <v>0</v>
      </c>
      <c r="S997" s="76">
        <f t="shared" si="1616"/>
        <v>0</v>
      </c>
    </row>
    <row r="998" spans="1:19" ht="14.25">
      <c r="A998" s="41"/>
      <c r="B998" s="33" t="s">
        <v>172</v>
      </c>
      <c r="C998" s="19"/>
      <c r="D998" s="76">
        <f>D1010+D1042+D1084</f>
        <v>43076</v>
      </c>
      <c r="E998" s="76">
        <f t="shared" ref="E998:J998" si="1620">E1010+E1042+E1084</f>
        <v>12065</v>
      </c>
      <c r="F998" s="76">
        <f t="shared" si="1620"/>
        <v>80714</v>
      </c>
      <c r="G998" s="76">
        <f t="shared" si="1620"/>
        <v>53919.65</v>
      </c>
      <c r="H998" s="76">
        <f t="shared" si="1620"/>
        <v>10307</v>
      </c>
      <c r="I998" s="330">
        <f t="shared" si="1620"/>
        <v>146143</v>
      </c>
      <c r="J998" s="76">
        <f t="shared" si="1620"/>
        <v>73184</v>
      </c>
      <c r="K998" s="72">
        <f t="shared" si="1576"/>
        <v>0</v>
      </c>
      <c r="L998" s="72">
        <f t="shared" si="1577"/>
        <v>73184</v>
      </c>
      <c r="M998" s="76">
        <f t="shared" ref="M998" si="1621">M1010+M1042+M1084</f>
        <v>33117</v>
      </c>
      <c r="N998" s="76">
        <f t="shared" ref="N998" si="1622">N1010+N1042+N1084</f>
        <v>13340</v>
      </c>
      <c r="O998" s="76">
        <f t="shared" ref="O998:P998" si="1623">O1010+O1042+O1084</f>
        <v>13340</v>
      </c>
      <c r="P998" s="76">
        <f t="shared" si="1623"/>
        <v>13387</v>
      </c>
      <c r="Q998" s="76">
        <f>Q1010+Q1042+Q1084</f>
        <v>71930</v>
      </c>
      <c r="R998" s="76">
        <f>R1010+R1042+R1084</f>
        <v>63433</v>
      </c>
      <c r="S998" s="76">
        <f>S1010+S1042+S1084</f>
        <v>21430</v>
      </c>
    </row>
    <row r="999" spans="1:19" ht="15">
      <c r="A999" s="41"/>
      <c r="B999" s="40" t="s">
        <v>404</v>
      </c>
      <c r="C999" s="19">
        <v>55</v>
      </c>
      <c r="D999" s="76">
        <f>D1011+D1085</f>
        <v>16864</v>
      </c>
      <c r="E999" s="76">
        <f t="shared" ref="E999:J999" si="1624">E1011+E1085</f>
        <v>580</v>
      </c>
      <c r="F999" s="76">
        <f t="shared" si="1624"/>
        <v>16864</v>
      </c>
      <c r="G999" s="76">
        <f t="shared" si="1624"/>
        <v>16864</v>
      </c>
      <c r="H999" s="76">
        <f t="shared" si="1624"/>
        <v>957</v>
      </c>
      <c r="I999" s="330">
        <f t="shared" si="1624"/>
        <v>16864</v>
      </c>
      <c r="J999" s="76">
        <f t="shared" si="1624"/>
        <v>1957</v>
      </c>
      <c r="K999" s="72">
        <f t="shared" si="1576"/>
        <v>0</v>
      </c>
      <c r="L999" s="72">
        <f t="shared" si="1577"/>
        <v>1957</v>
      </c>
      <c r="M999" s="76">
        <f t="shared" ref="M999" si="1625">M1011+M1085</f>
        <v>1957</v>
      </c>
      <c r="N999" s="76">
        <f t="shared" ref="N999" si="1626">N1011+N1085</f>
        <v>0</v>
      </c>
      <c r="O999" s="76">
        <f t="shared" ref="O999:P999" si="1627">O1011+O1085</f>
        <v>0</v>
      </c>
      <c r="P999" s="76">
        <f t="shared" si="1627"/>
        <v>0</v>
      </c>
      <c r="Q999" s="76">
        <f>Q1011+Q1085</f>
        <v>0</v>
      </c>
      <c r="R999" s="76">
        <f>R1011+R1085</f>
        <v>0</v>
      </c>
      <c r="S999" s="76">
        <f>S1011+S1085</f>
        <v>0</v>
      </c>
    </row>
    <row r="1000" spans="1:19" ht="29.25" customHeight="1">
      <c r="A1000" s="41"/>
      <c r="B1000" s="66" t="s">
        <v>405</v>
      </c>
      <c r="C1000" s="106" t="s">
        <v>406</v>
      </c>
      <c r="D1000" s="76">
        <f>D1085</f>
        <v>15907</v>
      </c>
      <c r="E1000" s="76">
        <f t="shared" ref="E1000:J1000" si="1628">E1085</f>
        <v>0</v>
      </c>
      <c r="F1000" s="76">
        <f t="shared" si="1628"/>
        <v>15907</v>
      </c>
      <c r="G1000" s="76">
        <f t="shared" si="1628"/>
        <v>15907</v>
      </c>
      <c r="H1000" s="76">
        <f t="shared" si="1628"/>
        <v>0</v>
      </c>
      <c r="I1000" s="330">
        <f t="shared" si="1628"/>
        <v>15907</v>
      </c>
      <c r="J1000" s="76">
        <f t="shared" si="1628"/>
        <v>1000</v>
      </c>
      <c r="K1000" s="72">
        <f t="shared" si="1576"/>
        <v>0</v>
      </c>
      <c r="L1000" s="72">
        <f t="shared" si="1577"/>
        <v>1000</v>
      </c>
      <c r="M1000" s="76">
        <f t="shared" ref="M1000" si="1629">M1085</f>
        <v>1000</v>
      </c>
      <c r="N1000" s="76">
        <f t="shared" ref="N1000" si="1630">N1085</f>
        <v>0</v>
      </c>
      <c r="O1000" s="76">
        <f t="shared" ref="O1000:P1000" si="1631">O1085</f>
        <v>0</v>
      </c>
      <c r="P1000" s="76">
        <f t="shared" si="1631"/>
        <v>0</v>
      </c>
      <c r="Q1000" s="76">
        <f>Q1085</f>
        <v>0</v>
      </c>
      <c r="R1000" s="76">
        <f>R1085</f>
        <v>0</v>
      </c>
      <c r="S1000" s="76">
        <f>S1085</f>
        <v>0</v>
      </c>
    </row>
    <row r="1001" spans="1:19" ht="15.75" hidden="1" customHeight="1">
      <c r="A1001" s="41"/>
      <c r="B1001" s="33" t="s">
        <v>181</v>
      </c>
      <c r="C1001" s="19">
        <v>56</v>
      </c>
      <c r="D1001" s="76">
        <f>D1043+D1086</f>
        <v>0</v>
      </c>
      <c r="E1001" s="76">
        <f t="shared" ref="E1001:J1001" si="1632">E1043+E1086</f>
        <v>0</v>
      </c>
      <c r="F1001" s="76">
        <f t="shared" si="1632"/>
        <v>0</v>
      </c>
      <c r="G1001" s="76">
        <f t="shared" si="1632"/>
        <v>0</v>
      </c>
      <c r="H1001" s="76">
        <f t="shared" si="1632"/>
        <v>0</v>
      </c>
      <c r="I1001" s="330">
        <f t="shared" si="1632"/>
        <v>0</v>
      </c>
      <c r="J1001" s="76">
        <f t="shared" si="1632"/>
        <v>0</v>
      </c>
      <c r="K1001" s="72">
        <f t="shared" si="1576"/>
        <v>0</v>
      </c>
      <c r="L1001" s="72">
        <f t="shared" si="1577"/>
        <v>0</v>
      </c>
      <c r="M1001" s="76">
        <f t="shared" ref="M1001" si="1633">M1043+M1086</f>
        <v>0</v>
      </c>
      <c r="N1001" s="76">
        <f t="shared" ref="N1001" si="1634">N1043+N1086</f>
        <v>0</v>
      </c>
      <c r="O1001" s="76">
        <f t="shared" ref="O1001:P1001" si="1635">O1043+O1086</f>
        <v>0</v>
      </c>
      <c r="P1001" s="76">
        <f t="shared" si="1635"/>
        <v>0</v>
      </c>
      <c r="Q1001" s="76">
        <f>Q1043+Q1086</f>
        <v>0</v>
      </c>
      <c r="R1001" s="76">
        <f>R1043+R1086</f>
        <v>0</v>
      </c>
      <c r="S1001" s="76">
        <f>S1043+S1086</f>
        <v>0</v>
      </c>
    </row>
    <row r="1002" spans="1:19" ht="15.75" customHeight="1">
      <c r="A1002" s="41"/>
      <c r="B1002" s="33" t="s">
        <v>181</v>
      </c>
      <c r="C1002" s="19">
        <v>58</v>
      </c>
      <c r="D1002" s="76">
        <f>D1069+D1075</f>
        <v>4500</v>
      </c>
      <c r="E1002" s="76">
        <f>E1069+E1075</f>
        <v>1</v>
      </c>
      <c r="F1002" s="76">
        <f t="shared" ref="F1002:S1002" si="1636">F1069+F1075</f>
        <v>4500</v>
      </c>
      <c r="G1002" s="76">
        <f t="shared" si="1636"/>
        <v>4500</v>
      </c>
      <c r="H1002" s="76">
        <f t="shared" si="1636"/>
        <v>27</v>
      </c>
      <c r="I1002" s="330">
        <f t="shared" si="1636"/>
        <v>41599</v>
      </c>
      <c r="J1002" s="76">
        <f t="shared" si="1636"/>
        <v>40325</v>
      </c>
      <c r="K1002" s="72">
        <f t="shared" si="1576"/>
        <v>0</v>
      </c>
      <c r="L1002" s="72">
        <f t="shared" si="1577"/>
        <v>40325</v>
      </c>
      <c r="M1002" s="76">
        <f t="shared" ref="M1002" si="1637">M1069+M1075</f>
        <v>12258</v>
      </c>
      <c r="N1002" s="76">
        <f t="shared" ref="N1002" si="1638">N1069+N1075</f>
        <v>9340</v>
      </c>
      <c r="O1002" s="76">
        <f t="shared" ref="O1002:P1002" si="1639">O1069+O1075</f>
        <v>9340</v>
      </c>
      <c r="P1002" s="76">
        <f t="shared" si="1639"/>
        <v>9387</v>
      </c>
      <c r="Q1002" s="76">
        <f t="shared" si="1636"/>
        <v>60430</v>
      </c>
      <c r="R1002" s="76">
        <f t="shared" si="1636"/>
        <v>61826</v>
      </c>
      <c r="S1002" s="76">
        <f t="shared" si="1636"/>
        <v>21430</v>
      </c>
    </row>
    <row r="1003" spans="1:19" ht="15">
      <c r="A1003" s="41"/>
      <c r="B1003" s="40" t="s">
        <v>201</v>
      </c>
      <c r="C1003" s="19">
        <v>70</v>
      </c>
      <c r="D1003" s="76">
        <f t="shared" ref="D1003:S1004" si="1640">D1045</f>
        <v>21712</v>
      </c>
      <c r="E1003" s="76">
        <f t="shared" si="1640"/>
        <v>11484</v>
      </c>
      <c r="F1003" s="76">
        <f t="shared" si="1640"/>
        <v>59350</v>
      </c>
      <c r="G1003" s="76">
        <f t="shared" si="1640"/>
        <v>32555.65</v>
      </c>
      <c r="H1003" s="76">
        <f t="shared" si="1640"/>
        <v>9323</v>
      </c>
      <c r="I1003" s="330">
        <f t="shared" si="1640"/>
        <v>87680</v>
      </c>
      <c r="J1003" s="76">
        <f t="shared" si="1640"/>
        <v>30902</v>
      </c>
      <c r="K1003" s="72">
        <f t="shared" si="1576"/>
        <v>0</v>
      </c>
      <c r="L1003" s="72">
        <f t="shared" si="1577"/>
        <v>30902</v>
      </c>
      <c r="M1003" s="76">
        <f t="shared" ref="M1003" si="1641">M1045</f>
        <v>18902</v>
      </c>
      <c r="N1003" s="76">
        <f t="shared" ref="N1003" si="1642">N1045</f>
        <v>4000</v>
      </c>
      <c r="O1003" s="76">
        <f t="shared" ref="O1003:P1003" si="1643">O1045</f>
        <v>4000</v>
      </c>
      <c r="P1003" s="76">
        <f t="shared" si="1643"/>
        <v>4000</v>
      </c>
      <c r="Q1003" s="76">
        <f t="shared" si="1640"/>
        <v>11500</v>
      </c>
      <c r="R1003" s="76">
        <f t="shared" si="1640"/>
        <v>1607</v>
      </c>
      <c r="S1003" s="76">
        <f t="shared" si="1640"/>
        <v>0</v>
      </c>
    </row>
    <row r="1004" spans="1:19" ht="15" hidden="1" customHeight="1">
      <c r="A1004" s="41"/>
      <c r="B1004" s="33" t="s">
        <v>171</v>
      </c>
      <c r="C1004" s="92">
        <v>85.01</v>
      </c>
      <c r="D1004" s="76">
        <f t="shared" si="1640"/>
        <v>0</v>
      </c>
      <c r="E1004" s="76">
        <f t="shared" si="1640"/>
        <v>0</v>
      </c>
      <c r="F1004" s="76">
        <f t="shared" si="1640"/>
        <v>0</v>
      </c>
      <c r="G1004" s="76">
        <f t="shared" si="1640"/>
        <v>0</v>
      </c>
      <c r="H1004" s="76">
        <f t="shared" si="1640"/>
        <v>0</v>
      </c>
      <c r="I1004" s="330">
        <f t="shared" si="1640"/>
        <v>0</v>
      </c>
      <c r="J1004" s="76">
        <f t="shared" si="1640"/>
        <v>0</v>
      </c>
      <c r="K1004" s="72">
        <f t="shared" si="1576"/>
        <v>0</v>
      </c>
      <c r="L1004" s="72">
        <f t="shared" si="1577"/>
        <v>0</v>
      </c>
      <c r="M1004" s="76">
        <f t="shared" ref="M1004" si="1644">M1046</f>
        <v>0</v>
      </c>
      <c r="N1004" s="76">
        <f t="shared" ref="N1004" si="1645">N1046</f>
        <v>0</v>
      </c>
      <c r="O1004" s="76">
        <f t="shared" ref="O1004:P1004" si="1646">O1046</f>
        <v>0</v>
      </c>
      <c r="P1004" s="76">
        <f t="shared" si="1646"/>
        <v>0</v>
      </c>
      <c r="Q1004" s="76">
        <f t="shared" si="1640"/>
        <v>0</v>
      </c>
      <c r="R1004" s="76">
        <f t="shared" si="1640"/>
        <v>0</v>
      </c>
      <c r="S1004" s="76">
        <f t="shared" si="1640"/>
        <v>0</v>
      </c>
    </row>
    <row r="1005" spans="1:19" ht="14.25">
      <c r="A1005" s="48">
        <v>1</v>
      </c>
      <c r="B1005" s="464" t="s">
        <v>903</v>
      </c>
      <c r="C1005" s="461">
        <v>80.02</v>
      </c>
      <c r="D1005" s="462">
        <f t="shared" ref="D1005:S1005" si="1647">D1012+D1015</f>
        <v>1257</v>
      </c>
      <c r="E1005" s="462">
        <f t="shared" si="1647"/>
        <v>721</v>
      </c>
      <c r="F1005" s="462">
        <f t="shared" si="1647"/>
        <v>1257</v>
      </c>
      <c r="G1005" s="462">
        <f t="shared" si="1647"/>
        <v>1257</v>
      </c>
      <c r="H1005" s="462">
        <f t="shared" si="1647"/>
        <v>1091</v>
      </c>
      <c r="I1005" s="463">
        <f t="shared" si="1647"/>
        <v>957</v>
      </c>
      <c r="J1005" s="462">
        <f t="shared" si="1647"/>
        <v>1157</v>
      </c>
      <c r="K1005" s="462">
        <f t="shared" si="1576"/>
        <v>0</v>
      </c>
      <c r="L1005" s="462">
        <f t="shared" si="1577"/>
        <v>1157</v>
      </c>
      <c r="M1005" s="462">
        <f t="shared" ref="M1005" si="1648">M1012+M1015</f>
        <v>1007</v>
      </c>
      <c r="N1005" s="462">
        <f t="shared" ref="N1005" si="1649">N1012+N1015</f>
        <v>50</v>
      </c>
      <c r="O1005" s="462">
        <f t="shared" ref="O1005:P1005" si="1650">O1012+O1015</f>
        <v>50</v>
      </c>
      <c r="P1005" s="462">
        <f t="shared" si="1650"/>
        <v>50</v>
      </c>
      <c r="Q1005" s="462">
        <f t="shared" si="1647"/>
        <v>200</v>
      </c>
      <c r="R1005" s="462">
        <f t="shared" si="1647"/>
        <v>200</v>
      </c>
      <c r="S1005" s="462">
        <f t="shared" si="1647"/>
        <v>200</v>
      </c>
    </row>
    <row r="1006" spans="1:19" ht="14.25">
      <c r="A1006" s="41"/>
      <c r="B1006" s="31" t="s">
        <v>160</v>
      </c>
      <c r="C1006" s="92"/>
      <c r="D1006" s="81">
        <f t="shared" ref="D1006:S1007" si="1651">D1016+D1020</f>
        <v>300</v>
      </c>
      <c r="E1006" s="81">
        <f t="shared" si="1651"/>
        <v>141</v>
      </c>
      <c r="F1006" s="81">
        <f t="shared" si="1651"/>
        <v>300</v>
      </c>
      <c r="G1006" s="81">
        <f t="shared" si="1651"/>
        <v>300</v>
      </c>
      <c r="H1006" s="81">
        <f t="shared" si="1651"/>
        <v>134</v>
      </c>
      <c r="I1006" s="339">
        <f t="shared" si="1651"/>
        <v>0</v>
      </c>
      <c r="J1006" s="81">
        <f t="shared" si="1651"/>
        <v>200</v>
      </c>
      <c r="K1006" s="72">
        <f t="shared" si="1576"/>
        <v>0</v>
      </c>
      <c r="L1006" s="72">
        <f t="shared" si="1577"/>
        <v>200</v>
      </c>
      <c r="M1006" s="81">
        <f t="shared" ref="M1006" si="1652">M1016+M1020</f>
        <v>50</v>
      </c>
      <c r="N1006" s="81">
        <f t="shared" ref="N1006" si="1653">N1016+N1020</f>
        <v>50</v>
      </c>
      <c r="O1006" s="81">
        <f t="shared" ref="O1006:P1006" si="1654">O1016+O1020</f>
        <v>50</v>
      </c>
      <c r="P1006" s="81">
        <f t="shared" si="1654"/>
        <v>50</v>
      </c>
      <c r="Q1006" s="81">
        <f t="shared" si="1651"/>
        <v>200</v>
      </c>
      <c r="R1006" s="81">
        <f t="shared" si="1651"/>
        <v>200</v>
      </c>
      <c r="S1006" s="81">
        <f t="shared" si="1651"/>
        <v>200</v>
      </c>
    </row>
    <row r="1007" spans="1:19" ht="15">
      <c r="A1007" s="41"/>
      <c r="B1007" s="40" t="s">
        <v>161</v>
      </c>
      <c r="C1007" s="19">
        <v>1</v>
      </c>
      <c r="D1007" s="76">
        <f t="shared" si="1651"/>
        <v>300</v>
      </c>
      <c r="E1007" s="76">
        <f t="shared" si="1651"/>
        <v>141</v>
      </c>
      <c r="F1007" s="76">
        <f t="shared" si="1651"/>
        <v>300</v>
      </c>
      <c r="G1007" s="76">
        <f t="shared" si="1651"/>
        <v>300</v>
      </c>
      <c r="H1007" s="76">
        <f t="shared" si="1651"/>
        <v>134</v>
      </c>
      <c r="I1007" s="330">
        <f t="shared" si="1651"/>
        <v>0</v>
      </c>
      <c r="J1007" s="76">
        <f t="shared" si="1651"/>
        <v>200</v>
      </c>
      <c r="K1007" s="72">
        <f t="shared" si="1576"/>
        <v>0</v>
      </c>
      <c r="L1007" s="72">
        <f t="shared" si="1577"/>
        <v>200</v>
      </c>
      <c r="M1007" s="76">
        <f t="shared" ref="M1007" si="1655">M1017+M1021</f>
        <v>50</v>
      </c>
      <c r="N1007" s="76">
        <f t="shared" ref="N1007" si="1656">N1017+N1021</f>
        <v>50</v>
      </c>
      <c r="O1007" s="76">
        <f t="shared" ref="O1007:P1007" si="1657">O1017+O1021</f>
        <v>50</v>
      </c>
      <c r="P1007" s="76">
        <f t="shared" si="1657"/>
        <v>50</v>
      </c>
      <c r="Q1007" s="76">
        <f t="shared" si="1651"/>
        <v>200</v>
      </c>
      <c r="R1007" s="76">
        <f t="shared" si="1651"/>
        <v>200</v>
      </c>
      <c r="S1007" s="76">
        <f t="shared" si="1651"/>
        <v>200</v>
      </c>
    </row>
    <row r="1008" spans="1:19" ht="15">
      <c r="A1008" s="41"/>
      <c r="B1008" s="40" t="s">
        <v>407</v>
      </c>
      <c r="C1008" s="19">
        <v>20</v>
      </c>
      <c r="D1008" s="76">
        <f t="shared" ref="D1008:S1008" si="1658">D1018</f>
        <v>300</v>
      </c>
      <c r="E1008" s="76">
        <f t="shared" si="1658"/>
        <v>141</v>
      </c>
      <c r="F1008" s="76">
        <f t="shared" si="1658"/>
        <v>300</v>
      </c>
      <c r="G1008" s="76">
        <f t="shared" si="1658"/>
        <v>300</v>
      </c>
      <c r="H1008" s="76">
        <f t="shared" si="1658"/>
        <v>134</v>
      </c>
      <c r="I1008" s="330">
        <f t="shared" si="1658"/>
        <v>0</v>
      </c>
      <c r="J1008" s="76">
        <f t="shared" si="1658"/>
        <v>200</v>
      </c>
      <c r="K1008" s="72">
        <f t="shared" si="1576"/>
        <v>0</v>
      </c>
      <c r="L1008" s="72">
        <f t="shared" si="1577"/>
        <v>200</v>
      </c>
      <c r="M1008" s="76">
        <f t="shared" ref="M1008" si="1659">M1018</f>
        <v>50</v>
      </c>
      <c r="N1008" s="76">
        <f t="shared" ref="N1008" si="1660">N1018</f>
        <v>50</v>
      </c>
      <c r="O1008" s="76">
        <f t="shared" ref="O1008:P1008" si="1661">O1018</f>
        <v>50</v>
      </c>
      <c r="P1008" s="76">
        <f t="shared" si="1661"/>
        <v>50</v>
      </c>
      <c r="Q1008" s="76">
        <f t="shared" si="1658"/>
        <v>200</v>
      </c>
      <c r="R1008" s="76">
        <f t="shared" si="1658"/>
        <v>200</v>
      </c>
      <c r="S1008" s="76">
        <f t="shared" si="1658"/>
        <v>200</v>
      </c>
    </row>
    <row r="1009" spans="1:19" ht="0.75" customHeight="1">
      <c r="A1009" s="41"/>
      <c r="B1009" s="40" t="s">
        <v>345</v>
      </c>
      <c r="C1009" s="19">
        <v>59.02</v>
      </c>
      <c r="D1009" s="76">
        <f t="shared" ref="D1009:S1009" si="1662">D1022</f>
        <v>0</v>
      </c>
      <c r="E1009" s="76">
        <f t="shared" si="1662"/>
        <v>0</v>
      </c>
      <c r="F1009" s="76">
        <f t="shared" si="1662"/>
        <v>0</v>
      </c>
      <c r="G1009" s="76">
        <f t="shared" si="1662"/>
        <v>0</v>
      </c>
      <c r="H1009" s="76">
        <f t="shared" si="1662"/>
        <v>0</v>
      </c>
      <c r="I1009" s="330">
        <f t="shared" si="1662"/>
        <v>0</v>
      </c>
      <c r="J1009" s="76">
        <f t="shared" si="1662"/>
        <v>0</v>
      </c>
      <c r="K1009" s="72">
        <f t="shared" si="1576"/>
        <v>0</v>
      </c>
      <c r="L1009" s="72">
        <f t="shared" si="1577"/>
        <v>0</v>
      </c>
      <c r="M1009" s="76">
        <f t="shared" ref="M1009" si="1663">M1022</f>
        <v>0</v>
      </c>
      <c r="N1009" s="76">
        <f t="shared" ref="N1009" si="1664">N1022</f>
        <v>0</v>
      </c>
      <c r="O1009" s="76">
        <f t="shared" ref="O1009:P1009" si="1665">O1022</f>
        <v>0</v>
      </c>
      <c r="P1009" s="76">
        <f t="shared" si="1665"/>
        <v>0</v>
      </c>
      <c r="Q1009" s="76">
        <f t="shared" si="1662"/>
        <v>0</v>
      </c>
      <c r="R1009" s="76">
        <f t="shared" si="1662"/>
        <v>0</v>
      </c>
      <c r="S1009" s="76">
        <f t="shared" si="1662"/>
        <v>0</v>
      </c>
    </row>
    <row r="1010" spans="1:19" ht="15">
      <c r="A1010" s="41"/>
      <c r="B1010" s="40" t="s">
        <v>172</v>
      </c>
      <c r="C1010" s="19"/>
      <c r="D1010" s="76">
        <f t="shared" ref="D1010:S1011" si="1666">D1013</f>
        <v>957</v>
      </c>
      <c r="E1010" s="76">
        <f t="shared" si="1666"/>
        <v>580</v>
      </c>
      <c r="F1010" s="76">
        <f t="shared" si="1666"/>
        <v>957</v>
      </c>
      <c r="G1010" s="76">
        <f t="shared" si="1666"/>
        <v>957</v>
      </c>
      <c r="H1010" s="76">
        <f t="shared" si="1666"/>
        <v>957</v>
      </c>
      <c r="I1010" s="330">
        <f t="shared" si="1666"/>
        <v>957</v>
      </c>
      <c r="J1010" s="76">
        <f t="shared" si="1666"/>
        <v>957</v>
      </c>
      <c r="K1010" s="72">
        <f t="shared" si="1576"/>
        <v>0</v>
      </c>
      <c r="L1010" s="72">
        <f t="shared" si="1577"/>
        <v>957</v>
      </c>
      <c r="M1010" s="76">
        <f t="shared" ref="M1010" si="1667">M1013</f>
        <v>957</v>
      </c>
      <c r="N1010" s="76">
        <f t="shared" ref="N1010" si="1668">N1013</f>
        <v>0</v>
      </c>
      <c r="O1010" s="76">
        <f t="shared" ref="O1010:P1010" si="1669">O1013</f>
        <v>0</v>
      </c>
      <c r="P1010" s="76">
        <f t="shared" si="1669"/>
        <v>0</v>
      </c>
      <c r="Q1010" s="76">
        <f t="shared" si="1666"/>
        <v>0</v>
      </c>
      <c r="R1010" s="76">
        <f t="shared" si="1666"/>
        <v>0</v>
      </c>
      <c r="S1010" s="76">
        <f t="shared" si="1666"/>
        <v>0</v>
      </c>
    </row>
    <row r="1011" spans="1:19" ht="15">
      <c r="A1011" s="41"/>
      <c r="B1011" s="40" t="s">
        <v>404</v>
      </c>
      <c r="C1011" s="19">
        <v>55</v>
      </c>
      <c r="D1011" s="76">
        <f t="shared" si="1666"/>
        <v>957</v>
      </c>
      <c r="E1011" s="76">
        <f t="shared" si="1666"/>
        <v>580</v>
      </c>
      <c r="F1011" s="76">
        <f t="shared" si="1666"/>
        <v>957</v>
      </c>
      <c r="G1011" s="76">
        <f t="shared" si="1666"/>
        <v>957</v>
      </c>
      <c r="H1011" s="76">
        <f t="shared" si="1666"/>
        <v>957</v>
      </c>
      <c r="I1011" s="330">
        <f t="shared" si="1666"/>
        <v>957</v>
      </c>
      <c r="J1011" s="76">
        <f t="shared" si="1666"/>
        <v>957</v>
      </c>
      <c r="K1011" s="72">
        <f t="shared" si="1576"/>
        <v>0</v>
      </c>
      <c r="L1011" s="72">
        <f t="shared" si="1577"/>
        <v>957</v>
      </c>
      <c r="M1011" s="76">
        <f t="shared" ref="M1011" si="1670">M1014</f>
        <v>957</v>
      </c>
      <c r="N1011" s="76">
        <f t="shared" ref="N1011" si="1671">N1014</f>
        <v>0</v>
      </c>
      <c r="O1011" s="76">
        <f t="shared" ref="O1011:P1011" si="1672">O1014</f>
        <v>0</v>
      </c>
      <c r="P1011" s="76">
        <f t="shared" si="1672"/>
        <v>0</v>
      </c>
      <c r="Q1011" s="76">
        <f t="shared" si="1666"/>
        <v>0</v>
      </c>
      <c r="R1011" s="76">
        <f t="shared" si="1666"/>
        <v>0</v>
      </c>
      <c r="S1011" s="76">
        <f t="shared" si="1666"/>
        <v>0</v>
      </c>
    </row>
    <row r="1012" spans="1:19" ht="14.25">
      <c r="A1012" s="41" t="s">
        <v>264</v>
      </c>
      <c r="B1012" s="33" t="s">
        <v>408</v>
      </c>
      <c r="C1012" s="19" t="s">
        <v>409</v>
      </c>
      <c r="D1012" s="81">
        <f t="shared" ref="D1012:S1013" si="1673">D1013</f>
        <v>957</v>
      </c>
      <c r="E1012" s="81">
        <f t="shared" si="1673"/>
        <v>580</v>
      </c>
      <c r="F1012" s="81">
        <f t="shared" si="1673"/>
        <v>957</v>
      </c>
      <c r="G1012" s="81">
        <f t="shared" si="1673"/>
        <v>957</v>
      </c>
      <c r="H1012" s="81">
        <f t="shared" si="1673"/>
        <v>957</v>
      </c>
      <c r="I1012" s="339">
        <f t="shared" si="1673"/>
        <v>957</v>
      </c>
      <c r="J1012" s="81">
        <f t="shared" si="1673"/>
        <v>957</v>
      </c>
      <c r="K1012" s="72">
        <f t="shared" si="1576"/>
        <v>0</v>
      </c>
      <c r="L1012" s="72">
        <f t="shared" si="1577"/>
        <v>957</v>
      </c>
      <c r="M1012" s="81">
        <f t="shared" si="1673"/>
        <v>957</v>
      </c>
      <c r="N1012" s="81">
        <f t="shared" si="1673"/>
        <v>0</v>
      </c>
      <c r="O1012" s="81">
        <f t="shared" si="1673"/>
        <v>0</v>
      </c>
      <c r="P1012" s="81">
        <f t="shared" si="1673"/>
        <v>0</v>
      </c>
      <c r="Q1012" s="81">
        <f t="shared" si="1673"/>
        <v>0</v>
      </c>
      <c r="R1012" s="81">
        <f t="shared" si="1673"/>
        <v>0</v>
      </c>
      <c r="S1012" s="81">
        <f t="shared" si="1673"/>
        <v>0</v>
      </c>
    </row>
    <row r="1013" spans="1:19" ht="14.25">
      <c r="A1013" s="41"/>
      <c r="B1013" s="33" t="s">
        <v>172</v>
      </c>
      <c r="C1013" s="92"/>
      <c r="D1013" s="81">
        <f t="shared" si="1673"/>
        <v>957</v>
      </c>
      <c r="E1013" s="81">
        <f t="shared" si="1673"/>
        <v>580</v>
      </c>
      <c r="F1013" s="81">
        <f t="shared" si="1673"/>
        <v>957</v>
      </c>
      <c r="G1013" s="81">
        <f t="shared" si="1673"/>
        <v>957</v>
      </c>
      <c r="H1013" s="81">
        <f t="shared" si="1673"/>
        <v>957</v>
      </c>
      <c r="I1013" s="339">
        <f t="shared" si="1673"/>
        <v>957</v>
      </c>
      <c r="J1013" s="81">
        <f t="shared" si="1673"/>
        <v>957</v>
      </c>
      <c r="K1013" s="72">
        <f t="shared" si="1576"/>
        <v>0</v>
      </c>
      <c r="L1013" s="72">
        <f t="shared" si="1577"/>
        <v>957</v>
      </c>
      <c r="M1013" s="81">
        <f t="shared" si="1673"/>
        <v>957</v>
      </c>
      <c r="N1013" s="81">
        <f t="shared" si="1673"/>
        <v>0</v>
      </c>
      <c r="O1013" s="81">
        <f t="shared" si="1673"/>
        <v>0</v>
      </c>
      <c r="P1013" s="81">
        <f t="shared" si="1673"/>
        <v>0</v>
      </c>
      <c r="Q1013" s="81">
        <f t="shared" si="1673"/>
        <v>0</v>
      </c>
      <c r="R1013" s="81">
        <f t="shared" si="1673"/>
        <v>0</v>
      </c>
      <c r="S1013" s="81">
        <f t="shared" si="1673"/>
        <v>0</v>
      </c>
    </row>
    <row r="1014" spans="1:19" ht="15">
      <c r="A1014" s="41"/>
      <c r="B1014" s="40" t="s">
        <v>404</v>
      </c>
      <c r="C1014" s="19" t="s">
        <v>200</v>
      </c>
      <c r="D1014" s="75">
        <v>957</v>
      </c>
      <c r="E1014" s="75">
        <v>580</v>
      </c>
      <c r="F1014" s="75">
        <v>957</v>
      </c>
      <c r="G1014" s="75">
        <v>957</v>
      </c>
      <c r="H1014" s="75">
        <v>957</v>
      </c>
      <c r="I1014" s="329">
        <v>957</v>
      </c>
      <c r="J1014" s="75">
        <v>957</v>
      </c>
      <c r="K1014" s="72">
        <f t="shared" si="1576"/>
        <v>0</v>
      </c>
      <c r="L1014" s="72">
        <f t="shared" si="1577"/>
        <v>957</v>
      </c>
      <c r="M1014" s="75">
        <v>957</v>
      </c>
      <c r="N1014" s="75"/>
      <c r="O1014" s="75"/>
      <c r="P1014" s="75"/>
      <c r="Q1014" s="75"/>
      <c r="R1014" s="75"/>
      <c r="S1014" s="75"/>
    </row>
    <row r="1015" spans="1:19" ht="28.5">
      <c r="A1015" s="41" t="s">
        <v>284</v>
      </c>
      <c r="B1015" s="38" t="s">
        <v>495</v>
      </c>
      <c r="C1015" s="19" t="s">
        <v>410</v>
      </c>
      <c r="D1015" s="81">
        <f t="shared" ref="D1015:S1017" si="1674">D1016</f>
        <v>300</v>
      </c>
      <c r="E1015" s="81">
        <f t="shared" si="1674"/>
        <v>141</v>
      </c>
      <c r="F1015" s="81">
        <f t="shared" si="1674"/>
        <v>300</v>
      </c>
      <c r="G1015" s="81">
        <f t="shared" si="1674"/>
        <v>300</v>
      </c>
      <c r="H1015" s="81">
        <f t="shared" si="1674"/>
        <v>134</v>
      </c>
      <c r="I1015" s="339">
        <f t="shared" si="1674"/>
        <v>0</v>
      </c>
      <c r="J1015" s="81">
        <f t="shared" si="1674"/>
        <v>200</v>
      </c>
      <c r="K1015" s="72">
        <f t="shared" si="1576"/>
        <v>0</v>
      </c>
      <c r="L1015" s="72">
        <f t="shared" si="1577"/>
        <v>200</v>
      </c>
      <c r="M1015" s="81">
        <f t="shared" si="1674"/>
        <v>50</v>
      </c>
      <c r="N1015" s="81">
        <f t="shared" si="1674"/>
        <v>50</v>
      </c>
      <c r="O1015" s="81">
        <f t="shared" si="1674"/>
        <v>50</v>
      </c>
      <c r="P1015" s="81">
        <f t="shared" si="1674"/>
        <v>50</v>
      </c>
      <c r="Q1015" s="81">
        <f t="shared" si="1674"/>
        <v>200</v>
      </c>
      <c r="R1015" s="81">
        <f t="shared" si="1674"/>
        <v>200</v>
      </c>
      <c r="S1015" s="81">
        <f t="shared" si="1674"/>
        <v>200</v>
      </c>
    </row>
    <row r="1016" spans="1:19" ht="14.25">
      <c r="A1016" s="41"/>
      <c r="B1016" s="31" t="s">
        <v>160</v>
      </c>
      <c r="C1016" s="19"/>
      <c r="D1016" s="81">
        <f t="shared" si="1674"/>
        <v>300</v>
      </c>
      <c r="E1016" s="81">
        <f t="shared" si="1674"/>
        <v>141</v>
      </c>
      <c r="F1016" s="81">
        <f t="shared" si="1674"/>
        <v>300</v>
      </c>
      <c r="G1016" s="81">
        <f t="shared" si="1674"/>
        <v>300</v>
      </c>
      <c r="H1016" s="81">
        <f t="shared" si="1674"/>
        <v>134</v>
      </c>
      <c r="I1016" s="339">
        <f t="shared" si="1674"/>
        <v>0</v>
      </c>
      <c r="J1016" s="81">
        <f t="shared" si="1674"/>
        <v>200</v>
      </c>
      <c r="K1016" s="72">
        <f t="shared" si="1576"/>
        <v>0</v>
      </c>
      <c r="L1016" s="72">
        <f t="shared" si="1577"/>
        <v>200</v>
      </c>
      <c r="M1016" s="81">
        <f t="shared" si="1674"/>
        <v>50</v>
      </c>
      <c r="N1016" s="81">
        <f t="shared" si="1674"/>
        <v>50</v>
      </c>
      <c r="O1016" s="81">
        <f t="shared" si="1674"/>
        <v>50</v>
      </c>
      <c r="P1016" s="81">
        <f t="shared" si="1674"/>
        <v>50</v>
      </c>
      <c r="Q1016" s="81">
        <f t="shared" si="1674"/>
        <v>200</v>
      </c>
      <c r="R1016" s="81">
        <f t="shared" si="1674"/>
        <v>200</v>
      </c>
      <c r="S1016" s="81">
        <f t="shared" si="1674"/>
        <v>200</v>
      </c>
    </row>
    <row r="1017" spans="1:19" ht="17.25" customHeight="1">
      <c r="A1017" s="41"/>
      <c r="B1017" s="40" t="s">
        <v>161</v>
      </c>
      <c r="C1017" s="19">
        <v>1</v>
      </c>
      <c r="D1017" s="76">
        <f t="shared" si="1674"/>
        <v>300</v>
      </c>
      <c r="E1017" s="76">
        <f t="shared" si="1674"/>
        <v>141</v>
      </c>
      <c r="F1017" s="76">
        <f t="shared" si="1674"/>
        <v>300</v>
      </c>
      <c r="G1017" s="76">
        <f t="shared" si="1674"/>
        <v>300</v>
      </c>
      <c r="H1017" s="76">
        <f t="shared" si="1674"/>
        <v>134</v>
      </c>
      <c r="I1017" s="330">
        <f t="shared" si="1674"/>
        <v>0</v>
      </c>
      <c r="J1017" s="76">
        <f t="shared" si="1674"/>
        <v>200</v>
      </c>
      <c r="K1017" s="72">
        <f t="shared" si="1576"/>
        <v>0</v>
      </c>
      <c r="L1017" s="72">
        <f t="shared" si="1577"/>
        <v>200</v>
      </c>
      <c r="M1017" s="76">
        <f t="shared" si="1674"/>
        <v>50</v>
      </c>
      <c r="N1017" s="76">
        <f t="shared" si="1674"/>
        <v>50</v>
      </c>
      <c r="O1017" s="76">
        <f t="shared" si="1674"/>
        <v>50</v>
      </c>
      <c r="P1017" s="76">
        <f t="shared" si="1674"/>
        <v>50</v>
      </c>
      <c r="Q1017" s="76">
        <f t="shared" si="1674"/>
        <v>200</v>
      </c>
      <c r="R1017" s="76">
        <f t="shared" si="1674"/>
        <v>200</v>
      </c>
      <c r="S1017" s="76">
        <f t="shared" si="1674"/>
        <v>200</v>
      </c>
    </row>
    <row r="1018" spans="1:19" ht="15.75" customHeight="1">
      <c r="A1018" s="41"/>
      <c r="B1018" s="40" t="s">
        <v>886</v>
      </c>
      <c r="C1018" s="19" t="s">
        <v>411</v>
      </c>
      <c r="D1018" s="75">
        <v>300</v>
      </c>
      <c r="E1018" s="75">
        <v>141</v>
      </c>
      <c r="F1018" s="75">
        <v>300</v>
      </c>
      <c r="G1018" s="75">
        <v>300</v>
      </c>
      <c r="H1018" s="75">
        <v>134</v>
      </c>
      <c r="I1018" s="329"/>
      <c r="J1018" s="75">
        <v>200</v>
      </c>
      <c r="K1018" s="72">
        <f t="shared" si="1576"/>
        <v>0</v>
      </c>
      <c r="L1018" s="72">
        <f t="shared" si="1577"/>
        <v>200</v>
      </c>
      <c r="M1018" s="75">
        <v>50</v>
      </c>
      <c r="N1018" s="75">
        <v>50</v>
      </c>
      <c r="O1018" s="75">
        <v>50</v>
      </c>
      <c r="P1018" s="75">
        <v>50</v>
      </c>
      <c r="Q1018" s="73">
        <v>200</v>
      </c>
      <c r="R1018" s="73">
        <v>200</v>
      </c>
      <c r="S1018" s="73">
        <v>200</v>
      </c>
    </row>
    <row r="1019" spans="1:19" ht="15" hidden="1" customHeight="1">
      <c r="A1019" s="41" t="s">
        <v>390</v>
      </c>
      <c r="B1019" s="33" t="s">
        <v>412</v>
      </c>
      <c r="C1019" s="92" t="s">
        <v>413</v>
      </c>
      <c r="D1019" s="83">
        <f t="shared" ref="D1019:D1021" si="1675">D1020</f>
        <v>0</v>
      </c>
      <c r="E1019" s="83"/>
      <c r="F1019" s="83"/>
      <c r="G1019" s="83"/>
      <c r="H1019" s="83"/>
      <c r="I1019" s="340"/>
      <c r="J1019" s="83"/>
      <c r="K1019" s="72">
        <f t="shared" si="1576"/>
        <v>0</v>
      </c>
      <c r="L1019" s="72">
        <f t="shared" si="1577"/>
        <v>0</v>
      </c>
      <c r="M1019" s="83"/>
      <c r="N1019" s="83"/>
      <c r="O1019" s="83"/>
      <c r="P1019" s="83"/>
      <c r="Q1019" s="73"/>
      <c r="R1019" s="73"/>
      <c r="S1019" s="73"/>
    </row>
    <row r="1020" spans="1:19" ht="15" hidden="1" customHeight="1">
      <c r="A1020" s="41"/>
      <c r="B1020" s="31" t="s">
        <v>160</v>
      </c>
      <c r="C1020" s="92"/>
      <c r="D1020" s="83">
        <f t="shared" si="1675"/>
        <v>0</v>
      </c>
      <c r="E1020" s="83"/>
      <c r="F1020" s="83"/>
      <c r="G1020" s="83"/>
      <c r="H1020" s="83"/>
      <c r="I1020" s="340"/>
      <c r="J1020" s="83"/>
      <c r="K1020" s="72">
        <f t="shared" si="1576"/>
        <v>0</v>
      </c>
      <c r="L1020" s="72">
        <f t="shared" si="1577"/>
        <v>0</v>
      </c>
      <c r="M1020" s="83"/>
      <c r="N1020" s="83"/>
      <c r="O1020" s="83"/>
      <c r="P1020" s="83"/>
      <c r="Q1020" s="73"/>
      <c r="R1020" s="73"/>
      <c r="S1020" s="73"/>
    </row>
    <row r="1021" spans="1:19" ht="15" hidden="1" customHeight="1">
      <c r="A1021" s="41"/>
      <c r="B1021" s="40" t="s">
        <v>161</v>
      </c>
      <c r="C1021" s="19">
        <v>1</v>
      </c>
      <c r="D1021" s="75">
        <f t="shared" si="1675"/>
        <v>0</v>
      </c>
      <c r="E1021" s="75"/>
      <c r="F1021" s="75"/>
      <c r="G1021" s="75"/>
      <c r="H1021" s="75"/>
      <c r="I1021" s="329"/>
      <c r="J1021" s="75"/>
      <c r="K1021" s="72">
        <f t="shared" si="1576"/>
        <v>0</v>
      </c>
      <c r="L1021" s="72">
        <f t="shared" si="1577"/>
        <v>0</v>
      </c>
      <c r="M1021" s="75"/>
      <c r="N1021" s="75"/>
      <c r="O1021" s="75"/>
      <c r="P1021" s="75"/>
      <c r="Q1021" s="73"/>
      <c r="R1021" s="73"/>
      <c r="S1021" s="73"/>
    </row>
    <row r="1022" spans="1:19" ht="15" hidden="1" customHeight="1">
      <c r="A1022" s="41"/>
      <c r="B1022" s="40" t="s">
        <v>414</v>
      </c>
      <c r="C1022" s="19">
        <v>59.02</v>
      </c>
      <c r="D1022" s="75">
        <v>0</v>
      </c>
      <c r="E1022" s="75"/>
      <c r="F1022" s="75"/>
      <c r="G1022" s="75"/>
      <c r="H1022" s="75"/>
      <c r="I1022" s="329"/>
      <c r="J1022" s="75"/>
      <c r="K1022" s="72">
        <f t="shared" si="1576"/>
        <v>0</v>
      </c>
      <c r="L1022" s="72">
        <f t="shared" si="1577"/>
        <v>0</v>
      </c>
      <c r="M1022" s="75"/>
      <c r="N1022" s="75"/>
      <c r="O1022" s="75"/>
      <c r="P1022" s="75"/>
      <c r="Q1022" s="73"/>
      <c r="R1022" s="73"/>
      <c r="S1022" s="73"/>
    </row>
    <row r="1023" spans="1:19" ht="15" hidden="1" customHeight="1">
      <c r="A1023" s="48">
        <v>2</v>
      </c>
      <c r="B1023" s="52" t="s">
        <v>415</v>
      </c>
      <c r="C1023" s="98">
        <v>83.02</v>
      </c>
      <c r="D1023" s="81">
        <f t="shared" ref="D1023:S1030" si="1676">D1024</f>
        <v>0</v>
      </c>
      <c r="E1023" s="81">
        <f t="shared" si="1676"/>
        <v>0</v>
      </c>
      <c r="F1023" s="81">
        <f t="shared" si="1676"/>
        <v>0</v>
      </c>
      <c r="G1023" s="81">
        <f t="shared" si="1676"/>
        <v>0</v>
      </c>
      <c r="H1023" s="81">
        <f t="shared" si="1676"/>
        <v>0</v>
      </c>
      <c r="I1023" s="339">
        <f t="shared" si="1676"/>
        <v>0</v>
      </c>
      <c r="J1023" s="81">
        <f t="shared" si="1676"/>
        <v>0</v>
      </c>
      <c r="K1023" s="72">
        <f t="shared" si="1576"/>
        <v>0</v>
      </c>
      <c r="L1023" s="72">
        <f t="shared" si="1577"/>
        <v>0</v>
      </c>
      <c r="M1023" s="81">
        <f t="shared" si="1676"/>
        <v>0</v>
      </c>
      <c r="N1023" s="81">
        <f t="shared" si="1676"/>
        <v>0</v>
      </c>
      <c r="O1023" s="81">
        <f t="shared" si="1676"/>
        <v>0</v>
      </c>
      <c r="P1023" s="81">
        <f t="shared" si="1676"/>
        <v>0</v>
      </c>
      <c r="Q1023" s="81">
        <f t="shared" si="1676"/>
        <v>0</v>
      </c>
      <c r="R1023" s="81">
        <f t="shared" si="1676"/>
        <v>0</v>
      </c>
      <c r="S1023" s="81">
        <f t="shared" si="1676"/>
        <v>0</v>
      </c>
    </row>
    <row r="1024" spans="1:19" ht="15" hidden="1" customHeight="1">
      <c r="A1024" s="41"/>
      <c r="B1024" s="33" t="s">
        <v>416</v>
      </c>
      <c r="C1024" s="19" t="s">
        <v>417</v>
      </c>
      <c r="D1024" s="76">
        <f>D1025</f>
        <v>0</v>
      </c>
      <c r="E1024" s="76">
        <f t="shared" si="1676"/>
        <v>0</v>
      </c>
      <c r="F1024" s="76">
        <f t="shared" si="1676"/>
        <v>0</v>
      </c>
      <c r="G1024" s="76">
        <f t="shared" si="1676"/>
        <v>0</v>
      </c>
      <c r="H1024" s="76">
        <f t="shared" si="1676"/>
        <v>0</v>
      </c>
      <c r="I1024" s="330">
        <f t="shared" si="1676"/>
        <v>0</v>
      </c>
      <c r="J1024" s="76">
        <f t="shared" si="1676"/>
        <v>0</v>
      </c>
      <c r="K1024" s="72">
        <f t="shared" si="1576"/>
        <v>0</v>
      </c>
      <c r="L1024" s="72">
        <f t="shared" si="1577"/>
        <v>0</v>
      </c>
      <c r="M1024" s="76">
        <f t="shared" si="1676"/>
        <v>0</v>
      </c>
      <c r="N1024" s="76">
        <f t="shared" si="1676"/>
        <v>0</v>
      </c>
      <c r="O1024" s="76">
        <f t="shared" si="1676"/>
        <v>0</v>
      </c>
      <c r="P1024" s="76">
        <f t="shared" si="1676"/>
        <v>0</v>
      </c>
      <c r="Q1024" s="76">
        <f t="shared" si="1676"/>
        <v>0</v>
      </c>
      <c r="R1024" s="76">
        <f t="shared" si="1676"/>
        <v>0</v>
      </c>
      <c r="S1024" s="76">
        <f t="shared" si="1676"/>
        <v>0</v>
      </c>
    </row>
    <row r="1025" spans="1:19" ht="15" hidden="1" customHeight="1">
      <c r="A1025" s="41"/>
      <c r="B1025" s="31" t="s">
        <v>160</v>
      </c>
      <c r="C1025" s="19"/>
      <c r="D1025" s="75">
        <f>D1027</f>
        <v>0</v>
      </c>
      <c r="E1025" s="75">
        <f t="shared" ref="E1025:S1025" si="1677">E1027</f>
        <v>0</v>
      </c>
      <c r="F1025" s="75">
        <f t="shared" si="1677"/>
        <v>0</v>
      </c>
      <c r="G1025" s="75">
        <f t="shared" si="1677"/>
        <v>0</v>
      </c>
      <c r="H1025" s="75">
        <f t="shared" si="1677"/>
        <v>0</v>
      </c>
      <c r="I1025" s="329">
        <f t="shared" si="1677"/>
        <v>0</v>
      </c>
      <c r="J1025" s="75">
        <f t="shared" si="1677"/>
        <v>0</v>
      </c>
      <c r="K1025" s="72">
        <f t="shared" si="1576"/>
        <v>0</v>
      </c>
      <c r="L1025" s="72">
        <f t="shared" si="1577"/>
        <v>0</v>
      </c>
      <c r="M1025" s="75">
        <f t="shared" ref="M1025" si="1678">M1027</f>
        <v>0</v>
      </c>
      <c r="N1025" s="75">
        <f t="shared" ref="N1025" si="1679">N1027</f>
        <v>0</v>
      </c>
      <c r="O1025" s="75">
        <f t="shared" ref="O1025:P1025" si="1680">O1027</f>
        <v>0</v>
      </c>
      <c r="P1025" s="75">
        <f t="shared" si="1680"/>
        <v>0</v>
      </c>
      <c r="Q1025" s="75">
        <f t="shared" si="1677"/>
        <v>0</v>
      </c>
      <c r="R1025" s="75">
        <f t="shared" si="1677"/>
        <v>0</v>
      </c>
      <c r="S1025" s="75">
        <f t="shared" si="1677"/>
        <v>0</v>
      </c>
    </row>
    <row r="1026" spans="1:19" ht="15" hidden="1" customHeight="1">
      <c r="A1026" s="41"/>
      <c r="B1026" s="40" t="s">
        <v>161</v>
      </c>
      <c r="C1026" s="19"/>
      <c r="D1026" s="75">
        <f>D1027</f>
        <v>0</v>
      </c>
      <c r="E1026" s="75">
        <f t="shared" ref="E1026:S1026" si="1681">E1027</f>
        <v>0</v>
      </c>
      <c r="F1026" s="75">
        <f t="shared" si="1681"/>
        <v>0</v>
      </c>
      <c r="G1026" s="75">
        <f t="shared" si="1681"/>
        <v>0</v>
      </c>
      <c r="H1026" s="75">
        <f t="shared" si="1681"/>
        <v>0</v>
      </c>
      <c r="I1026" s="329">
        <f t="shared" si="1681"/>
        <v>0</v>
      </c>
      <c r="J1026" s="75">
        <f t="shared" si="1681"/>
        <v>0</v>
      </c>
      <c r="K1026" s="72">
        <f t="shared" si="1576"/>
        <v>0</v>
      </c>
      <c r="L1026" s="72">
        <f t="shared" si="1577"/>
        <v>0</v>
      </c>
      <c r="M1026" s="75">
        <f t="shared" si="1681"/>
        <v>0</v>
      </c>
      <c r="N1026" s="75">
        <f t="shared" si="1681"/>
        <v>0</v>
      </c>
      <c r="O1026" s="75">
        <f t="shared" si="1681"/>
        <v>0</v>
      </c>
      <c r="P1026" s="75">
        <f t="shared" si="1681"/>
        <v>0</v>
      </c>
      <c r="Q1026" s="75">
        <f t="shared" si="1681"/>
        <v>0</v>
      </c>
      <c r="R1026" s="75">
        <f t="shared" si="1681"/>
        <v>0</v>
      </c>
      <c r="S1026" s="75">
        <f t="shared" si="1681"/>
        <v>0</v>
      </c>
    </row>
    <row r="1027" spans="1:19" ht="14.25" hidden="1" customHeight="1">
      <c r="A1027" s="41"/>
      <c r="B1027" s="40" t="s">
        <v>163</v>
      </c>
      <c r="C1027" s="19"/>
      <c r="D1027" s="75"/>
      <c r="E1027" s="75">
        <v>0</v>
      </c>
      <c r="F1027" s="75"/>
      <c r="G1027" s="75"/>
      <c r="H1027" s="75"/>
      <c r="I1027" s="329"/>
      <c r="J1027" s="75"/>
      <c r="K1027" s="72">
        <f t="shared" si="1576"/>
        <v>0</v>
      </c>
      <c r="L1027" s="72">
        <f t="shared" si="1577"/>
        <v>0</v>
      </c>
      <c r="M1027" s="75"/>
      <c r="N1027" s="75"/>
      <c r="O1027" s="75"/>
      <c r="P1027" s="75"/>
      <c r="Q1027" s="75"/>
      <c r="R1027" s="75"/>
      <c r="S1027" s="75"/>
    </row>
    <row r="1028" spans="1:19" ht="0.75" hidden="1" customHeight="1">
      <c r="A1028" s="41"/>
      <c r="B1028" s="33" t="s">
        <v>418</v>
      </c>
      <c r="C1028" s="19" t="s">
        <v>419</v>
      </c>
      <c r="D1028" s="75">
        <f t="shared" si="1676"/>
        <v>0</v>
      </c>
      <c r="E1028" s="75"/>
      <c r="F1028" s="75"/>
      <c r="G1028" s="75"/>
      <c r="H1028" s="75"/>
      <c r="I1028" s="329"/>
      <c r="J1028" s="75"/>
      <c r="K1028" s="72">
        <f t="shared" si="1576"/>
        <v>0</v>
      </c>
      <c r="L1028" s="72">
        <f t="shared" si="1577"/>
        <v>0</v>
      </c>
      <c r="M1028" s="75"/>
      <c r="N1028" s="75"/>
      <c r="O1028" s="75"/>
      <c r="P1028" s="75"/>
      <c r="Q1028" s="73"/>
      <c r="R1028" s="73"/>
      <c r="S1028" s="73"/>
    </row>
    <row r="1029" spans="1:19" ht="15" hidden="1" customHeight="1">
      <c r="A1029" s="41"/>
      <c r="B1029" s="31" t="s">
        <v>160</v>
      </c>
      <c r="C1029" s="19"/>
      <c r="D1029" s="75">
        <f t="shared" si="1676"/>
        <v>0</v>
      </c>
      <c r="E1029" s="75"/>
      <c r="F1029" s="75"/>
      <c r="G1029" s="75"/>
      <c r="H1029" s="75"/>
      <c r="I1029" s="329"/>
      <c r="J1029" s="75"/>
      <c r="K1029" s="72">
        <f t="shared" si="1576"/>
        <v>0</v>
      </c>
      <c r="L1029" s="72">
        <f t="shared" si="1577"/>
        <v>0</v>
      </c>
      <c r="M1029" s="75"/>
      <c r="N1029" s="75"/>
      <c r="O1029" s="75"/>
      <c r="P1029" s="75"/>
      <c r="Q1029" s="73"/>
      <c r="R1029" s="73"/>
      <c r="S1029" s="73"/>
    </row>
    <row r="1030" spans="1:19" ht="15" hidden="1" customHeight="1">
      <c r="A1030" s="41"/>
      <c r="B1030" s="40" t="s">
        <v>161</v>
      </c>
      <c r="C1030" s="19">
        <v>1</v>
      </c>
      <c r="D1030" s="75">
        <f t="shared" si="1676"/>
        <v>0</v>
      </c>
      <c r="E1030" s="75"/>
      <c r="F1030" s="75"/>
      <c r="G1030" s="75"/>
      <c r="H1030" s="75"/>
      <c r="I1030" s="329"/>
      <c r="J1030" s="75"/>
      <c r="K1030" s="72">
        <f t="shared" si="1576"/>
        <v>0</v>
      </c>
      <c r="L1030" s="72">
        <f t="shared" si="1577"/>
        <v>0</v>
      </c>
      <c r="M1030" s="75"/>
      <c r="N1030" s="75"/>
      <c r="O1030" s="75"/>
      <c r="P1030" s="75"/>
      <c r="Q1030" s="73"/>
      <c r="R1030" s="73"/>
      <c r="S1030" s="73"/>
    </row>
    <row r="1031" spans="1:19" ht="15" hidden="1" customHeight="1">
      <c r="A1031" s="41"/>
      <c r="B1031" s="39" t="s">
        <v>420</v>
      </c>
      <c r="C1031" s="19" t="s">
        <v>421</v>
      </c>
      <c r="D1031" s="75">
        <f>D1032+D1033</f>
        <v>0</v>
      </c>
      <c r="E1031" s="75"/>
      <c r="F1031" s="75"/>
      <c r="G1031" s="75"/>
      <c r="H1031" s="75"/>
      <c r="I1031" s="329"/>
      <c r="J1031" s="75"/>
      <c r="K1031" s="72">
        <f t="shared" si="1576"/>
        <v>0</v>
      </c>
      <c r="L1031" s="72">
        <f t="shared" si="1577"/>
        <v>0</v>
      </c>
      <c r="M1031" s="75"/>
      <c r="N1031" s="75"/>
      <c r="O1031" s="75"/>
      <c r="P1031" s="75"/>
      <c r="Q1031" s="73"/>
      <c r="R1031" s="73"/>
      <c r="S1031" s="73"/>
    </row>
    <row r="1032" spans="1:19" ht="15" hidden="1" customHeight="1">
      <c r="A1032" s="41"/>
      <c r="B1032" s="40" t="s">
        <v>162</v>
      </c>
      <c r="C1032" s="19">
        <v>10</v>
      </c>
      <c r="D1032" s="75"/>
      <c r="E1032" s="75"/>
      <c r="F1032" s="75"/>
      <c r="G1032" s="75"/>
      <c r="H1032" s="75"/>
      <c r="I1032" s="329"/>
      <c r="J1032" s="75"/>
      <c r="K1032" s="72">
        <f t="shared" si="1576"/>
        <v>0</v>
      </c>
      <c r="L1032" s="72">
        <f t="shared" si="1577"/>
        <v>0</v>
      </c>
      <c r="M1032" s="75"/>
      <c r="N1032" s="75"/>
      <c r="O1032" s="75"/>
      <c r="P1032" s="75"/>
      <c r="Q1032" s="73"/>
      <c r="R1032" s="73"/>
      <c r="S1032" s="73"/>
    </row>
    <row r="1033" spans="1:19" ht="15" hidden="1" customHeight="1">
      <c r="A1033" s="41"/>
      <c r="B1033" s="40" t="s">
        <v>163</v>
      </c>
      <c r="C1033" s="19">
        <v>20</v>
      </c>
      <c r="D1033" s="75"/>
      <c r="E1033" s="75"/>
      <c r="F1033" s="75"/>
      <c r="G1033" s="75"/>
      <c r="H1033" s="75"/>
      <c r="I1033" s="329"/>
      <c r="J1033" s="75"/>
      <c r="K1033" s="72">
        <f t="shared" si="1576"/>
        <v>0</v>
      </c>
      <c r="L1033" s="72">
        <f t="shared" si="1577"/>
        <v>0</v>
      </c>
      <c r="M1033" s="75"/>
      <c r="N1033" s="75"/>
      <c r="O1033" s="75"/>
      <c r="P1033" s="75"/>
      <c r="Q1033" s="73"/>
      <c r="R1033" s="73"/>
      <c r="S1033" s="73"/>
    </row>
    <row r="1034" spans="1:19" ht="15" hidden="1" customHeight="1">
      <c r="A1034" s="41"/>
      <c r="B1034" s="40" t="s">
        <v>172</v>
      </c>
      <c r="C1034" s="19"/>
      <c r="D1034" s="75"/>
      <c r="E1034" s="75"/>
      <c r="F1034" s="75"/>
      <c r="G1034" s="75"/>
      <c r="H1034" s="75"/>
      <c r="I1034" s="329"/>
      <c r="J1034" s="75"/>
      <c r="K1034" s="72">
        <f t="shared" si="1576"/>
        <v>0</v>
      </c>
      <c r="L1034" s="72">
        <f t="shared" si="1577"/>
        <v>0</v>
      </c>
      <c r="M1034" s="75"/>
      <c r="N1034" s="75"/>
      <c r="O1034" s="75"/>
      <c r="P1034" s="75"/>
      <c r="Q1034" s="73"/>
      <c r="R1034" s="73"/>
      <c r="S1034" s="73"/>
    </row>
    <row r="1035" spans="1:19" ht="15" hidden="1" customHeight="1">
      <c r="A1035" s="41"/>
      <c r="B1035" s="40" t="s">
        <v>201</v>
      </c>
      <c r="C1035" s="19">
        <v>70</v>
      </c>
      <c r="D1035" s="75">
        <v>0</v>
      </c>
      <c r="E1035" s="75"/>
      <c r="F1035" s="75"/>
      <c r="G1035" s="75"/>
      <c r="H1035" s="75"/>
      <c r="I1035" s="329"/>
      <c r="J1035" s="75"/>
      <c r="K1035" s="72">
        <f t="shared" si="1576"/>
        <v>0</v>
      </c>
      <c r="L1035" s="72">
        <f t="shared" si="1577"/>
        <v>0</v>
      </c>
      <c r="M1035" s="75"/>
      <c r="N1035" s="75"/>
      <c r="O1035" s="75"/>
      <c r="P1035" s="75"/>
      <c r="Q1035" s="73"/>
      <c r="R1035" s="73"/>
      <c r="S1035" s="73"/>
    </row>
    <row r="1036" spans="1:19" ht="15" customHeight="1">
      <c r="A1036" s="48">
        <v>2</v>
      </c>
      <c r="B1036" s="464" t="s">
        <v>422</v>
      </c>
      <c r="C1036" s="461">
        <v>84.02</v>
      </c>
      <c r="D1036" s="462">
        <f>D1047+D1069+D1075</f>
        <v>48642</v>
      </c>
      <c r="E1036" s="462">
        <f t="shared" ref="E1036:S1036" si="1682">E1047+E1069+E1075</f>
        <v>23041</v>
      </c>
      <c r="F1036" s="462">
        <f t="shared" si="1682"/>
        <v>85080</v>
      </c>
      <c r="G1036" s="462">
        <f t="shared" si="1682"/>
        <v>57935.65</v>
      </c>
      <c r="H1036" s="462">
        <f t="shared" si="1682"/>
        <v>20780</v>
      </c>
      <c r="I1036" s="463">
        <f t="shared" si="1682"/>
        <v>152279</v>
      </c>
      <c r="J1036" s="462">
        <f t="shared" si="1682"/>
        <v>94127</v>
      </c>
      <c r="K1036" s="462">
        <f t="shared" ref="K1036:K1087" si="1683">J1036-L1036</f>
        <v>0</v>
      </c>
      <c r="L1036" s="462">
        <f t="shared" ref="L1036:L1087" si="1684">M1036+N1036+O1036+P1036</f>
        <v>94127</v>
      </c>
      <c r="M1036" s="462">
        <f t="shared" ref="M1036" si="1685">M1047+M1069+M1075</f>
        <v>39784</v>
      </c>
      <c r="N1036" s="462">
        <f t="shared" ref="N1036" si="1686">N1047+N1069+N1075</f>
        <v>18769</v>
      </c>
      <c r="O1036" s="462">
        <f t="shared" ref="O1036:P1036" si="1687">O1047+O1069+O1075</f>
        <v>17613</v>
      </c>
      <c r="P1036" s="462">
        <f t="shared" si="1687"/>
        <v>17961</v>
      </c>
      <c r="Q1036" s="462">
        <f t="shared" si="1682"/>
        <v>85180</v>
      </c>
      <c r="R1036" s="462">
        <f t="shared" si="1682"/>
        <v>76733</v>
      </c>
      <c r="S1036" s="462">
        <f t="shared" si="1682"/>
        <v>34830</v>
      </c>
    </row>
    <row r="1037" spans="1:19" ht="14.25">
      <c r="A1037" s="41"/>
      <c r="B1037" s="31" t="s">
        <v>160</v>
      </c>
      <c r="C1037" s="19"/>
      <c r="D1037" s="81">
        <f t="shared" ref="D1037:S1037" si="1688">D1040</f>
        <v>22430</v>
      </c>
      <c r="E1037" s="81">
        <f t="shared" si="1688"/>
        <v>11556</v>
      </c>
      <c r="F1037" s="81">
        <f t="shared" si="1688"/>
        <v>21230</v>
      </c>
      <c r="G1037" s="81">
        <f t="shared" si="1688"/>
        <v>20880</v>
      </c>
      <c r="H1037" s="81">
        <f t="shared" si="1688"/>
        <v>11430</v>
      </c>
      <c r="I1037" s="339">
        <f t="shared" si="1688"/>
        <v>23000</v>
      </c>
      <c r="J1037" s="81">
        <f>J1048</f>
        <v>22900</v>
      </c>
      <c r="K1037" s="72">
        <f t="shared" si="1683"/>
        <v>0</v>
      </c>
      <c r="L1037" s="72">
        <f t="shared" si="1684"/>
        <v>22900</v>
      </c>
      <c r="M1037" s="81">
        <f>M1048</f>
        <v>8624</v>
      </c>
      <c r="N1037" s="81">
        <f>N1048</f>
        <v>5429</v>
      </c>
      <c r="O1037" s="81">
        <f>O1048</f>
        <v>4273</v>
      </c>
      <c r="P1037" s="81">
        <f>P1048</f>
        <v>4574</v>
      </c>
      <c r="Q1037" s="81">
        <f t="shared" si="1688"/>
        <v>13250</v>
      </c>
      <c r="R1037" s="81">
        <f t="shared" si="1688"/>
        <v>13300</v>
      </c>
      <c r="S1037" s="81">
        <f t="shared" si="1688"/>
        <v>13400</v>
      </c>
    </row>
    <row r="1038" spans="1:19" ht="18.75" customHeight="1">
      <c r="A1038" s="41"/>
      <c r="B1038" s="40" t="s">
        <v>161</v>
      </c>
      <c r="C1038" s="19">
        <v>1</v>
      </c>
      <c r="D1038" s="81">
        <f t="shared" ref="D1038:S1040" si="1689">D1049</f>
        <v>22430</v>
      </c>
      <c r="E1038" s="81">
        <f t="shared" si="1689"/>
        <v>11556</v>
      </c>
      <c r="F1038" s="81">
        <f t="shared" si="1689"/>
        <v>21230</v>
      </c>
      <c r="G1038" s="81">
        <f t="shared" si="1689"/>
        <v>20880</v>
      </c>
      <c r="H1038" s="81">
        <f t="shared" si="1689"/>
        <v>11430</v>
      </c>
      <c r="I1038" s="339">
        <f t="shared" si="1689"/>
        <v>23000</v>
      </c>
      <c r="J1038" s="81">
        <f t="shared" si="1689"/>
        <v>22900</v>
      </c>
      <c r="K1038" s="72">
        <f t="shared" si="1683"/>
        <v>0</v>
      </c>
      <c r="L1038" s="72">
        <f t="shared" si="1684"/>
        <v>22900</v>
      </c>
      <c r="M1038" s="81">
        <f t="shared" ref="M1038" si="1690">M1049</f>
        <v>8624</v>
      </c>
      <c r="N1038" s="81">
        <f t="shared" ref="N1038" si="1691">N1049</f>
        <v>5429</v>
      </c>
      <c r="O1038" s="81">
        <f t="shared" ref="O1038:P1038" si="1692">O1049</f>
        <v>4273</v>
      </c>
      <c r="P1038" s="81">
        <f t="shared" si="1692"/>
        <v>4574</v>
      </c>
      <c r="Q1038" s="81">
        <f t="shared" si="1689"/>
        <v>13250</v>
      </c>
      <c r="R1038" s="81">
        <f t="shared" si="1689"/>
        <v>13300</v>
      </c>
      <c r="S1038" s="81">
        <f t="shared" si="1689"/>
        <v>13400</v>
      </c>
    </row>
    <row r="1039" spans="1:19" ht="15" hidden="1">
      <c r="A1039" s="41"/>
      <c r="B1039" s="40" t="s">
        <v>162</v>
      </c>
      <c r="C1039" s="19">
        <v>10</v>
      </c>
      <c r="D1039" s="81">
        <f t="shared" si="1689"/>
        <v>0</v>
      </c>
      <c r="E1039" s="81"/>
      <c r="F1039" s="81"/>
      <c r="G1039" s="81"/>
      <c r="H1039" s="81"/>
      <c r="I1039" s="339"/>
      <c r="J1039" s="81"/>
      <c r="K1039" s="72">
        <f t="shared" si="1683"/>
        <v>0</v>
      </c>
      <c r="L1039" s="72">
        <f t="shared" si="1684"/>
        <v>0</v>
      </c>
      <c r="M1039" s="81"/>
      <c r="N1039" s="81"/>
      <c r="O1039" s="81"/>
      <c r="P1039" s="81"/>
      <c r="Q1039" s="81">
        <f t="shared" si="1689"/>
        <v>0</v>
      </c>
      <c r="R1039" s="81">
        <f t="shared" si="1689"/>
        <v>0</v>
      </c>
      <c r="S1039" s="81">
        <f t="shared" si="1689"/>
        <v>0</v>
      </c>
    </row>
    <row r="1040" spans="1:19" ht="15">
      <c r="A1040" s="41"/>
      <c r="B1040" s="40" t="s">
        <v>886</v>
      </c>
      <c r="C1040" s="19">
        <v>20</v>
      </c>
      <c r="D1040" s="81">
        <f t="shared" si="1689"/>
        <v>22430</v>
      </c>
      <c r="E1040" s="81">
        <f t="shared" si="1689"/>
        <v>11556</v>
      </c>
      <c r="F1040" s="81">
        <f t="shared" si="1689"/>
        <v>21230</v>
      </c>
      <c r="G1040" s="81">
        <f t="shared" si="1689"/>
        <v>20880</v>
      </c>
      <c r="H1040" s="81">
        <f t="shared" si="1689"/>
        <v>11430</v>
      </c>
      <c r="I1040" s="339">
        <f t="shared" si="1689"/>
        <v>23000</v>
      </c>
      <c r="J1040" s="81">
        <f t="shared" si="1689"/>
        <v>21950</v>
      </c>
      <c r="K1040" s="72">
        <f t="shared" si="1683"/>
        <v>0</v>
      </c>
      <c r="L1040" s="72">
        <f t="shared" si="1684"/>
        <v>21950</v>
      </c>
      <c r="M1040" s="81">
        <f t="shared" ref="M1040" si="1693">M1051</f>
        <v>7674</v>
      </c>
      <c r="N1040" s="81">
        <f t="shared" ref="N1040" si="1694">N1051</f>
        <v>5429</v>
      </c>
      <c r="O1040" s="81">
        <f t="shared" ref="O1040:P1040" si="1695">O1051</f>
        <v>4273</v>
      </c>
      <c r="P1040" s="81">
        <f t="shared" si="1695"/>
        <v>4574</v>
      </c>
      <c r="Q1040" s="81">
        <f t="shared" si="1689"/>
        <v>13250</v>
      </c>
      <c r="R1040" s="81">
        <f t="shared" si="1689"/>
        <v>13300</v>
      </c>
      <c r="S1040" s="81">
        <f t="shared" si="1689"/>
        <v>13400</v>
      </c>
    </row>
    <row r="1041" spans="1:19" ht="15">
      <c r="A1041" s="41"/>
      <c r="B1041" s="40" t="s">
        <v>665</v>
      </c>
      <c r="C1041" s="19"/>
      <c r="D1041" s="81"/>
      <c r="E1041" s="81"/>
      <c r="F1041" s="81"/>
      <c r="G1041" s="81">
        <f>G1054</f>
        <v>0</v>
      </c>
      <c r="H1041" s="81">
        <f t="shared" ref="H1041:S1041" si="1696">H1054</f>
        <v>0</v>
      </c>
      <c r="I1041" s="339">
        <f t="shared" si="1696"/>
        <v>0</v>
      </c>
      <c r="J1041" s="81">
        <f t="shared" si="1696"/>
        <v>950</v>
      </c>
      <c r="K1041" s="72">
        <f t="shared" si="1683"/>
        <v>0</v>
      </c>
      <c r="L1041" s="72">
        <f t="shared" si="1684"/>
        <v>950</v>
      </c>
      <c r="M1041" s="81">
        <f t="shared" ref="M1041" si="1697">M1054</f>
        <v>950</v>
      </c>
      <c r="N1041" s="81">
        <f t="shared" ref="N1041" si="1698">N1054</f>
        <v>0</v>
      </c>
      <c r="O1041" s="81">
        <f t="shared" ref="O1041:P1041" si="1699">O1054</f>
        <v>0</v>
      </c>
      <c r="P1041" s="81">
        <f t="shared" si="1699"/>
        <v>0</v>
      </c>
      <c r="Q1041" s="81">
        <f t="shared" si="1696"/>
        <v>0</v>
      </c>
      <c r="R1041" s="81">
        <f t="shared" si="1696"/>
        <v>0</v>
      </c>
      <c r="S1041" s="81">
        <f t="shared" si="1696"/>
        <v>0</v>
      </c>
    </row>
    <row r="1042" spans="1:19" ht="11.25" customHeight="1">
      <c r="A1042" s="41"/>
      <c r="B1042" s="33" t="s">
        <v>172</v>
      </c>
      <c r="C1042" s="19"/>
      <c r="D1042" s="81">
        <f t="shared" ref="D1042:S1042" si="1700">D1043+D1044+D1045</f>
        <v>26212</v>
      </c>
      <c r="E1042" s="81">
        <f t="shared" si="1700"/>
        <v>11485</v>
      </c>
      <c r="F1042" s="81">
        <f t="shared" si="1700"/>
        <v>63850</v>
      </c>
      <c r="G1042" s="81">
        <f t="shared" si="1700"/>
        <v>37055.65</v>
      </c>
      <c r="H1042" s="81">
        <f t="shared" si="1700"/>
        <v>9350</v>
      </c>
      <c r="I1042" s="339">
        <f t="shared" si="1700"/>
        <v>129279</v>
      </c>
      <c r="J1042" s="81">
        <f t="shared" si="1700"/>
        <v>71227</v>
      </c>
      <c r="K1042" s="72">
        <f t="shared" si="1683"/>
        <v>0</v>
      </c>
      <c r="L1042" s="72">
        <f t="shared" si="1684"/>
        <v>71227</v>
      </c>
      <c r="M1042" s="81">
        <f t="shared" ref="M1042" si="1701">M1043+M1044+M1045</f>
        <v>31160</v>
      </c>
      <c r="N1042" s="81">
        <f t="shared" ref="N1042" si="1702">N1043+N1044+N1045</f>
        <v>13340</v>
      </c>
      <c r="O1042" s="81">
        <f t="shared" ref="O1042:P1042" si="1703">O1043+O1044+O1045</f>
        <v>13340</v>
      </c>
      <c r="P1042" s="81">
        <f t="shared" si="1703"/>
        <v>13387</v>
      </c>
      <c r="Q1042" s="81">
        <f t="shared" si="1700"/>
        <v>71930</v>
      </c>
      <c r="R1042" s="81">
        <f t="shared" si="1700"/>
        <v>63433</v>
      </c>
      <c r="S1042" s="81">
        <f t="shared" si="1700"/>
        <v>21430</v>
      </c>
    </row>
    <row r="1043" spans="1:19" ht="13.5" hidden="1" customHeight="1">
      <c r="A1043" s="41"/>
      <c r="B1043" s="40" t="s">
        <v>181</v>
      </c>
      <c r="C1043" s="19">
        <v>56</v>
      </c>
      <c r="D1043" s="81">
        <v>0</v>
      </c>
      <c r="E1043" s="81">
        <v>0</v>
      </c>
      <c r="F1043" s="81">
        <v>0</v>
      </c>
      <c r="G1043" s="81">
        <v>0</v>
      </c>
      <c r="H1043" s="81">
        <v>0</v>
      </c>
      <c r="I1043" s="339">
        <v>0</v>
      </c>
      <c r="J1043" s="81">
        <v>0</v>
      </c>
      <c r="K1043" s="72">
        <f t="shared" si="1683"/>
        <v>0</v>
      </c>
      <c r="L1043" s="72">
        <f t="shared" si="1684"/>
        <v>0</v>
      </c>
      <c r="M1043" s="81">
        <v>0</v>
      </c>
      <c r="N1043" s="81">
        <v>0</v>
      </c>
      <c r="O1043" s="81">
        <v>0</v>
      </c>
      <c r="P1043" s="81">
        <v>0</v>
      </c>
      <c r="Q1043" s="81">
        <v>0</v>
      </c>
      <c r="R1043" s="81">
        <v>0</v>
      </c>
      <c r="S1043" s="81">
        <v>0</v>
      </c>
    </row>
    <row r="1044" spans="1:19" ht="13.5" customHeight="1">
      <c r="A1044" s="41"/>
      <c r="B1044" s="40" t="s">
        <v>181</v>
      </c>
      <c r="C1044" s="19">
        <v>58</v>
      </c>
      <c r="D1044" s="81">
        <f>D1071+D1077</f>
        <v>4500</v>
      </c>
      <c r="E1044" s="81">
        <f t="shared" ref="E1044:S1044" si="1704">E1071+E1077</f>
        <v>1</v>
      </c>
      <c r="F1044" s="81">
        <f t="shared" si="1704"/>
        <v>4500</v>
      </c>
      <c r="G1044" s="81">
        <f t="shared" si="1704"/>
        <v>4500</v>
      </c>
      <c r="H1044" s="81">
        <f t="shared" si="1704"/>
        <v>27</v>
      </c>
      <c r="I1044" s="339">
        <f t="shared" si="1704"/>
        <v>41599</v>
      </c>
      <c r="J1044" s="81">
        <f t="shared" si="1704"/>
        <v>40325</v>
      </c>
      <c r="K1044" s="72">
        <f t="shared" si="1683"/>
        <v>0</v>
      </c>
      <c r="L1044" s="72">
        <f t="shared" si="1684"/>
        <v>40325</v>
      </c>
      <c r="M1044" s="81">
        <f t="shared" ref="M1044" si="1705">M1071+M1077</f>
        <v>12258</v>
      </c>
      <c r="N1044" s="81">
        <f t="shared" ref="N1044" si="1706">N1071+N1077</f>
        <v>9340</v>
      </c>
      <c r="O1044" s="81">
        <f t="shared" ref="O1044:P1044" si="1707">O1071+O1077</f>
        <v>9340</v>
      </c>
      <c r="P1044" s="81">
        <f t="shared" si="1707"/>
        <v>9387</v>
      </c>
      <c r="Q1044" s="81">
        <f t="shared" si="1704"/>
        <v>60430</v>
      </c>
      <c r="R1044" s="81">
        <f t="shared" si="1704"/>
        <v>61826</v>
      </c>
      <c r="S1044" s="81">
        <f t="shared" si="1704"/>
        <v>21430</v>
      </c>
    </row>
    <row r="1045" spans="1:19" ht="15">
      <c r="A1045" s="41"/>
      <c r="B1045" s="40" t="s">
        <v>201</v>
      </c>
      <c r="C1045" s="19">
        <v>70</v>
      </c>
      <c r="D1045" s="81">
        <f t="shared" ref="D1045:S1045" si="1708">D1056</f>
        <v>21712</v>
      </c>
      <c r="E1045" s="81">
        <f t="shared" si="1708"/>
        <v>11484</v>
      </c>
      <c r="F1045" s="81">
        <f t="shared" si="1708"/>
        <v>59350</v>
      </c>
      <c r="G1045" s="81">
        <f t="shared" si="1708"/>
        <v>32555.65</v>
      </c>
      <c r="H1045" s="81">
        <f t="shared" si="1708"/>
        <v>9323</v>
      </c>
      <c r="I1045" s="339">
        <f t="shared" si="1708"/>
        <v>87680</v>
      </c>
      <c r="J1045" s="81">
        <f t="shared" si="1708"/>
        <v>30902</v>
      </c>
      <c r="K1045" s="72">
        <f t="shared" si="1683"/>
        <v>0</v>
      </c>
      <c r="L1045" s="72">
        <f t="shared" si="1684"/>
        <v>30902</v>
      </c>
      <c r="M1045" s="81">
        <f t="shared" ref="M1045" si="1709">M1056</f>
        <v>18902</v>
      </c>
      <c r="N1045" s="81">
        <f t="shared" ref="N1045" si="1710">N1056</f>
        <v>4000</v>
      </c>
      <c r="O1045" s="81">
        <f t="shared" ref="O1045:P1045" si="1711">O1056</f>
        <v>4000</v>
      </c>
      <c r="P1045" s="81">
        <f t="shared" si="1711"/>
        <v>4000</v>
      </c>
      <c r="Q1045" s="81">
        <f t="shared" si="1708"/>
        <v>11500</v>
      </c>
      <c r="R1045" s="81">
        <f t="shared" si="1708"/>
        <v>1607</v>
      </c>
      <c r="S1045" s="81">
        <f t="shared" si="1708"/>
        <v>0</v>
      </c>
    </row>
    <row r="1046" spans="1:19" ht="0.75" customHeight="1">
      <c r="A1046" s="41"/>
      <c r="B1046" s="40" t="s">
        <v>171</v>
      </c>
      <c r="C1046" s="19">
        <v>85.01</v>
      </c>
      <c r="D1046" s="81">
        <f t="shared" ref="D1046:S1046" si="1712">D1053</f>
        <v>0</v>
      </c>
      <c r="E1046" s="81"/>
      <c r="F1046" s="81"/>
      <c r="G1046" s="81"/>
      <c r="H1046" s="81"/>
      <c r="I1046" s="339"/>
      <c r="J1046" s="81"/>
      <c r="K1046" s="72">
        <f t="shared" si="1683"/>
        <v>0</v>
      </c>
      <c r="L1046" s="72">
        <f t="shared" si="1684"/>
        <v>0</v>
      </c>
      <c r="M1046" s="81"/>
      <c r="N1046" s="81"/>
      <c r="O1046" s="81"/>
      <c r="P1046" s="81"/>
      <c r="Q1046" s="81">
        <f t="shared" si="1712"/>
        <v>0</v>
      </c>
      <c r="R1046" s="81">
        <f t="shared" si="1712"/>
        <v>0</v>
      </c>
      <c r="S1046" s="81">
        <f t="shared" si="1712"/>
        <v>0</v>
      </c>
    </row>
    <row r="1047" spans="1:19" ht="14.25">
      <c r="A1047" s="60" t="s">
        <v>482</v>
      </c>
      <c r="B1047" s="33" t="s">
        <v>423</v>
      </c>
      <c r="C1047" s="19" t="s">
        <v>424</v>
      </c>
      <c r="D1047" s="81">
        <f t="shared" ref="D1047:S1047" si="1713">D1048+D1055</f>
        <v>44142</v>
      </c>
      <c r="E1047" s="81">
        <f t="shared" si="1713"/>
        <v>23040</v>
      </c>
      <c r="F1047" s="81">
        <f t="shared" si="1713"/>
        <v>80580</v>
      </c>
      <c r="G1047" s="81">
        <f t="shared" si="1713"/>
        <v>53435.65</v>
      </c>
      <c r="H1047" s="81">
        <f t="shared" si="1713"/>
        <v>20753</v>
      </c>
      <c r="I1047" s="339">
        <f t="shared" si="1713"/>
        <v>110680</v>
      </c>
      <c r="J1047" s="81">
        <f t="shared" si="1713"/>
        <v>53802</v>
      </c>
      <c r="K1047" s="72">
        <f t="shared" si="1683"/>
        <v>0</v>
      </c>
      <c r="L1047" s="72">
        <f t="shared" si="1684"/>
        <v>53802</v>
      </c>
      <c r="M1047" s="81">
        <f t="shared" ref="M1047" si="1714">M1048+M1055</f>
        <v>27526</v>
      </c>
      <c r="N1047" s="81">
        <f t="shared" ref="N1047" si="1715">N1048+N1055</f>
        <v>9429</v>
      </c>
      <c r="O1047" s="81">
        <f t="shared" ref="O1047:P1047" si="1716">O1048+O1055</f>
        <v>8273</v>
      </c>
      <c r="P1047" s="81">
        <f t="shared" si="1716"/>
        <v>8574</v>
      </c>
      <c r="Q1047" s="81">
        <f t="shared" si="1713"/>
        <v>24750</v>
      </c>
      <c r="R1047" s="81">
        <f t="shared" si="1713"/>
        <v>14907</v>
      </c>
      <c r="S1047" s="81">
        <f t="shared" si="1713"/>
        <v>13400</v>
      </c>
    </row>
    <row r="1048" spans="1:19" ht="14.25">
      <c r="A1048" s="41"/>
      <c r="B1048" s="31" t="s">
        <v>160</v>
      </c>
      <c r="C1048" s="19"/>
      <c r="D1048" s="81">
        <f t="shared" ref="D1048:S1048" si="1717">D1049</f>
        <v>22430</v>
      </c>
      <c r="E1048" s="81">
        <f t="shared" si="1717"/>
        <v>11556</v>
      </c>
      <c r="F1048" s="81">
        <f t="shared" si="1717"/>
        <v>21230</v>
      </c>
      <c r="G1048" s="81">
        <f t="shared" si="1717"/>
        <v>20880</v>
      </c>
      <c r="H1048" s="81">
        <f t="shared" si="1717"/>
        <v>11430</v>
      </c>
      <c r="I1048" s="339">
        <f t="shared" si="1717"/>
        <v>23000</v>
      </c>
      <c r="J1048" s="81">
        <f t="shared" si="1717"/>
        <v>22900</v>
      </c>
      <c r="K1048" s="72">
        <f t="shared" si="1683"/>
        <v>0</v>
      </c>
      <c r="L1048" s="72">
        <f t="shared" si="1684"/>
        <v>22900</v>
      </c>
      <c r="M1048" s="81">
        <f t="shared" si="1717"/>
        <v>8624</v>
      </c>
      <c r="N1048" s="81">
        <f t="shared" si="1717"/>
        <v>5429</v>
      </c>
      <c r="O1048" s="81">
        <f t="shared" si="1717"/>
        <v>4273</v>
      </c>
      <c r="P1048" s="81">
        <f t="shared" si="1717"/>
        <v>4574</v>
      </c>
      <c r="Q1048" s="81">
        <f t="shared" si="1717"/>
        <v>13250</v>
      </c>
      <c r="R1048" s="81">
        <f t="shared" si="1717"/>
        <v>13300</v>
      </c>
      <c r="S1048" s="81">
        <f t="shared" si="1717"/>
        <v>13400</v>
      </c>
    </row>
    <row r="1049" spans="1:19" ht="14.25" customHeight="1">
      <c r="A1049" s="41"/>
      <c r="B1049" s="40" t="s">
        <v>161</v>
      </c>
      <c r="C1049" s="19">
        <v>1</v>
      </c>
      <c r="D1049" s="76">
        <f t="shared" ref="D1049:F1049" si="1718">D1050+D1051+D1052+D1053</f>
        <v>22430</v>
      </c>
      <c r="E1049" s="76">
        <f t="shared" si="1718"/>
        <v>11556</v>
      </c>
      <c r="F1049" s="76">
        <f t="shared" si="1718"/>
        <v>21230</v>
      </c>
      <c r="G1049" s="76">
        <f>G1050+G1051+G1052+G1053+G1054</f>
        <v>20880</v>
      </c>
      <c r="H1049" s="76">
        <f t="shared" ref="H1049:S1049" si="1719">H1050+H1051+H1052+H1053+H1054</f>
        <v>11430</v>
      </c>
      <c r="I1049" s="330">
        <f t="shared" si="1719"/>
        <v>23000</v>
      </c>
      <c r="J1049" s="76">
        <f t="shared" si="1719"/>
        <v>22900</v>
      </c>
      <c r="K1049" s="72">
        <f t="shared" si="1683"/>
        <v>0</v>
      </c>
      <c r="L1049" s="72">
        <f t="shared" si="1684"/>
        <v>22900</v>
      </c>
      <c r="M1049" s="76">
        <f t="shared" ref="M1049" si="1720">M1050+M1051+M1052+M1053+M1054</f>
        <v>8624</v>
      </c>
      <c r="N1049" s="76">
        <f t="shared" ref="N1049" si="1721">N1050+N1051+N1052+N1053+N1054</f>
        <v>5429</v>
      </c>
      <c r="O1049" s="76">
        <f t="shared" ref="O1049:P1049" si="1722">O1050+O1051+O1052+O1053+O1054</f>
        <v>4273</v>
      </c>
      <c r="P1049" s="76">
        <f t="shared" si="1722"/>
        <v>4574</v>
      </c>
      <c r="Q1049" s="76">
        <f t="shared" si="1719"/>
        <v>13250</v>
      </c>
      <c r="R1049" s="76">
        <f t="shared" si="1719"/>
        <v>13300</v>
      </c>
      <c r="S1049" s="76">
        <f t="shared" si="1719"/>
        <v>13400</v>
      </c>
    </row>
    <row r="1050" spans="1:19" ht="16.5" hidden="1" customHeight="1">
      <c r="A1050" s="41"/>
      <c r="B1050" s="40" t="s">
        <v>162</v>
      </c>
      <c r="C1050" s="19">
        <v>10</v>
      </c>
      <c r="D1050" s="75">
        <v>0</v>
      </c>
      <c r="E1050" s="75"/>
      <c r="F1050" s="75"/>
      <c r="G1050" s="75"/>
      <c r="H1050" s="75"/>
      <c r="I1050" s="329"/>
      <c r="J1050" s="75"/>
      <c r="K1050" s="72">
        <f t="shared" si="1683"/>
        <v>0</v>
      </c>
      <c r="L1050" s="72">
        <f t="shared" si="1684"/>
        <v>0</v>
      </c>
      <c r="M1050" s="75"/>
      <c r="N1050" s="75"/>
      <c r="O1050" s="75"/>
      <c r="P1050" s="75"/>
      <c r="Q1050" s="73"/>
      <c r="R1050" s="73"/>
      <c r="S1050" s="73"/>
    </row>
    <row r="1051" spans="1:19" ht="13.5" customHeight="1">
      <c r="A1051" s="41"/>
      <c r="B1051" s="40" t="s">
        <v>886</v>
      </c>
      <c r="C1051" s="19">
        <v>20</v>
      </c>
      <c r="D1051" s="75">
        <f>22825+30+2145+30-3300+700</f>
        <v>22430</v>
      </c>
      <c r="E1051" s="195">
        <v>11556</v>
      </c>
      <c r="F1051" s="75">
        <v>21230</v>
      </c>
      <c r="G1051" s="75">
        <v>20880</v>
      </c>
      <c r="H1051" s="75">
        <v>11430</v>
      </c>
      <c r="I1051" s="329">
        <v>23000</v>
      </c>
      <c r="J1051" s="73">
        <f>20000+2000-50</f>
        <v>21950</v>
      </c>
      <c r="K1051" s="72">
        <f t="shared" si="1683"/>
        <v>0</v>
      </c>
      <c r="L1051" s="72">
        <f t="shared" si="1684"/>
        <v>21950</v>
      </c>
      <c r="M1051" s="73">
        <f>3800+4866+500-2000+500+8</f>
        <v>7674</v>
      </c>
      <c r="N1051" s="73">
        <f>3200+269+1462+500-2</f>
        <v>5429</v>
      </c>
      <c r="O1051" s="73">
        <f>3050+1000+229-6</f>
        <v>4273</v>
      </c>
      <c r="P1051" s="73">
        <f>2782+3021-1229</f>
        <v>4574</v>
      </c>
      <c r="Q1051" s="73">
        <f>13000+250</f>
        <v>13250</v>
      </c>
      <c r="R1051" s="73">
        <f>13000+300</f>
        <v>13300</v>
      </c>
      <c r="S1051" s="73">
        <f>13000+400</f>
        <v>13400</v>
      </c>
    </row>
    <row r="1052" spans="1:19" ht="13.5" hidden="1" customHeight="1">
      <c r="A1052" s="41"/>
      <c r="B1052" s="40" t="s">
        <v>497</v>
      </c>
      <c r="C1052" s="19">
        <v>59</v>
      </c>
      <c r="D1052" s="75"/>
      <c r="E1052" s="75"/>
      <c r="F1052" s="75"/>
      <c r="G1052" s="75"/>
      <c r="H1052" s="75"/>
      <c r="I1052" s="329"/>
      <c r="J1052" s="75"/>
      <c r="K1052" s="72">
        <f t="shared" si="1683"/>
        <v>0</v>
      </c>
      <c r="L1052" s="72">
        <f t="shared" si="1684"/>
        <v>0</v>
      </c>
      <c r="M1052" s="75"/>
      <c r="N1052" s="75"/>
      <c r="O1052" s="75"/>
      <c r="P1052" s="75"/>
      <c r="Q1052" s="73"/>
      <c r="R1052" s="73"/>
      <c r="S1052" s="73"/>
    </row>
    <row r="1053" spans="1:19" ht="13.5" hidden="1" customHeight="1">
      <c r="A1053" s="41"/>
      <c r="B1053" s="40" t="s">
        <v>171</v>
      </c>
      <c r="C1053" s="19">
        <v>85</v>
      </c>
      <c r="D1053" s="75"/>
      <c r="E1053" s="75"/>
      <c r="F1053" s="75"/>
      <c r="G1053" s="75"/>
      <c r="H1053" s="75"/>
      <c r="I1053" s="329"/>
      <c r="J1053" s="75"/>
      <c r="K1053" s="72">
        <f t="shared" si="1683"/>
        <v>0</v>
      </c>
      <c r="L1053" s="72">
        <f t="shared" si="1684"/>
        <v>0</v>
      </c>
      <c r="M1053" s="75"/>
      <c r="N1053" s="75"/>
      <c r="O1053" s="75"/>
      <c r="P1053" s="75"/>
      <c r="Q1053" s="73"/>
      <c r="R1053" s="73"/>
      <c r="S1053" s="73"/>
    </row>
    <row r="1054" spans="1:19" ht="13.5" customHeight="1">
      <c r="A1054" s="41"/>
      <c r="B1054" s="40" t="s">
        <v>665</v>
      </c>
      <c r="C1054" s="19">
        <v>40.299999999999997</v>
      </c>
      <c r="D1054" s="75"/>
      <c r="E1054" s="75"/>
      <c r="F1054" s="75"/>
      <c r="G1054" s="75"/>
      <c r="H1054" s="75"/>
      <c r="I1054" s="329"/>
      <c r="J1054" s="75">
        <f>950</f>
        <v>950</v>
      </c>
      <c r="K1054" s="72">
        <f t="shared" si="1683"/>
        <v>0</v>
      </c>
      <c r="L1054" s="72">
        <f t="shared" si="1684"/>
        <v>950</v>
      </c>
      <c r="M1054" s="75">
        <f>900+50</f>
        <v>950</v>
      </c>
      <c r="N1054" s="75"/>
      <c r="O1054" s="75"/>
      <c r="P1054" s="75"/>
      <c r="Q1054" s="73"/>
      <c r="R1054" s="73"/>
      <c r="S1054" s="73"/>
    </row>
    <row r="1055" spans="1:19" ht="15" customHeight="1">
      <c r="A1055" s="41"/>
      <c r="B1055" s="33" t="s">
        <v>172</v>
      </c>
      <c r="C1055" s="92"/>
      <c r="D1055" s="81">
        <f t="shared" ref="D1055:S1055" si="1723">D1056</f>
        <v>21712</v>
      </c>
      <c r="E1055" s="81">
        <f t="shared" si="1723"/>
        <v>11484</v>
      </c>
      <c r="F1055" s="81">
        <f t="shared" si="1723"/>
        <v>59350</v>
      </c>
      <c r="G1055" s="81">
        <f t="shared" si="1723"/>
        <v>32555.65</v>
      </c>
      <c r="H1055" s="81">
        <f t="shared" si="1723"/>
        <v>9323</v>
      </c>
      <c r="I1055" s="339">
        <f t="shared" si="1723"/>
        <v>87680</v>
      </c>
      <c r="J1055" s="81">
        <f t="shared" si="1723"/>
        <v>30902</v>
      </c>
      <c r="K1055" s="72">
        <f t="shared" si="1683"/>
        <v>0</v>
      </c>
      <c r="L1055" s="72">
        <f t="shared" si="1684"/>
        <v>30902</v>
      </c>
      <c r="M1055" s="81">
        <f t="shared" si="1723"/>
        <v>18902</v>
      </c>
      <c r="N1055" s="81">
        <f t="shared" si="1723"/>
        <v>4000</v>
      </c>
      <c r="O1055" s="81">
        <f t="shared" si="1723"/>
        <v>4000</v>
      </c>
      <c r="P1055" s="81">
        <f t="shared" si="1723"/>
        <v>4000</v>
      </c>
      <c r="Q1055" s="81">
        <f t="shared" si="1723"/>
        <v>11500</v>
      </c>
      <c r="R1055" s="81">
        <f t="shared" si="1723"/>
        <v>1607</v>
      </c>
      <c r="S1055" s="81">
        <f t="shared" si="1723"/>
        <v>0</v>
      </c>
    </row>
    <row r="1056" spans="1:19" ht="15" customHeight="1">
      <c r="A1056" s="41"/>
      <c r="B1056" s="40" t="s">
        <v>485</v>
      </c>
      <c r="C1056" s="19">
        <v>70</v>
      </c>
      <c r="D1056" s="73">
        <f t="shared" ref="D1056:S1056" si="1724">D1057+D1058+D1059+D1060</f>
        <v>21712</v>
      </c>
      <c r="E1056" s="195">
        <f t="shared" si="1724"/>
        <v>11484</v>
      </c>
      <c r="F1056" s="73">
        <f t="shared" si="1724"/>
        <v>59350</v>
      </c>
      <c r="G1056" s="73">
        <f t="shared" si="1724"/>
        <v>32555.65</v>
      </c>
      <c r="H1056" s="73">
        <f t="shared" si="1724"/>
        <v>9323</v>
      </c>
      <c r="I1056" s="202">
        <f t="shared" si="1724"/>
        <v>87680</v>
      </c>
      <c r="J1056" s="73">
        <f t="shared" si="1724"/>
        <v>30902</v>
      </c>
      <c r="K1056" s="72">
        <f t="shared" si="1683"/>
        <v>0</v>
      </c>
      <c r="L1056" s="72">
        <f t="shared" si="1684"/>
        <v>30902</v>
      </c>
      <c r="M1056" s="73">
        <f t="shared" ref="M1056" si="1725">M1057+M1058+M1059+M1060</f>
        <v>18902</v>
      </c>
      <c r="N1056" s="73">
        <f t="shared" ref="N1056" si="1726">N1057+N1058+N1059+N1060</f>
        <v>4000</v>
      </c>
      <c r="O1056" s="73">
        <f t="shared" ref="O1056:P1056" si="1727">O1057+O1058+O1059+O1060</f>
        <v>4000</v>
      </c>
      <c r="P1056" s="73">
        <f t="shared" si="1727"/>
        <v>4000</v>
      </c>
      <c r="Q1056" s="73">
        <f t="shared" si="1724"/>
        <v>11500</v>
      </c>
      <c r="R1056" s="73">
        <f t="shared" si="1724"/>
        <v>1607</v>
      </c>
      <c r="S1056" s="73">
        <f t="shared" si="1724"/>
        <v>0</v>
      </c>
    </row>
    <row r="1057" spans="1:22" ht="15" customHeight="1">
      <c r="A1057" s="41"/>
      <c r="B1057" s="40" t="s">
        <v>598</v>
      </c>
      <c r="C1057" s="19"/>
      <c r="D1057" s="75">
        <f>21782-70</f>
        <v>21712</v>
      </c>
      <c r="E1057" s="73">
        <v>11484</v>
      </c>
      <c r="F1057" s="75">
        <v>59350</v>
      </c>
      <c r="G1057" s="75">
        <v>32555.65</v>
      </c>
      <c r="H1057" s="75">
        <v>9323</v>
      </c>
      <c r="I1057" s="335">
        <v>87680</v>
      </c>
      <c r="J1057" s="73">
        <f>J1066+J1068+J1067</f>
        <v>30902</v>
      </c>
      <c r="K1057" s="72">
        <f t="shared" si="1683"/>
        <v>0</v>
      </c>
      <c r="L1057" s="72">
        <f t="shared" si="1684"/>
        <v>30902</v>
      </c>
      <c r="M1057" s="73">
        <f>M1066+M1068+M1067</f>
        <v>18902</v>
      </c>
      <c r="N1057" s="73">
        <f>N1066+N1068+N1067</f>
        <v>4000</v>
      </c>
      <c r="O1057" s="73">
        <f>O1066+O1068+O1067</f>
        <v>4000</v>
      </c>
      <c r="P1057" s="73">
        <f>P1066+P1068+P1067</f>
        <v>4000</v>
      </c>
      <c r="Q1057" s="73">
        <f t="shared" ref="Q1057:S1057" si="1728">Q1066+Q1068+Q1067</f>
        <v>11500</v>
      </c>
      <c r="R1057" s="73">
        <f t="shared" si="1728"/>
        <v>1607</v>
      </c>
      <c r="S1057" s="73">
        <f t="shared" si="1728"/>
        <v>0</v>
      </c>
    </row>
    <row r="1058" spans="1:22" ht="15" hidden="1" customHeight="1">
      <c r="A1058" s="41"/>
      <c r="B1058" s="40" t="s">
        <v>506</v>
      </c>
      <c r="C1058" s="19"/>
      <c r="D1058" s="75"/>
      <c r="E1058" s="75"/>
      <c r="F1058" s="75"/>
      <c r="G1058" s="75"/>
      <c r="H1058" s="75"/>
      <c r="I1058" s="329"/>
      <c r="J1058" s="75"/>
      <c r="K1058" s="72">
        <f t="shared" si="1683"/>
        <v>0</v>
      </c>
      <c r="L1058" s="72">
        <f t="shared" si="1684"/>
        <v>0</v>
      </c>
      <c r="M1058" s="75"/>
      <c r="N1058" s="75"/>
      <c r="O1058" s="75"/>
      <c r="P1058" s="75"/>
      <c r="Q1058" s="76"/>
      <c r="R1058" s="76"/>
      <c r="S1058" s="76"/>
    </row>
    <row r="1059" spans="1:22" ht="15" hidden="1" customHeight="1">
      <c r="A1059" s="41"/>
      <c r="B1059" s="40" t="s">
        <v>507</v>
      </c>
      <c r="C1059" s="19"/>
      <c r="D1059" s="75"/>
      <c r="E1059" s="75"/>
      <c r="F1059" s="75"/>
      <c r="G1059" s="75"/>
      <c r="H1059" s="75"/>
      <c r="I1059" s="329"/>
      <c r="J1059" s="75"/>
      <c r="K1059" s="72">
        <f t="shared" si="1683"/>
        <v>0</v>
      </c>
      <c r="L1059" s="72">
        <f t="shared" si="1684"/>
        <v>0</v>
      </c>
      <c r="M1059" s="75"/>
      <c r="N1059" s="75"/>
      <c r="O1059" s="75"/>
      <c r="P1059" s="75"/>
      <c r="Q1059" s="76"/>
      <c r="R1059" s="76"/>
      <c r="S1059" s="76"/>
    </row>
    <row r="1060" spans="1:22" ht="15" hidden="1" customHeight="1">
      <c r="A1060" s="41"/>
      <c r="B1060" s="40" t="s">
        <v>508</v>
      </c>
      <c r="C1060" s="19"/>
      <c r="D1060" s="75"/>
      <c r="E1060" s="75"/>
      <c r="F1060" s="75"/>
      <c r="G1060" s="75"/>
      <c r="H1060" s="75"/>
      <c r="I1060" s="329"/>
      <c r="J1060" s="75"/>
      <c r="K1060" s="72">
        <f t="shared" si="1683"/>
        <v>0</v>
      </c>
      <c r="L1060" s="72">
        <f t="shared" si="1684"/>
        <v>0</v>
      </c>
      <c r="M1060" s="75"/>
      <c r="N1060" s="75"/>
      <c r="O1060" s="75"/>
      <c r="P1060" s="75"/>
      <c r="Q1060" s="76"/>
      <c r="R1060" s="76"/>
      <c r="S1060" s="76"/>
    </row>
    <row r="1061" spans="1:22" ht="21" hidden="1" customHeight="1">
      <c r="A1061" s="41"/>
      <c r="B1061" s="39"/>
      <c r="C1061" s="19"/>
      <c r="D1061" s="75"/>
      <c r="E1061" s="75"/>
      <c r="F1061" s="75"/>
      <c r="G1061" s="75"/>
      <c r="H1061" s="75"/>
      <c r="I1061" s="329"/>
      <c r="J1061" s="75"/>
      <c r="K1061" s="72">
        <f t="shared" si="1683"/>
        <v>0</v>
      </c>
      <c r="L1061" s="72">
        <f t="shared" si="1684"/>
        <v>0</v>
      </c>
      <c r="M1061" s="75"/>
      <c r="N1061" s="75"/>
      <c r="O1061" s="75"/>
      <c r="P1061" s="75"/>
      <c r="Q1061" s="73"/>
      <c r="R1061" s="73"/>
      <c r="S1061" s="73"/>
    </row>
    <row r="1062" spans="1:22" ht="23.25" hidden="1" customHeight="1">
      <c r="A1062" s="41"/>
      <c r="B1062" s="54"/>
      <c r="C1062" s="19"/>
      <c r="D1062" s="75"/>
      <c r="E1062" s="75"/>
      <c r="F1062" s="75"/>
      <c r="G1062" s="75"/>
      <c r="H1062" s="75"/>
      <c r="I1062" s="329"/>
      <c r="J1062" s="75"/>
      <c r="K1062" s="72">
        <f t="shared" si="1683"/>
        <v>0</v>
      </c>
      <c r="L1062" s="72">
        <f t="shared" si="1684"/>
        <v>0</v>
      </c>
      <c r="M1062" s="75"/>
      <c r="N1062" s="75"/>
      <c r="O1062" s="75"/>
      <c r="P1062" s="75"/>
      <c r="Q1062" s="73"/>
      <c r="R1062" s="73"/>
      <c r="S1062" s="73"/>
    </row>
    <row r="1063" spans="1:22" ht="17.25" hidden="1" customHeight="1">
      <c r="A1063" s="41"/>
      <c r="B1063" s="54"/>
      <c r="C1063" s="19"/>
      <c r="D1063" s="75"/>
      <c r="E1063" s="75"/>
      <c r="F1063" s="75"/>
      <c r="G1063" s="75"/>
      <c r="H1063" s="75"/>
      <c r="I1063" s="329"/>
      <c r="J1063" s="75"/>
      <c r="K1063" s="72">
        <f t="shared" si="1683"/>
        <v>0</v>
      </c>
      <c r="L1063" s="72">
        <f t="shared" si="1684"/>
        <v>0</v>
      </c>
      <c r="M1063" s="75"/>
      <c r="N1063" s="75"/>
      <c r="O1063" s="75"/>
      <c r="P1063" s="75"/>
      <c r="Q1063" s="73"/>
      <c r="R1063" s="73"/>
      <c r="S1063" s="73"/>
    </row>
    <row r="1064" spans="1:22" ht="21" hidden="1" customHeight="1">
      <c r="A1064" s="41"/>
      <c r="B1064" s="39"/>
      <c r="C1064" s="19"/>
      <c r="D1064" s="75"/>
      <c r="E1064" s="75"/>
      <c r="F1064" s="75"/>
      <c r="G1064" s="75"/>
      <c r="H1064" s="75"/>
      <c r="I1064" s="329"/>
      <c r="J1064" s="75"/>
      <c r="K1064" s="72">
        <f t="shared" si="1683"/>
        <v>0</v>
      </c>
      <c r="L1064" s="72">
        <f t="shared" si="1684"/>
        <v>0</v>
      </c>
      <c r="M1064" s="75"/>
      <c r="N1064" s="75"/>
      <c r="O1064" s="75"/>
      <c r="P1064" s="75"/>
      <c r="Q1064" s="73"/>
      <c r="R1064" s="73"/>
      <c r="S1064" s="73"/>
    </row>
    <row r="1065" spans="1:22" ht="24" hidden="1" customHeight="1">
      <c r="A1065" s="28"/>
      <c r="B1065" s="41" t="s">
        <v>425</v>
      </c>
      <c r="C1065" s="92">
        <v>70</v>
      </c>
      <c r="D1065" s="73"/>
      <c r="E1065" s="73"/>
      <c r="F1065" s="73"/>
      <c r="G1065" s="73"/>
      <c r="H1065" s="73"/>
      <c r="I1065" s="202"/>
      <c r="J1065" s="73"/>
      <c r="K1065" s="72">
        <f t="shared" si="1683"/>
        <v>0</v>
      </c>
      <c r="L1065" s="72">
        <f t="shared" si="1684"/>
        <v>0</v>
      </c>
      <c r="M1065" s="73"/>
      <c r="N1065" s="73"/>
      <c r="O1065" s="73"/>
      <c r="P1065" s="73"/>
      <c r="Q1065" s="73"/>
      <c r="R1065" s="73"/>
      <c r="S1065" s="73"/>
    </row>
    <row r="1066" spans="1:22" ht="18.75" customHeight="1">
      <c r="A1066" s="28"/>
      <c r="B1066" s="41" t="s">
        <v>667</v>
      </c>
      <c r="C1066" s="92"/>
      <c r="D1066" s="202"/>
      <c r="E1066" s="202"/>
      <c r="F1066" s="202"/>
      <c r="G1066" s="202"/>
      <c r="H1066" s="202"/>
      <c r="I1066" s="202"/>
      <c r="J1066" s="73">
        <v>5154</v>
      </c>
      <c r="K1066" s="72">
        <f t="shared" si="1683"/>
        <v>0</v>
      </c>
      <c r="L1066" s="72">
        <f t="shared" si="1684"/>
        <v>5154</v>
      </c>
      <c r="M1066" s="73">
        <v>5154</v>
      </c>
      <c r="N1066" s="73"/>
      <c r="O1066" s="73"/>
      <c r="P1066" s="73"/>
      <c r="Q1066" s="202"/>
      <c r="R1066" s="202"/>
      <c r="S1066" s="73"/>
    </row>
    <row r="1067" spans="1:22" ht="16.5" customHeight="1">
      <c r="A1067" s="28"/>
      <c r="B1067" s="41" t="s">
        <v>668</v>
      </c>
      <c r="C1067" s="92"/>
      <c r="D1067" s="202"/>
      <c r="E1067" s="202"/>
      <c r="F1067" s="202"/>
      <c r="G1067" s="202"/>
      <c r="H1067" s="202"/>
      <c r="I1067" s="202"/>
      <c r="J1067" s="73">
        <v>15000</v>
      </c>
      <c r="K1067" s="72">
        <f t="shared" si="1683"/>
        <v>0</v>
      </c>
      <c r="L1067" s="72">
        <f t="shared" si="1684"/>
        <v>15000</v>
      </c>
      <c r="M1067" s="73">
        <v>3000</v>
      </c>
      <c r="N1067" s="73">
        <v>4000</v>
      </c>
      <c r="O1067" s="73">
        <v>4000</v>
      </c>
      <c r="P1067" s="73">
        <v>4000</v>
      </c>
      <c r="Q1067" s="202">
        <v>11500</v>
      </c>
      <c r="R1067" s="202">
        <v>1607</v>
      </c>
      <c r="S1067" s="73">
        <v>0</v>
      </c>
    </row>
    <row r="1068" spans="1:22" ht="16.5" customHeight="1">
      <c r="A1068" s="28"/>
      <c r="B1068" s="41" t="s">
        <v>666</v>
      </c>
      <c r="C1068" s="92"/>
      <c r="D1068" s="202"/>
      <c r="E1068" s="202"/>
      <c r="F1068" s="202"/>
      <c r="G1068" s="202"/>
      <c r="H1068" s="202"/>
      <c r="I1068" s="202"/>
      <c r="J1068" s="73">
        <f>10700+48</f>
        <v>10748</v>
      </c>
      <c r="K1068" s="72">
        <f t="shared" si="1683"/>
        <v>0</v>
      </c>
      <c r="L1068" s="72">
        <f t="shared" si="1684"/>
        <v>10748</v>
      </c>
      <c r="M1068" s="73">
        <f>10700+48</f>
        <v>10748</v>
      </c>
      <c r="N1068" s="73"/>
      <c r="O1068" s="73"/>
      <c r="P1068" s="73"/>
      <c r="Q1068" s="202"/>
      <c r="R1068" s="202"/>
      <c r="S1068" s="73"/>
    </row>
    <row r="1069" spans="1:22" ht="62.25" customHeight="1">
      <c r="A1069" s="28" t="s">
        <v>483</v>
      </c>
      <c r="B1069" s="65" t="s">
        <v>439</v>
      </c>
      <c r="C1069" s="107">
        <f>C1070</f>
        <v>58</v>
      </c>
      <c r="D1069" s="137">
        <f t="shared" ref="D1069:S1070" si="1729">D1070</f>
        <v>3500</v>
      </c>
      <c r="E1069" s="137">
        <f t="shared" si="1729"/>
        <v>1</v>
      </c>
      <c r="F1069" s="137">
        <f t="shared" si="1729"/>
        <v>3500</v>
      </c>
      <c r="G1069" s="137">
        <f t="shared" si="1729"/>
        <v>3500</v>
      </c>
      <c r="H1069" s="137">
        <f t="shared" si="1729"/>
        <v>24</v>
      </c>
      <c r="I1069" s="137">
        <f t="shared" si="1729"/>
        <v>21429</v>
      </c>
      <c r="J1069" s="189">
        <f t="shared" si="1729"/>
        <v>20155</v>
      </c>
      <c r="K1069" s="72">
        <f t="shared" si="1683"/>
        <v>0</v>
      </c>
      <c r="L1069" s="72">
        <f t="shared" si="1684"/>
        <v>20155</v>
      </c>
      <c r="M1069" s="189">
        <f t="shared" si="1729"/>
        <v>6900</v>
      </c>
      <c r="N1069" s="189">
        <f t="shared" si="1729"/>
        <v>4385</v>
      </c>
      <c r="O1069" s="189">
        <f t="shared" si="1729"/>
        <v>4385</v>
      </c>
      <c r="P1069" s="189">
        <f t="shared" si="1729"/>
        <v>4485</v>
      </c>
      <c r="Q1069" s="137">
        <f t="shared" si="1729"/>
        <v>21430</v>
      </c>
      <c r="R1069" s="137">
        <f t="shared" si="1729"/>
        <v>21430</v>
      </c>
      <c r="S1069" s="189">
        <f t="shared" si="1729"/>
        <v>21430</v>
      </c>
      <c r="U1069" s="200"/>
      <c r="V1069" s="199"/>
    </row>
    <row r="1070" spans="1:22" ht="15.75" customHeight="1">
      <c r="A1070" s="28"/>
      <c r="B1070" s="40" t="s">
        <v>172</v>
      </c>
      <c r="C1070" s="92">
        <f>C1071</f>
        <v>58</v>
      </c>
      <c r="D1070" s="138">
        <f t="shared" si="1729"/>
        <v>3500</v>
      </c>
      <c r="E1070" s="138">
        <f t="shared" si="1729"/>
        <v>1</v>
      </c>
      <c r="F1070" s="138">
        <f t="shared" si="1729"/>
        <v>3500</v>
      </c>
      <c r="G1070" s="138">
        <f t="shared" si="1729"/>
        <v>3500</v>
      </c>
      <c r="H1070" s="138">
        <f t="shared" si="1729"/>
        <v>24</v>
      </c>
      <c r="I1070" s="138">
        <f t="shared" si="1729"/>
        <v>21429</v>
      </c>
      <c r="J1070" s="352">
        <f t="shared" si="1729"/>
        <v>20155</v>
      </c>
      <c r="K1070" s="72">
        <f t="shared" si="1683"/>
        <v>0</v>
      </c>
      <c r="L1070" s="72">
        <f t="shared" si="1684"/>
        <v>20155</v>
      </c>
      <c r="M1070" s="352">
        <f t="shared" si="1729"/>
        <v>6900</v>
      </c>
      <c r="N1070" s="352">
        <f t="shared" si="1729"/>
        <v>4385</v>
      </c>
      <c r="O1070" s="352">
        <f t="shared" si="1729"/>
        <v>4385</v>
      </c>
      <c r="P1070" s="352">
        <f t="shared" si="1729"/>
        <v>4485</v>
      </c>
      <c r="Q1070" s="137">
        <f t="shared" si="1729"/>
        <v>21430</v>
      </c>
      <c r="R1070" s="137">
        <f t="shared" si="1729"/>
        <v>21430</v>
      </c>
      <c r="S1070" s="137">
        <f t="shared" si="1729"/>
        <v>21430</v>
      </c>
    </row>
    <row r="1071" spans="1:22" ht="22.5" customHeight="1">
      <c r="A1071" s="28"/>
      <c r="B1071" s="40" t="s">
        <v>181</v>
      </c>
      <c r="C1071" s="19">
        <v>58</v>
      </c>
      <c r="D1071" s="73">
        <f t="shared" ref="D1071:S1071" si="1730">D1072+D1073+D1074</f>
        <v>3500</v>
      </c>
      <c r="E1071" s="73">
        <f t="shared" si="1730"/>
        <v>1</v>
      </c>
      <c r="F1071" s="73">
        <f t="shared" si="1730"/>
        <v>3500</v>
      </c>
      <c r="G1071" s="73">
        <f t="shared" si="1730"/>
        <v>3500</v>
      </c>
      <c r="H1071" s="73">
        <f t="shared" si="1730"/>
        <v>24</v>
      </c>
      <c r="I1071" s="202">
        <f t="shared" si="1730"/>
        <v>21429</v>
      </c>
      <c r="J1071" s="73">
        <f t="shared" si="1730"/>
        <v>20155</v>
      </c>
      <c r="K1071" s="72">
        <f t="shared" si="1683"/>
        <v>0</v>
      </c>
      <c r="L1071" s="72">
        <f t="shared" si="1684"/>
        <v>20155</v>
      </c>
      <c r="M1071" s="73">
        <f t="shared" ref="M1071" si="1731">M1072+M1073+M1074</f>
        <v>6900</v>
      </c>
      <c r="N1071" s="73">
        <f t="shared" ref="N1071" si="1732">N1072+N1073+N1074</f>
        <v>4385</v>
      </c>
      <c r="O1071" s="73">
        <f t="shared" ref="O1071:P1071" si="1733">O1072+O1073+O1074</f>
        <v>4385</v>
      </c>
      <c r="P1071" s="73">
        <f t="shared" si="1733"/>
        <v>4485</v>
      </c>
      <c r="Q1071" s="73">
        <f t="shared" si="1730"/>
        <v>21430</v>
      </c>
      <c r="R1071" s="73">
        <f t="shared" si="1730"/>
        <v>21430</v>
      </c>
      <c r="S1071" s="73">
        <f t="shared" si="1730"/>
        <v>21430</v>
      </c>
    </row>
    <row r="1072" spans="1:22" ht="22.5" customHeight="1">
      <c r="A1072" s="28"/>
      <c r="B1072" s="40" t="s">
        <v>621</v>
      </c>
      <c r="C1072" s="19" t="s">
        <v>501</v>
      </c>
      <c r="D1072" s="73">
        <v>455</v>
      </c>
      <c r="E1072" s="73"/>
      <c r="F1072" s="73">
        <v>455</v>
      </c>
      <c r="G1072" s="73">
        <v>455</v>
      </c>
      <c r="H1072" s="73"/>
      <c r="I1072" s="202">
        <v>2343</v>
      </c>
      <c r="J1072" s="73">
        <v>2343</v>
      </c>
      <c r="K1072" s="72">
        <f t="shared" si="1683"/>
        <v>0</v>
      </c>
      <c r="L1072" s="72">
        <f t="shared" si="1684"/>
        <v>2343</v>
      </c>
      <c r="M1072" s="73">
        <v>600</v>
      </c>
      <c r="N1072" s="73">
        <v>585</v>
      </c>
      <c r="O1072" s="73">
        <v>585</v>
      </c>
      <c r="P1072" s="73">
        <v>573</v>
      </c>
      <c r="Q1072" s="73"/>
      <c r="R1072" s="73"/>
      <c r="S1072" s="73"/>
    </row>
    <row r="1073" spans="1:24" ht="16.5" customHeight="1">
      <c r="A1073" s="28"/>
      <c r="B1073" s="40" t="s">
        <v>463</v>
      </c>
      <c r="C1073" s="19" t="s">
        <v>464</v>
      </c>
      <c r="D1073" s="73">
        <v>2975</v>
      </c>
      <c r="E1073" s="73">
        <v>1</v>
      </c>
      <c r="F1073" s="73">
        <v>2975</v>
      </c>
      <c r="G1073" s="73">
        <v>2975</v>
      </c>
      <c r="H1073" s="73">
        <v>24</v>
      </c>
      <c r="I1073" s="202">
        <v>15312</v>
      </c>
      <c r="J1073" s="73">
        <v>15312</v>
      </c>
      <c r="K1073" s="72">
        <f t="shared" si="1683"/>
        <v>0</v>
      </c>
      <c r="L1073" s="72">
        <f t="shared" si="1684"/>
        <v>15312</v>
      </c>
      <c r="M1073" s="73">
        <v>3800</v>
      </c>
      <c r="N1073" s="73">
        <v>3800</v>
      </c>
      <c r="O1073" s="73">
        <v>3800</v>
      </c>
      <c r="P1073" s="73">
        <v>3912</v>
      </c>
      <c r="Q1073" s="73">
        <v>21430</v>
      </c>
      <c r="R1073" s="73">
        <v>21430</v>
      </c>
      <c r="S1073" s="73">
        <v>21430</v>
      </c>
    </row>
    <row r="1074" spans="1:24" ht="22.5" customHeight="1">
      <c r="A1074" s="28"/>
      <c r="B1074" s="40" t="s">
        <v>217</v>
      </c>
      <c r="C1074" s="19" t="s">
        <v>465</v>
      </c>
      <c r="D1074" s="73">
        <v>70</v>
      </c>
      <c r="E1074" s="73"/>
      <c r="F1074" s="73">
        <v>70</v>
      </c>
      <c r="G1074" s="73">
        <v>70</v>
      </c>
      <c r="H1074" s="73"/>
      <c r="I1074" s="202">
        <v>3774</v>
      </c>
      <c r="J1074" s="75">
        <v>2500</v>
      </c>
      <c r="K1074" s="83">
        <f t="shared" si="1683"/>
        <v>0</v>
      </c>
      <c r="L1074" s="83">
        <f t="shared" si="1684"/>
        <v>2500</v>
      </c>
      <c r="M1074" s="75">
        <v>2500</v>
      </c>
      <c r="N1074" s="75"/>
      <c r="O1074" s="75"/>
      <c r="P1074" s="75"/>
      <c r="Q1074" s="73"/>
      <c r="R1074" s="73"/>
      <c r="S1074" s="73"/>
    </row>
    <row r="1075" spans="1:24" ht="60" customHeight="1">
      <c r="A1075" s="28" t="s">
        <v>620</v>
      </c>
      <c r="B1075" s="65" t="s">
        <v>619</v>
      </c>
      <c r="C1075" s="107">
        <f>C1076</f>
        <v>58</v>
      </c>
      <c r="D1075" s="73">
        <f>D1076</f>
        <v>1000</v>
      </c>
      <c r="E1075" s="73">
        <f t="shared" ref="E1075:S1076" si="1734">E1076</f>
        <v>0</v>
      </c>
      <c r="F1075" s="73">
        <f t="shared" si="1734"/>
        <v>1000</v>
      </c>
      <c r="G1075" s="73">
        <f t="shared" si="1734"/>
        <v>1000</v>
      </c>
      <c r="H1075" s="73">
        <f t="shared" si="1734"/>
        <v>3</v>
      </c>
      <c r="I1075" s="202">
        <f t="shared" si="1734"/>
        <v>20170</v>
      </c>
      <c r="J1075" s="73">
        <f t="shared" si="1734"/>
        <v>20170</v>
      </c>
      <c r="K1075" s="72">
        <f t="shared" si="1683"/>
        <v>0</v>
      </c>
      <c r="L1075" s="72">
        <f t="shared" si="1684"/>
        <v>20170</v>
      </c>
      <c r="M1075" s="73">
        <f t="shared" si="1734"/>
        <v>5358</v>
      </c>
      <c r="N1075" s="73">
        <f t="shared" si="1734"/>
        <v>4955</v>
      </c>
      <c r="O1075" s="73">
        <f t="shared" si="1734"/>
        <v>4955</v>
      </c>
      <c r="P1075" s="73">
        <f t="shared" si="1734"/>
        <v>4902</v>
      </c>
      <c r="Q1075" s="73">
        <f t="shared" si="1734"/>
        <v>39000</v>
      </c>
      <c r="R1075" s="73">
        <f t="shared" si="1734"/>
        <v>40396</v>
      </c>
      <c r="S1075" s="73">
        <f t="shared" si="1734"/>
        <v>0</v>
      </c>
    </row>
    <row r="1076" spans="1:24" ht="19.5" customHeight="1">
      <c r="A1076" s="28"/>
      <c r="B1076" s="40" t="s">
        <v>172</v>
      </c>
      <c r="C1076" s="92">
        <f>C1077</f>
        <v>58</v>
      </c>
      <c r="D1076" s="73">
        <f>D1077</f>
        <v>1000</v>
      </c>
      <c r="E1076" s="73">
        <f t="shared" si="1734"/>
        <v>0</v>
      </c>
      <c r="F1076" s="73">
        <f t="shared" si="1734"/>
        <v>1000</v>
      </c>
      <c r="G1076" s="73">
        <f t="shared" si="1734"/>
        <v>1000</v>
      </c>
      <c r="H1076" s="73">
        <f t="shared" si="1734"/>
        <v>3</v>
      </c>
      <c r="I1076" s="202">
        <f t="shared" si="1734"/>
        <v>20170</v>
      </c>
      <c r="J1076" s="73">
        <f t="shared" si="1734"/>
        <v>20170</v>
      </c>
      <c r="K1076" s="72">
        <f t="shared" si="1683"/>
        <v>0</v>
      </c>
      <c r="L1076" s="72">
        <f t="shared" si="1684"/>
        <v>20170</v>
      </c>
      <c r="M1076" s="73">
        <f t="shared" si="1734"/>
        <v>5358</v>
      </c>
      <c r="N1076" s="73">
        <f t="shared" si="1734"/>
        <v>4955</v>
      </c>
      <c r="O1076" s="73">
        <f t="shared" si="1734"/>
        <v>4955</v>
      </c>
      <c r="P1076" s="73">
        <f t="shared" si="1734"/>
        <v>4902</v>
      </c>
      <c r="Q1076" s="73">
        <f t="shared" si="1734"/>
        <v>39000</v>
      </c>
      <c r="R1076" s="73">
        <f t="shared" si="1734"/>
        <v>40396</v>
      </c>
      <c r="S1076" s="73">
        <f t="shared" si="1734"/>
        <v>0</v>
      </c>
    </row>
    <row r="1077" spans="1:24" ht="19.5" customHeight="1">
      <c r="A1077" s="28"/>
      <c r="B1077" s="40" t="s">
        <v>181</v>
      </c>
      <c r="C1077" s="19">
        <v>58</v>
      </c>
      <c r="D1077" s="73">
        <f>D1078+D1079+D1080</f>
        <v>1000</v>
      </c>
      <c r="E1077" s="73">
        <f t="shared" ref="E1077:S1077" si="1735">E1078+E1079+E1080</f>
        <v>0</v>
      </c>
      <c r="F1077" s="73">
        <f t="shared" si="1735"/>
        <v>1000</v>
      </c>
      <c r="G1077" s="73">
        <f t="shared" si="1735"/>
        <v>1000</v>
      </c>
      <c r="H1077" s="73">
        <f t="shared" si="1735"/>
        <v>3</v>
      </c>
      <c r="I1077" s="202">
        <f t="shared" si="1735"/>
        <v>20170</v>
      </c>
      <c r="J1077" s="73">
        <f t="shared" si="1735"/>
        <v>20170</v>
      </c>
      <c r="K1077" s="72">
        <f t="shared" si="1683"/>
        <v>0</v>
      </c>
      <c r="L1077" s="72">
        <f t="shared" si="1684"/>
        <v>20170</v>
      </c>
      <c r="M1077" s="73">
        <f t="shared" ref="M1077" si="1736">M1078+M1079+M1080</f>
        <v>5358</v>
      </c>
      <c r="N1077" s="73">
        <f t="shared" ref="N1077" si="1737">N1078+N1079+N1080</f>
        <v>4955</v>
      </c>
      <c r="O1077" s="73">
        <f t="shared" ref="O1077:P1077" si="1738">O1078+O1079+O1080</f>
        <v>4955</v>
      </c>
      <c r="P1077" s="73">
        <f t="shared" si="1738"/>
        <v>4902</v>
      </c>
      <c r="Q1077" s="73">
        <f t="shared" si="1735"/>
        <v>39000</v>
      </c>
      <c r="R1077" s="73">
        <f t="shared" si="1735"/>
        <v>40396</v>
      </c>
      <c r="S1077" s="73">
        <f t="shared" si="1735"/>
        <v>0</v>
      </c>
    </row>
    <row r="1078" spans="1:24" ht="19.5" customHeight="1">
      <c r="A1078" s="28"/>
      <c r="B1078" s="40" t="s">
        <v>621</v>
      </c>
      <c r="C1078" s="19" t="s">
        <v>501</v>
      </c>
      <c r="D1078" s="73">
        <v>130</v>
      </c>
      <c r="E1078" s="73"/>
      <c r="F1078" s="73">
        <v>130</v>
      </c>
      <c r="G1078" s="73">
        <v>130</v>
      </c>
      <c r="H1078" s="73"/>
      <c r="I1078" s="202">
        <v>2622</v>
      </c>
      <c r="J1078" s="73">
        <v>2622</v>
      </c>
      <c r="K1078" s="72">
        <f t="shared" si="1683"/>
        <v>0</v>
      </c>
      <c r="L1078" s="72">
        <f t="shared" si="1684"/>
        <v>2622</v>
      </c>
      <c r="M1078" s="73">
        <v>655</v>
      </c>
      <c r="N1078" s="73">
        <v>655</v>
      </c>
      <c r="O1078" s="73">
        <v>655</v>
      </c>
      <c r="P1078" s="73">
        <v>657</v>
      </c>
      <c r="Q1078" s="73"/>
      <c r="R1078" s="73"/>
      <c r="S1078" s="73"/>
    </row>
    <row r="1079" spans="1:24" ht="18.75" customHeight="1">
      <c r="A1079" s="28"/>
      <c r="B1079" s="40" t="s">
        <v>463</v>
      </c>
      <c r="C1079" s="19" t="s">
        <v>464</v>
      </c>
      <c r="D1079" s="73">
        <v>850</v>
      </c>
      <c r="E1079" s="73"/>
      <c r="F1079" s="73">
        <v>850</v>
      </c>
      <c r="G1079" s="73">
        <v>850</v>
      </c>
      <c r="H1079" s="73">
        <v>3</v>
      </c>
      <c r="I1079" s="202">
        <v>17145</v>
      </c>
      <c r="J1079" s="73">
        <v>17145</v>
      </c>
      <c r="K1079" s="72">
        <f t="shared" si="1683"/>
        <v>0</v>
      </c>
      <c r="L1079" s="72">
        <f t="shared" si="1684"/>
        <v>17145</v>
      </c>
      <c r="M1079" s="73">
        <v>4300</v>
      </c>
      <c r="N1079" s="73">
        <v>4300</v>
      </c>
      <c r="O1079" s="73">
        <v>4300</v>
      </c>
      <c r="P1079" s="73">
        <v>4245</v>
      </c>
      <c r="Q1079" s="73">
        <v>39000</v>
      </c>
      <c r="R1079" s="73">
        <v>40396</v>
      </c>
      <c r="S1079" s="73">
        <v>0</v>
      </c>
    </row>
    <row r="1080" spans="1:24" ht="22.5" customHeight="1">
      <c r="A1080" s="28"/>
      <c r="B1080" s="40" t="s">
        <v>217</v>
      </c>
      <c r="C1080" s="19" t="s">
        <v>465</v>
      </c>
      <c r="D1080" s="73">
        <v>20</v>
      </c>
      <c r="E1080" s="73"/>
      <c r="F1080" s="73">
        <v>20</v>
      </c>
      <c r="G1080" s="73">
        <v>20</v>
      </c>
      <c r="H1080" s="73"/>
      <c r="I1080" s="202">
        <v>403</v>
      </c>
      <c r="J1080" s="73">
        <v>403</v>
      </c>
      <c r="K1080" s="72">
        <f t="shared" si="1683"/>
        <v>0</v>
      </c>
      <c r="L1080" s="72">
        <f t="shared" si="1684"/>
        <v>403</v>
      </c>
      <c r="M1080" s="73">
        <v>403</v>
      </c>
      <c r="N1080" s="73"/>
      <c r="O1080" s="73"/>
      <c r="P1080" s="73"/>
      <c r="Q1080" s="73"/>
      <c r="R1080" s="73"/>
      <c r="S1080" s="73"/>
    </row>
    <row r="1081" spans="1:24" ht="0.75" customHeight="1">
      <c r="A1081" s="28"/>
      <c r="B1081" s="25"/>
      <c r="C1081" s="19"/>
      <c r="D1081" s="73"/>
      <c r="E1081" s="73"/>
      <c r="F1081" s="73"/>
      <c r="G1081" s="73"/>
      <c r="H1081" s="73"/>
      <c r="I1081" s="202"/>
      <c r="J1081" s="73"/>
      <c r="K1081" s="72">
        <f t="shared" si="1683"/>
        <v>0</v>
      </c>
      <c r="L1081" s="72">
        <f t="shared" si="1684"/>
        <v>0</v>
      </c>
      <c r="M1081" s="73"/>
      <c r="N1081" s="73"/>
      <c r="O1081" s="73"/>
      <c r="P1081" s="73"/>
      <c r="Q1081" s="73"/>
      <c r="R1081" s="73"/>
      <c r="S1081" s="73"/>
    </row>
    <row r="1082" spans="1:24" ht="22.5" customHeight="1">
      <c r="A1082" s="28">
        <v>3</v>
      </c>
      <c r="B1082" s="460" t="s">
        <v>450</v>
      </c>
      <c r="C1082" s="461">
        <v>87.02</v>
      </c>
      <c r="D1082" s="462">
        <f t="shared" ref="D1082:S1084" si="1739">D1083</f>
        <v>15907</v>
      </c>
      <c r="E1082" s="462">
        <f t="shared" si="1739"/>
        <v>0</v>
      </c>
      <c r="F1082" s="462">
        <f t="shared" si="1739"/>
        <v>15907</v>
      </c>
      <c r="G1082" s="462">
        <f t="shared" si="1739"/>
        <v>15907</v>
      </c>
      <c r="H1082" s="462">
        <f t="shared" si="1739"/>
        <v>0</v>
      </c>
      <c r="I1082" s="463">
        <f t="shared" si="1739"/>
        <v>15907</v>
      </c>
      <c r="J1082" s="462">
        <f t="shared" si="1739"/>
        <v>1000</v>
      </c>
      <c r="K1082" s="462">
        <f t="shared" si="1683"/>
        <v>0</v>
      </c>
      <c r="L1082" s="462">
        <f t="shared" si="1684"/>
        <v>1000</v>
      </c>
      <c r="M1082" s="462">
        <f t="shared" si="1739"/>
        <v>1000</v>
      </c>
      <c r="N1082" s="462">
        <f t="shared" si="1739"/>
        <v>0</v>
      </c>
      <c r="O1082" s="462">
        <f t="shared" si="1739"/>
        <v>0</v>
      </c>
      <c r="P1082" s="462">
        <f t="shared" si="1739"/>
        <v>0</v>
      </c>
      <c r="Q1082" s="462">
        <f t="shared" si="1739"/>
        <v>0</v>
      </c>
      <c r="R1082" s="462">
        <f t="shared" si="1739"/>
        <v>0</v>
      </c>
      <c r="S1082" s="462">
        <f t="shared" si="1739"/>
        <v>0</v>
      </c>
    </row>
    <row r="1083" spans="1:24" ht="34.5" customHeight="1">
      <c r="A1083" s="28" t="s">
        <v>484</v>
      </c>
      <c r="B1083" s="27" t="s">
        <v>449</v>
      </c>
      <c r="C1083" s="92" t="s">
        <v>426</v>
      </c>
      <c r="D1083" s="87">
        <f t="shared" si="1739"/>
        <v>15907</v>
      </c>
      <c r="E1083" s="87">
        <f t="shared" si="1739"/>
        <v>0</v>
      </c>
      <c r="F1083" s="87">
        <f t="shared" si="1739"/>
        <v>15907</v>
      </c>
      <c r="G1083" s="87">
        <f t="shared" si="1739"/>
        <v>15907</v>
      </c>
      <c r="H1083" s="87">
        <f t="shared" si="1739"/>
        <v>0</v>
      </c>
      <c r="I1083" s="331">
        <f t="shared" si="1739"/>
        <v>15907</v>
      </c>
      <c r="J1083" s="87">
        <f t="shared" si="1739"/>
        <v>1000</v>
      </c>
      <c r="K1083" s="72">
        <f t="shared" si="1683"/>
        <v>0</v>
      </c>
      <c r="L1083" s="72">
        <f t="shared" si="1684"/>
        <v>1000</v>
      </c>
      <c r="M1083" s="87">
        <f t="shared" si="1739"/>
        <v>1000</v>
      </c>
      <c r="N1083" s="87">
        <f t="shared" si="1739"/>
        <v>0</v>
      </c>
      <c r="O1083" s="87">
        <f t="shared" si="1739"/>
        <v>0</v>
      </c>
      <c r="P1083" s="87">
        <f t="shared" si="1739"/>
        <v>0</v>
      </c>
      <c r="Q1083" s="87">
        <f t="shared" si="1739"/>
        <v>0</v>
      </c>
      <c r="R1083" s="87">
        <f t="shared" si="1739"/>
        <v>0</v>
      </c>
      <c r="S1083" s="87">
        <f t="shared" si="1739"/>
        <v>0</v>
      </c>
    </row>
    <row r="1084" spans="1:24" ht="22.5" customHeight="1">
      <c r="A1084" s="28"/>
      <c r="B1084" s="40" t="s">
        <v>172</v>
      </c>
      <c r="C1084" s="92"/>
      <c r="D1084" s="73">
        <f t="shared" si="1739"/>
        <v>15907</v>
      </c>
      <c r="E1084" s="73">
        <f t="shared" si="1739"/>
        <v>0</v>
      </c>
      <c r="F1084" s="73">
        <f t="shared" si="1739"/>
        <v>15907</v>
      </c>
      <c r="G1084" s="73">
        <f t="shared" si="1739"/>
        <v>15907</v>
      </c>
      <c r="H1084" s="73">
        <f t="shared" si="1739"/>
        <v>0</v>
      </c>
      <c r="I1084" s="202">
        <f t="shared" si="1739"/>
        <v>15907</v>
      </c>
      <c r="J1084" s="73">
        <f t="shared" si="1739"/>
        <v>1000</v>
      </c>
      <c r="K1084" s="72">
        <f t="shared" si="1683"/>
        <v>0</v>
      </c>
      <c r="L1084" s="72">
        <f t="shared" si="1684"/>
        <v>1000</v>
      </c>
      <c r="M1084" s="73">
        <f t="shared" si="1739"/>
        <v>1000</v>
      </c>
      <c r="N1084" s="73">
        <f t="shared" si="1739"/>
        <v>0</v>
      </c>
      <c r="O1084" s="73">
        <f t="shared" si="1739"/>
        <v>0</v>
      </c>
      <c r="P1084" s="73">
        <f t="shared" si="1739"/>
        <v>0</v>
      </c>
      <c r="Q1084" s="73">
        <f t="shared" si="1739"/>
        <v>0</v>
      </c>
      <c r="R1084" s="73">
        <f t="shared" si="1739"/>
        <v>0</v>
      </c>
      <c r="S1084" s="73">
        <f t="shared" si="1739"/>
        <v>0</v>
      </c>
    </row>
    <row r="1085" spans="1:24" ht="27.75" customHeight="1">
      <c r="A1085" s="28"/>
      <c r="B1085" s="66" t="s">
        <v>405</v>
      </c>
      <c r="C1085" s="106" t="s">
        <v>406</v>
      </c>
      <c r="D1085" s="73">
        <v>15907</v>
      </c>
      <c r="E1085" s="73"/>
      <c r="F1085" s="73">
        <v>15907</v>
      </c>
      <c r="G1085" s="73">
        <v>15907</v>
      </c>
      <c r="H1085" s="73">
        <v>0</v>
      </c>
      <c r="I1085" s="351">
        <v>15907</v>
      </c>
      <c r="J1085" s="73">
        <v>1000</v>
      </c>
      <c r="K1085" s="72">
        <f t="shared" si="1683"/>
        <v>0</v>
      </c>
      <c r="L1085" s="72">
        <f t="shared" si="1684"/>
        <v>1000</v>
      </c>
      <c r="M1085" s="73">
        <v>1000</v>
      </c>
      <c r="N1085" s="73"/>
      <c r="O1085" s="73">
        <v>0</v>
      </c>
      <c r="P1085" s="73"/>
      <c r="Q1085" s="73"/>
      <c r="R1085" s="73"/>
      <c r="S1085" s="73"/>
    </row>
    <row r="1086" spans="1:24" ht="22.5" hidden="1" customHeight="1">
      <c r="A1086" s="28"/>
      <c r="B1086" s="67" t="s">
        <v>427</v>
      </c>
      <c r="C1086" s="108"/>
      <c r="D1086" s="73"/>
      <c r="E1086" s="73"/>
      <c r="F1086" s="73"/>
      <c r="G1086" s="73"/>
      <c r="H1086" s="73"/>
      <c r="I1086" s="73"/>
      <c r="J1086" s="73"/>
      <c r="K1086" s="72">
        <f t="shared" si="1683"/>
        <v>0</v>
      </c>
      <c r="L1086" s="72">
        <f t="shared" si="1684"/>
        <v>0</v>
      </c>
      <c r="M1086" s="73"/>
      <c r="N1086" s="73"/>
      <c r="O1086" s="73"/>
      <c r="P1086" s="73"/>
      <c r="Q1086" s="73"/>
      <c r="R1086" s="73"/>
      <c r="S1086" s="73"/>
    </row>
    <row r="1087" spans="1:24" ht="22.5" customHeight="1">
      <c r="A1087" s="68"/>
      <c r="B1087" s="69" t="s">
        <v>428</v>
      </c>
      <c r="C1087" s="109"/>
      <c r="D1087" s="88">
        <f t="shared" ref="D1087:S1087" si="1740">D11-D217</f>
        <v>-77686</v>
      </c>
      <c r="E1087" s="88">
        <f t="shared" si="1740"/>
        <v>-17005</v>
      </c>
      <c r="F1087" s="88">
        <f t="shared" si="1740"/>
        <v>-123491.5</v>
      </c>
      <c r="G1087" s="88">
        <f t="shared" si="1740"/>
        <v>-87991.499999999942</v>
      </c>
      <c r="H1087" s="88">
        <f t="shared" si="1740"/>
        <v>-18192.239999999991</v>
      </c>
      <c r="I1087" s="88">
        <f t="shared" si="1740"/>
        <v>-132752.32000000001</v>
      </c>
      <c r="J1087" s="88">
        <f t="shared" si="1740"/>
        <v>-101000</v>
      </c>
      <c r="K1087" s="72">
        <f t="shared" si="1683"/>
        <v>0</v>
      </c>
      <c r="L1087" s="72">
        <f t="shared" si="1684"/>
        <v>-101000</v>
      </c>
      <c r="M1087" s="88">
        <f t="shared" ref="M1087" si="1741">M11-M217</f>
        <v>-101000</v>
      </c>
      <c r="N1087" s="88">
        <f t="shared" ref="N1087" si="1742">N11-N217</f>
        <v>0</v>
      </c>
      <c r="O1087" s="88">
        <f t="shared" ref="O1087:P1087" si="1743">O11-O217</f>
        <v>0</v>
      </c>
      <c r="P1087" s="88">
        <f t="shared" si="1743"/>
        <v>0</v>
      </c>
      <c r="Q1087" s="88">
        <f t="shared" si="1740"/>
        <v>0</v>
      </c>
      <c r="R1087" s="88">
        <f t="shared" si="1740"/>
        <v>0</v>
      </c>
      <c r="S1087" s="88">
        <f t="shared" si="1740"/>
        <v>0</v>
      </c>
      <c r="X1087" s="1"/>
    </row>
    <row r="1088" spans="1:24" ht="22.5" customHeight="1">
      <c r="A1088" s="275"/>
      <c r="B1088" s="70"/>
      <c r="C1088" s="277"/>
      <c r="D1088" s="278"/>
      <c r="E1088" s="278"/>
      <c r="F1088" s="278"/>
      <c r="G1088" s="278"/>
      <c r="H1088" s="278"/>
      <c r="I1088" s="278"/>
      <c r="J1088" s="278"/>
      <c r="K1088" s="278"/>
      <c r="L1088" s="278"/>
      <c r="M1088" s="278"/>
      <c r="N1088" s="278"/>
      <c r="O1088" s="278"/>
      <c r="P1088" s="278"/>
      <c r="Q1088" s="276"/>
      <c r="R1088" s="276"/>
      <c r="S1088" s="276"/>
    </row>
    <row r="1089" spans="1:23" ht="19.5" customHeight="1">
      <c r="A1089" s="25"/>
      <c r="B1089" s="320" t="s">
        <v>798</v>
      </c>
      <c r="C1089" s="279"/>
      <c r="D1089" s="280"/>
      <c r="E1089" s="280"/>
      <c r="F1089" s="280"/>
      <c r="G1089" s="280"/>
      <c r="H1089" s="280"/>
      <c r="I1089" s="280"/>
      <c r="J1089" s="324">
        <f>-J1087</f>
        <v>101000</v>
      </c>
      <c r="K1089" s="356">
        <f>J1090+J1092</f>
        <v>101000</v>
      </c>
      <c r="L1089" s="356"/>
      <c r="M1089" s="356"/>
      <c r="N1089" s="356"/>
      <c r="O1089" s="356"/>
      <c r="P1089" s="356"/>
      <c r="Q1089" s="8"/>
      <c r="R1089" s="8"/>
      <c r="S1089" s="8"/>
    </row>
    <row r="1090" spans="1:23" ht="19.5" customHeight="1">
      <c r="A1090" s="25"/>
      <c r="B1090" s="321" t="s">
        <v>800</v>
      </c>
      <c r="C1090" s="283"/>
      <c r="D1090" s="284"/>
      <c r="E1090" s="284"/>
      <c r="F1090" s="284"/>
      <c r="G1090" s="284"/>
      <c r="H1090" s="284"/>
      <c r="I1090" s="284"/>
      <c r="J1090" s="325">
        <v>45418</v>
      </c>
      <c r="K1090" s="357"/>
      <c r="L1090" s="357"/>
      <c r="M1090" s="357"/>
      <c r="N1090" s="357"/>
      <c r="O1090" s="357"/>
      <c r="P1090" s="357"/>
      <c r="Q1090" s="8"/>
      <c r="R1090" s="8"/>
      <c r="S1090" s="8"/>
    </row>
    <row r="1091" spans="1:23" ht="28.5" customHeight="1">
      <c r="B1091" s="322" t="s">
        <v>799</v>
      </c>
      <c r="J1091" s="326">
        <f>J1090</f>
        <v>45418</v>
      </c>
      <c r="K1091" s="358"/>
      <c r="L1091" s="358"/>
      <c r="M1091" s="358"/>
      <c r="N1091" s="358"/>
      <c r="O1091" s="358"/>
      <c r="P1091" s="358"/>
      <c r="W1091" s="1"/>
    </row>
    <row r="1092" spans="1:23" ht="22.5" customHeight="1">
      <c r="B1092" s="321" t="s">
        <v>801</v>
      </c>
      <c r="C1092" s="281"/>
      <c r="D1092" s="282"/>
      <c r="E1092" s="282"/>
      <c r="F1092" s="282"/>
      <c r="G1092" s="282"/>
      <c r="H1092" s="282"/>
      <c r="I1092" s="282"/>
      <c r="J1092" s="327">
        <f>J1352</f>
        <v>55582</v>
      </c>
      <c r="K1092" s="359"/>
      <c r="L1092" s="359"/>
      <c r="M1092" s="359"/>
      <c r="N1092" s="359"/>
      <c r="O1092" s="359"/>
      <c r="P1092" s="359"/>
    </row>
    <row r="1093" spans="1:23" ht="14.25">
      <c r="A1093" s="285">
        <v>1</v>
      </c>
      <c r="B1093" s="446" t="s">
        <v>545</v>
      </c>
      <c r="C1093" s="447"/>
      <c r="D1093" s="448"/>
      <c r="E1093" s="448"/>
      <c r="F1093" s="448"/>
      <c r="G1093" s="448"/>
      <c r="H1093" s="448"/>
      <c r="I1093" s="448"/>
      <c r="J1093" s="449">
        <f>J1094+J1105</f>
        <v>2952</v>
      </c>
      <c r="K1093" s="360"/>
      <c r="L1093" s="360"/>
      <c r="M1093" s="360"/>
      <c r="N1093" s="360"/>
      <c r="O1093" s="360"/>
      <c r="P1093" s="360"/>
    </row>
    <row r="1094" spans="1:23" ht="14.25">
      <c r="A1094" s="286"/>
      <c r="B1094" s="153" t="s">
        <v>546</v>
      </c>
      <c r="J1094" s="240">
        <f>J1095+J1096+J1097+J1098+J1099+J1100+J1101+J1102+J1103+J1104</f>
        <v>1331</v>
      </c>
      <c r="K1094" s="361"/>
      <c r="L1094" s="361"/>
      <c r="M1094" s="361"/>
      <c r="N1094" s="361"/>
      <c r="O1094" s="361"/>
      <c r="P1094" s="361"/>
    </row>
    <row r="1095" spans="1:23" ht="60">
      <c r="A1095" s="287">
        <v>1</v>
      </c>
      <c r="B1095" s="158" t="s">
        <v>669</v>
      </c>
      <c r="J1095" s="241">
        <v>18</v>
      </c>
      <c r="K1095" s="362"/>
      <c r="L1095" s="362"/>
      <c r="M1095" s="362"/>
      <c r="N1095" s="362"/>
      <c r="O1095" s="362"/>
      <c r="P1095" s="362"/>
    </row>
    <row r="1096" spans="1:23" ht="45">
      <c r="A1096" s="287">
        <v>2</v>
      </c>
      <c r="B1096" s="159" t="s">
        <v>670</v>
      </c>
      <c r="J1096" s="242">
        <v>71</v>
      </c>
      <c r="K1096" s="363"/>
      <c r="L1096" s="363"/>
      <c r="M1096" s="363"/>
      <c r="N1096" s="363"/>
      <c r="O1096" s="363"/>
      <c r="P1096" s="363"/>
    </row>
    <row r="1097" spans="1:23" ht="30">
      <c r="A1097" s="287">
        <v>3</v>
      </c>
      <c r="B1097" s="159" t="s">
        <v>671</v>
      </c>
      <c r="J1097" s="242">
        <v>50</v>
      </c>
      <c r="K1097" s="363"/>
      <c r="L1097" s="363"/>
      <c r="M1097" s="363"/>
      <c r="N1097" s="363"/>
      <c r="O1097" s="363"/>
      <c r="P1097" s="363"/>
    </row>
    <row r="1098" spans="1:23" ht="15">
      <c r="A1098" s="287">
        <v>4</v>
      </c>
      <c r="B1098" s="203" t="s">
        <v>672</v>
      </c>
      <c r="J1098" s="242">
        <v>4</v>
      </c>
      <c r="K1098" s="363"/>
      <c r="L1098" s="363"/>
      <c r="M1098" s="363"/>
      <c r="N1098" s="363"/>
      <c r="O1098" s="363"/>
      <c r="P1098" s="363"/>
    </row>
    <row r="1099" spans="1:23" ht="30">
      <c r="A1099" s="287">
        <v>5</v>
      </c>
      <c r="B1099" s="159" t="s">
        <v>673</v>
      </c>
      <c r="J1099" s="242">
        <v>1110</v>
      </c>
      <c r="K1099" s="363"/>
      <c r="L1099" s="363"/>
      <c r="M1099" s="363"/>
      <c r="N1099" s="363"/>
      <c r="O1099" s="363"/>
      <c r="P1099" s="363"/>
    </row>
    <row r="1100" spans="1:23" ht="43.5" customHeight="1">
      <c r="A1100" s="287">
        <v>6</v>
      </c>
      <c r="B1100" s="158" t="s">
        <v>863</v>
      </c>
      <c r="J1100" s="243">
        <v>14</v>
      </c>
      <c r="K1100" s="364"/>
      <c r="L1100" s="364"/>
      <c r="M1100" s="364"/>
      <c r="N1100" s="364"/>
      <c r="O1100" s="364"/>
      <c r="P1100" s="364"/>
    </row>
    <row r="1101" spans="1:23" ht="30">
      <c r="A1101" s="287">
        <v>7</v>
      </c>
      <c r="B1101" s="158" t="s">
        <v>674</v>
      </c>
      <c r="J1101" s="243">
        <v>44</v>
      </c>
      <c r="K1101" s="364"/>
      <c r="L1101" s="364"/>
      <c r="M1101" s="364"/>
      <c r="N1101" s="364"/>
      <c r="O1101" s="364"/>
      <c r="P1101" s="364"/>
    </row>
    <row r="1102" spans="1:23" ht="30">
      <c r="A1102" s="287">
        <v>8</v>
      </c>
      <c r="B1102" s="158" t="s">
        <v>675</v>
      </c>
      <c r="J1102" s="243">
        <v>5</v>
      </c>
      <c r="K1102" s="364"/>
      <c r="L1102" s="364"/>
      <c r="M1102" s="364"/>
      <c r="N1102" s="364"/>
      <c r="O1102" s="364"/>
      <c r="P1102" s="364"/>
    </row>
    <row r="1103" spans="1:23" ht="30">
      <c r="A1103" s="287">
        <v>9</v>
      </c>
      <c r="B1103" s="158" t="s">
        <v>676</v>
      </c>
      <c r="J1103" s="243">
        <v>9</v>
      </c>
      <c r="K1103" s="364"/>
      <c r="L1103" s="364"/>
      <c r="M1103" s="364"/>
      <c r="N1103" s="364"/>
      <c r="O1103" s="364"/>
      <c r="P1103" s="364"/>
    </row>
    <row r="1104" spans="1:23" ht="30">
      <c r="A1104" s="287">
        <v>10</v>
      </c>
      <c r="B1104" s="158" t="s">
        <v>677</v>
      </c>
      <c r="J1104" s="166">
        <v>6</v>
      </c>
      <c r="K1104" s="365"/>
      <c r="L1104" s="365"/>
      <c r="M1104" s="365"/>
      <c r="N1104" s="365"/>
      <c r="O1104" s="365"/>
      <c r="P1104" s="365"/>
    </row>
    <row r="1105" spans="1:16" ht="15">
      <c r="A1105" s="287"/>
      <c r="B1105" s="205" t="s">
        <v>547</v>
      </c>
      <c r="J1105" s="166">
        <f>J1106+J1107+J1108+J1109+J1110+J1111+J1112+J1113+J1114+J1115+J1116+J1117</f>
        <v>1621</v>
      </c>
      <c r="K1105" s="365"/>
      <c r="L1105" s="365"/>
      <c r="M1105" s="365"/>
      <c r="N1105" s="365"/>
      <c r="O1105" s="365"/>
      <c r="P1105" s="365"/>
    </row>
    <row r="1106" spans="1:16" ht="45">
      <c r="A1106" s="288"/>
      <c r="B1106" s="424" t="s">
        <v>818</v>
      </c>
      <c r="J1106" s="168">
        <v>472</v>
      </c>
      <c r="K1106" s="366"/>
      <c r="L1106" s="366"/>
      <c r="M1106" s="366"/>
      <c r="N1106" s="366"/>
      <c r="O1106" s="366"/>
      <c r="P1106" s="366"/>
    </row>
    <row r="1107" spans="1:16" ht="30">
      <c r="A1107" s="289">
        <v>1</v>
      </c>
      <c r="B1107" s="423" t="s">
        <v>548</v>
      </c>
      <c r="J1107" s="467">
        <f>452-28-28-24-48-31</f>
        <v>293</v>
      </c>
      <c r="K1107" s="369"/>
      <c r="L1107" s="369"/>
      <c r="M1107" s="369"/>
      <c r="N1107" s="369"/>
      <c r="O1107" s="369"/>
      <c r="P1107" s="369"/>
    </row>
    <row r="1108" spans="1:16" ht="15">
      <c r="A1108" s="289"/>
      <c r="B1108" s="423" t="s">
        <v>819</v>
      </c>
      <c r="J1108" s="467">
        <v>100</v>
      </c>
      <c r="K1108" s="369"/>
      <c r="L1108" s="369"/>
      <c r="M1108" s="369"/>
      <c r="N1108" s="369"/>
      <c r="O1108" s="369"/>
      <c r="P1108" s="369"/>
    </row>
    <row r="1109" spans="1:16" ht="15">
      <c r="A1109" s="289"/>
      <c r="B1109" s="423" t="s">
        <v>820</v>
      </c>
      <c r="J1109" s="467">
        <v>10</v>
      </c>
      <c r="K1109" s="369"/>
      <c r="L1109" s="369"/>
      <c r="M1109" s="369"/>
      <c r="N1109" s="369"/>
      <c r="O1109" s="369"/>
      <c r="P1109" s="369"/>
    </row>
    <row r="1110" spans="1:16" ht="15">
      <c r="A1110" s="289"/>
      <c r="B1110" s="423" t="s">
        <v>821</v>
      </c>
      <c r="J1110" s="467">
        <v>21</v>
      </c>
      <c r="K1110" s="369"/>
      <c r="L1110" s="369"/>
      <c r="M1110" s="369"/>
      <c r="N1110" s="369"/>
      <c r="O1110" s="369"/>
      <c r="P1110" s="369"/>
    </row>
    <row r="1111" spans="1:16" ht="60">
      <c r="A1111" s="289">
        <v>2</v>
      </c>
      <c r="B1111" s="175" t="s">
        <v>549</v>
      </c>
      <c r="J1111" s="156">
        <v>83</v>
      </c>
      <c r="K1111" s="369"/>
      <c r="L1111" s="369"/>
      <c r="M1111" s="369"/>
      <c r="N1111" s="369"/>
      <c r="O1111" s="369"/>
      <c r="P1111" s="369"/>
    </row>
    <row r="1112" spans="1:16" ht="60">
      <c r="A1112" s="289">
        <v>3</v>
      </c>
      <c r="B1112" s="158" t="s">
        <v>864</v>
      </c>
      <c r="J1112" s="156">
        <v>2</v>
      </c>
      <c r="K1112" s="369"/>
      <c r="L1112" s="369"/>
      <c r="M1112" s="369"/>
      <c r="N1112" s="369"/>
      <c r="O1112" s="369"/>
      <c r="P1112" s="369"/>
    </row>
    <row r="1113" spans="1:16" ht="60">
      <c r="A1113" s="289">
        <v>4</v>
      </c>
      <c r="B1113" s="159" t="s">
        <v>678</v>
      </c>
      <c r="J1113" s="156">
        <f>54+24</f>
        <v>78</v>
      </c>
      <c r="K1113" s="369"/>
      <c r="L1113" s="369"/>
      <c r="M1113" s="369"/>
      <c r="N1113" s="369"/>
      <c r="O1113" s="369"/>
      <c r="P1113" s="369"/>
    </row>
    <row r="1114" spans="1:16" ht="30">
      <c r="A1114" s="289">
        <v>5</v>
      </c>
      <c r="B1114" s="155" t="s">
        <v>550</v>
      </c>
      <c r="J1114" s="156">
        <v>126</v>
      </c>
      <c r="K1114" s="369"/>
      <c r="L1114" s="369"/>
      <c r="M1114" s="369"/>
      <c r="N1114" s="369"/>
      <c r="O1114" s="369"/>
      <c r="P1114" s="369"/>
    </row>
    <row r="1115" spans="1:16" ht="60">
      <c r="A1115" s="289">
        <v>6</v>
      </c>
      <c r="B1115" s="159" t="s">
        <v>865</v>
      </c>
      <c r="J1115" s="156">
        <v>45</v>
      </c>
      <c r="K1115" s="369"/>
      <c r="L1115" s="369"/>
      <c r="M1115" s="369"/>
      <c r="N1115" s="369"/>
      <c r="O1115" s="369"/>
      <c r="P1115" s="369"/>
    </row>
    <row r="1116" spans="1:16" ht="124.5" customHeight="1">
      <c r="A1116" s="289">
        <v>7</v>
      </c>
      <c r="B1116" s="159" t="s">
        <v>866</v>
      </c>
      <c r="J1116" s="156">
        <v>376</v>
      </c>
      <c r="K1116" s="369"/>
      <c r="L1116" s="369"/>
      <c r="M1116" s="369"/>
      <c r="N1116" s="369"/>
      <c r="O1116" s="369"/>
      <c r="P1116" s="369"/>
    </row>
    <row r="1117" spans="1:16" ht="45">
      <c r="A1117" s="289">
        <v>8</v>
      </c>
      <c r="B1117" s="159" t="s">
        <v>679</v>
      </c>
      <c r="J1117" s="156">
        <v>15</v>
      </c>
      <c r="K1117" s="369"/>
      <c r="L1117" s="369"/>
      <c r="M1117" s="369"/>
      <c r="N1117" s="369"/>
      <c r="O1117" s="369"/>
      <c r="P1117" s="369"/>
    </row>
    <row r="1118" spans="1:16" ht="28.5">
      <c r="A1118" s="289"/>
      <c r="B1118" s="457" t="s">
        <v>815</v>
      </c>
      <c r="C1118" s="452"/>
      <c r="D1118" s="453"/>
      <c r="E1118" s="453"/>
      <c r="F1118" s="453"/>
      <c r="G1118" s="453"/>
      <c r="H1118" s="453"/>
      <c r="I1118" s="453"/>
      <c r="J1118" s="451">
        <f>J1119</f>
        <v>28</v>
      </c>
      <c r="K1118" s="369"/>
      <c r="L1118" s="369"/>
      <c r="M1118" s="369"/>
      <c r="N1118" s="369"/>
      <c r="O1118" s="369"/>
      <c r="P1118" s="369"/>
    </row>
    <row r="1119" spans="1:16" ht="33.75" customHeight="1">
      <c r="A1119" s="289"/>
      <c r="B1119" s="57" t="s">
        <v>816</v>
      </c>
      <c r="J1119" s="156">
        <v>28</v>
      </c>
      <c r="K1119" s="369"/>
      <c r="L1119" s="369"/>
      <c r="M1119" s="369"/>
      <c r="N1119" s="369"/>
      <c r="O1119" s="369"/>
      <c r="P1119" s="369"/>
    </row>
    <row r="1120" spans="1:16" ht="15">
      <c r="A1120" s="289"/>
      <c r="B1120" s="205" t="s">
        <v>547</v>
      </c>
      <c r="J1120" s="156">
        <f>J1121+J1122+J1123+J1125+J1124</f>
        <v>28</v>
      </c>
      <c r="K1120" s="369"/>
      <c r="L1120" s="369"/>
      <c r="M1120" s="369"/>
      <c r="N1120" s="369"/>
      <c r="O1120" s="369"/>
      <c r="P1120" s="369"/>
    </row>
    <row r="1121" spans="1:16" ht="15">
      <c r="A1121" s="289"/>
      <c r="B1121" s="456" t="s">
        <v>855</v>
      </c>
      <c r="J1121" s="156">
        <v>8</v>
      </c>
      <c r="K1121" s="369"/>
      <c r="L1121" s="369"/>
      <c r="M1121" s="369"/>
      <c r="N1121" s="369"/>
      <c r="O1121" s="369"/>
      <c r="P1121" s="369"/>
    </row>
    <row r="1122" spans="1:16" ht="15">
      <c r="A1122" s="289"/>
      <c r="B1122" s="160" t="s">
        <v>856</v>
      </c>
      <c r="J1122" s="156">
        <v>1</v>
      </c>
      <c r="K1122" s="369"/>
      <c r="L1122" s="369"/>
      <c r="M1122" s="369"/>
      <c r="N1122" s="369"/>
      <c r="O1122" s="369"/>
      <c r="P1122" s="369"/>
    </row>
    <row r="1123" spans="1:16" ht="15">
      <c r="A1123" s="289"/>
      <c r="B1123" s="159" t="s">
        <v>857</v>
      </c>
      <c r="J1123" s="156">
        <v>10</v>
      </c>
      <c r="K1123" s="369"/>
      <c r="L1123" s="369"/>
      <c r="M1123" s="369"/>
      <c r="N1123" s="369"/>
      <c r="O1123" s="369"/>
      <c r="P1123" s="369"/>
    </row>
    <row r="1124" spans="1:16" ht="31.5" customHeight="1">
      <c r="A1124" s="289"/>
      <c r="B1124" s="159" t="s">
        <v>858</v>
      </c>
      <c r="J1124" s="156">
        <v>5</v>
      </c>
      <c r="K1124" s="369"/>
      <c r="L1124" s="369"/>
      <c r="M1124" s="369"/>
      <c r="N1124" s="369"/>
      <c r="O1124" s="369"/>
      <c r="P1124" s="369"/>
    </row>
    <row r="1125" spans="1:16" ht="48" customHeight="1">
      <c r="A1125" s="289"/>
      <c r="B1125" s="159" t="s">
        <v>859</v>
      </c>
      <c r="J1125" s="156">
        <v>4</v>
      </c>
      <c r="K1125" s="369"/>
      <c r="L1125" s="369"/>
      <c r="M1125" s="369"/>
      <c r="N1125" s="369"/>
      <c r="O1125" s="369"/>
      <c r="P1125" s="369"/>
    </row>
    <row r="1126" spans="1:16" ht="28.5">
      <c r="A1126" s="290">
        <v>3</v>
      </c>
      <c r="B1126" s="454" t="s">
        <v>602</v>
      </c>
      <c r="C1126" s="447"/>
      <c r="D1126" s="448"/>
      <c r="E1126" s="448"/>
      <c r="F1126" s="448"/>
      <c r="G1126" s="448"/>
      <c r="H1126" s="448"/>
      <c r="I1126" s="448"/>
      <c r="J1126" s="455">
        <v>25</v>
      </c>
      <c r="K1126" s="385"/>
      <c r="L1126" s="385"/>
      <c r="M1126" s="385"/>
      <c r="N1126" s="385"/>
      <c r="O1126" s="385"/>
      <c r="P1126" s="385"/>
    </row>
    <row r="1127" spans="1:16" ht="28.5">
      <c r="A1127" s="291" t="s">
        <v>553</v>
      </c>
      <c r="B1127" s="208" t="s">
        <v>603</v>
      </c>
      <c r="J1127" s="152">
        <v>25</v>
      </c>
      <c r="K1127" s="385"/>
      <c r="L1127" s="385"/>
      <c r="M1127" s="385"/>
      <c r="N1127" s="385"/>
      <c r="O1127" s="385"/>
      <c r="P1127" s="385"/>
    </row>
    <row r="1128" spans="1:16" ht="14.25">
      <c r="A1128" s="292"/>
      <c r="B1128" s="161" t="s">
        <v>547</v>
      </c>
      <c r="J1128" s="162">
        <v>25</v>
      </c>
      <c r="K1128" s="385"/>
      <c r="L1128" s="385"/>
      <c r="M1128" s="385"/>
      <c r="N1128" s="385"/>
      <c r="O1128" s="385"/>
      <c r="P1128" s="385"/>
    </row>
    <row r="1129" spans="1:16" ht="47.25">
      <c r="A1129" s="293">
        <v>1</v>
      </c>
      <c r="B1129" s="207" t="s">
        <v>680</v>
      </c>
      <c r="J1129" s="245">
        <v>25</v>
      </c>
      <c r="K1129" s="378"/>
      <c r="L1129" s="378"/>
      <c r="M1129" s="378"/>
      <c r="N1129" s="378"/>
      <c r="O1129" s="378"/>
      <c r="P1129" s="378"/>
    </row>
    <row r="1130" spans="1:16" ht="14.25">
      <c r="A1130" s="285">
        <v>4</v>
      </c>
      <c r="B1130" s="446" t="s">
        <v>551</v>
      </c>
      <c r="C1130" s="447"/>
      <c r="D1130" s="448"/>
      <c r="E1130" s="448"/>
      <c r="F1130" s="448"/>
      <c r="G1130" s="448"/>
      <c r="H1130" s="448"/>
      <c r="I1130" s="448"/>
      <c r="J1130" s="449">
        <f>J1131+J1134+J1137+J1140+J1143</f>
        <v>215</v>
      </c>
      <c r="K1130" s="373"/>
      <c r="L1130" s="373"/>
      <c r="M1130" s="373"/>
      <c r="N1130" s="373"/>
      <c r="O1130" s="373"/>
      <c r="P1130" s="373"/>
    </row>
    <row r="1131" spans="1:16" ht="28.5">
      <c r="A1131" s="291" t="s">
        <v>604</v>
      </c>
      <c r="B1131" s="208" t="s">
        <v>272</v>
      </c>
      <c r="J1131" s="248">
        <v>60</v>
      </c>
      <c r="K1131" s="427"/>
      <c r="L1131" s="427"/>
      <c r="M1131" s="427"/>
      <c r="N1131" s="427"/>
      <c r="O1131" s="427"/>
      <c r="P1131" s="427"/>
    </row>
    <row r="1132" spans="1:16" ht="14.25">
      <c r="A1132" s="294"/>
      <c r="B1132" s="209" t="s">
        <v>547</v>
      </c>
      <c r="J1132" s="246">
        <v>60</v>
      </c>
      <c r="K1132" s="373"/>
      <c r="L1132" s="373"/>
      <c r="M1132" s="373"/>
      <c r="N1132" s="373"/>
      <c r="O1132" s="373"/>
      <c r="P1132" s="373"/>
    </row>
    <row r="1133" spans="1:16" ht="15">
      <c r="A1133" s="295">
        <v>1</v>
      </c>
      <c r="B1133" s="36" t="s">
        <v>681</v>
      </c>
      <c r="J1133" s="247">
        <v>60</v>
      </c>
      <c r="K1133" s="374"/>
      <c r="L1133" s="374"/>
      <c r="M1133" s="374"/>
      <c r="N1133" s="374"/>
      <c r="O1133" s="374"/>
      <c r="P1133" s="374"/>
    </row>
    <row r="1134" spans="1:16" ht="28.5">
      <c r="A1134" s="291" t="s">
        <v>605</v>
      </c>
      <c r="B1134" s="208" t="s">
        <v>682</v>
      </c>
      <c r="J1134" s="248">
        <v>7</v>
      </c>
      <c r="K1134" s="376"/>
      <c r="L1134" s="376"/>
      <c r="M1134" s="376"/>
      <c r="N1134" s="376"/>
      <c r="O1134" s="376"/>
      <c r="P1134" s="376"/>
    </row>
    <row r="1135" spans="1:16" ht="15">
      <c r="A1135" s="295"/>
      <c r="B1135" s="209" t="s">
        <v>547</v>
      </c>
      <c r="J1135" s="249">
        <v>7</v>
      </c>
      <c r="K1135" s="375"/>
      <c r="L1135" s="375"/>
      <c r="M1135" s="375"/>
      <c r="N1135" s="375"/>
      <c r="O1135" s="375"/>
      <c r="P1135" s="375"/>
    </row>
    <row r="1136" spans="1:16" ht="15">
      <c r="A1136" s="295">
        <v>1</v>
      </c>
      <c r="B1136" s="36" t="s">
        <v>683</v>
      </c>
      <c r="J1136" s="247">
        <v>7</v>
      </c>
      <c r="K1136" s="374"/>
      <c r="L1136" s="374"/>
      <c r="M1136" s="374"/>
      <c r="N1136" s="374"/>
      <c r="O1136" s="374"/>
      <c r="P1136" s="374"/>
    </row>
    <row r="1137" spans="1:16" ht="28.5">
      <c r="A1137" s="291" t="s">
        <v>606</v>
      </c>
      <c r="B1137" s="208" t="s">
        <v>268</v>
      </c>
      <c r="J1137" s="248">
        <v>12</v>
      </c>
      <c r="K1137" s="376"/>
      <c r="L1137" s="376"/>
      <c r="M1137" s="376"/>
      <c r="N1137" s="376"/>
      <c r="O1137" s="376"/>
      <c r="P1137" s="376"/>
    </row>
    <row r="1138" spans="1:16" ht="14.25">
      <c r="A1138" s="294"/>
      <c r="B1138" s="210" t="s">
        <v>547</v>
      </c>
      <c r="J1138" s="250">
        <v>12</v>
      </c>
      <c r="K1138" s="376"/>
      <c r="L1138" s="376"/>
      <c r="M1138" s="376"/>
      <c r="N1138" s="376"/>
      <c r="O1138" s="376"/>
      <c r="P1138" s="376"/>
    </row>
    <row r="1139" spans="1:16" ht="15">
      <c r="A1139" s="295">
        <v>1</v>
      </c>
      <c r="B1139" s="36" t="s">
        <v>684</v>
      </c>
      <c r="J1139" s="247">
        <v>12</v>
      </c>
      <c r="K1139" s="374"/>
      <c r="L1139" s="374"/>
      <c r="M1139" s="374"/>
      <c r="N1139" s="374"/>
      <c r="O1139" s="374"/>
      <c r="P1139" s="374"/>
    </row>
    <row r="1140" spans="1:16" ht="28.5">
      <c r="A1140" s="291" t="s">
        <v>608</v>
      </c>
      <c r="B1140" s="208" t="s">
        <v>685</v>
      </c>
      <c r="J1140" s="248">
        <v>10</v>
      </c>
      <c r="K1140" s="376"/>
      <c r="L1140" s="376"/>
      <c r="M1140" s="376"/>
      <c r="N1140" s="376"/>
      <c r="O1140" s="376"/>
      <c r="P1140" s="376"/>
    </row>
    <row r="1141" spans="1:16" ht="14.25">
      <c r="A1141" s="294"/>
      <c r="B1141" s="209" t="s">
        <v>547</v>
      </c>
      <c r="J1141" s="250">
        <v>10</v>
      </c>
      <c r="K1141" s="376"/>
      <c r="L1141" s="376"/>
      <c r="M1141" s="376"/>
      <c r="N1141" s="376"/>
      <c r="O1141" s="376"/>
      <c r="P1141" s="376"/>
    </row>
    <row r="1142" spans="1:16" ht="15">
      <c r="A1142" s="295">
        <v>1</v>
      </c>
      <c r="B1142" s="36" t="s">
        <v>686</v>
      </c>
      <c r="J1142" s="247">
        <v>10</v>
      </c>
      <c r="K1142" s="374"/>
      <c r="L1142" s="374"/>
      <c r="M1142" s="374"/>
      <c r="N1142" s="374"/>
      <c r="O1142" s="374"/>
      <c r="P1142" s="374"/>
    </row>
    <row r="1143" spans="1:16" ht="28.5">
      <c r="A1143" s="291" t="s">
        <v>609</v>
      </c>
      <c r="B1143" s="208" t="s">
        <v>687</v>
      </c>
      <c r="J1143" s="248">
        <v>126</v>
      </c>
      <c r="K1143" s="376"/>
      <c r="L1143" s="376"/>
      <c r="M1143" s="376"/>
      <c r="N1143" s="376"/>
      <c r="O1143" s="376"/>
      <c r="P1143" s="376"/>
    </row>
    <row r="1144" spans="1:16" ht="15">
      <c r="A1144" s="296"/>
      <c r="B1144" s="161" t="s">
        <v>547</v>
      </c>
      <c r="J1144" s="154">
        <v>126</v>
      </c>
      <c r="K1144" s="385"/>
      <c r="L1144" s="385"/>
      <c r="M1144" s="385"/>
      <c r="N1144" s="385"/>
      <c r="O1144" s="385"/>
      <c r="P1144" s="385"/>
    </row>
    <row r="1145" spans="1:16" ht="15">
      <c r="A1145" s="297">
        <v>1</v>
      </c>
      <c r="B1145" s="206" t="s">
        <v>688</v>
      </c>
      <c r="J1145" s="251">
        <v>106</v>
      </c>
      <c r="K1145" s="378"/>
      <c r="L1145" s="378"/>
      <c r="M1145" s="378"/>
      <c r="N1145" s="378"/>
      <c r="O1145" s="378"/>
      <c r="P1145" s="378"/>
    </row>
    <row r="1146" spans="1:16" ht="15">
      <c r="A1146" s="297">
        <v>2</v>
      </c>
      <c r="B1146" s="211" t="s">
        <v>689</v>
      </c>
      <c r="J1146" s="251">
        <v>5</v>
      </c>
      <c r="K1146" s="378"/>
      <c r="L1146" s="378"/>
      <c r="M1146" s="378"/>
      <c r="N1146" s="378"/>
      <c r="O1146" s="378"/>
      <c r="P1146" s="378"/>
    </row>
    <row r="1147" spans="1:16" ht="30">
      <c r="A1147" s="297">
        <v>3</v>
      </c>
      <c r="B1147" s="54" t="s">
        <v>690</v>
      </c>
      <c r="J1147" s="251">
        <v>15</v>
      </c>
      <c r="K1147" s="378"/>
      <c r="L1147" s="378"/>
      <c r="M1147" s="378"/>
      <c r="N1147" s="378"/>
      <c r="O1147" s="378"/>
      <c r="P1147" s="378"/>
    </row>
    <row r="1148" spans="1:16" ht="14.25">
      <c r="A1148" s="290">
        <v>5</v>
      </c>
      <c r="B1148" s="450" t="s">
        <v>552</v>
      </c>
      <c r="C1148" s="452"/>
      <c r="D1148" s="453"/>
      <c r="E1148" s="453"/>
      <c r="F1148" s="453"/>
      <c r="G1148" s="453"/>
      <c r="H1148" s="453"/>
      <c r="I1148" s="453"/>
      <c r="J1148" s="451">
        <f>J1149+J1192+J1207+J1221+J1233+J1236+J1254+J1213</f>
        <v>29209</v>
      </c>
      <c r="K1148" s="385"/>
      <c r="L1148" s="385"/>
      <c r="M1148" s="385"/>
      <c r="N1148" s="385"/>
      <c r="O1148" s="385"/>
      <c r="P1148" s="385"/>
    </row>
    <row r="1149" spans="1:16" ht="14.25">
      <c r="A1149" s="298" t="s">
        <v>560</v>
      </c>
      <c r="B1149" s="170" t="s">
        <v>554</v>
      </c>
      <c r="J1149" s="167">
        <f>J1150</f>
        <v>25920</v>
      </c>
      <c r="K1149" s="373"/>
      <c r="L1149" s="373"/>
      <c r="M1149" s="373"/>
      <c r="N1149" s="373"/>
      <c r="O1149" s="373"/>
      <c r="P1149" s="373"/>
    </row>
    <row r="1150" spans="1:16" ht="14.25">
      <c r="A1150" s="299"/>
      <c r="B1150" s="161" t="s">
        <v>547</v>
      </c>
      <c r="J1150" s="154">
        <f>SUM(J1151:J1181)</f>
        <v>25920</v>
      </c>
      <c r="K1150" s="385"/>
      <c r="L1150" s="385"/>
      <c r="M1150" s="385"/>
      <c r="N1150" s="385"/>
      <c r="O1150" s="385"/>
      <c r="P1150" s="385"/>
    </row>
    <row r="1151" spans="1:16" ht="30">
      <c r="A1151" s="299"/>
      <c r="B1151" s="434" t="s">
        <v>867</v>
      </c>
      <c r="J1151" s="328">
        <v>22365</v>
      </c>
      <c r="K1151" s="385"/>
      <c r="L1151" s="385"/>
      <c r="M1151" s="385"/>
      <c r="N1151" s="385"/>
      <c r="O1151" s="385"/>
      <c r="P1151" s="385"/>
    </row>
    <row r="1152" spans="1:16" ht="26.25">
      <c r="A1152" s="299"/>
      <c r="B1152" s="435" t="s">
        <v>822</v>
      </c>
      <c r="J1152" s="328">
        <v>1038</v>
      </c>
      <c r="K1152" s="385"/>
      <c r="L1152" s="385"/>
      <c r="M1152" s="385"/>
      <c r="N1152" s="385"/>
      <c r="O1152" s="385"/>
      <c r="P1152" s="385"/>
    </row>
    <row r="1153" spans="1:16" ht="15">
      <c r="A1153" s="299"/>
      <c r="B1153" s="436" t="s">
        <v>823</v>
      </c>
      <c r="J1153" s="328">
        <v>200</v>
      </c>
      <c r="K1153" s="385"/>
      <c r="L1153" s="385"/>
      <c r="M1153" s="385"/>
      <c r="N1153" s="385"/>
      <c r="O1153" s="385"/>
      <c r="P1153" s="385"/>
    </row>
    <row r="1154" spans="1:16" ht="15">
      <c r="A1154" s="299"/>
      <c r="B1154" s="436" t="s">
        <v>824</v>
      </c>
      <c r="J1154" s="328">
        <v>200</v>
      </c>
      <c r="K1154" s="385"/>
      <c r="L1154" s="385"/>
      <c r="M1154" s="385"/>
      <c r="N1154" s="385"/>
      <c r="O1154" s="385"/>
      <c r="P1154" s="385"/>
    </row>
    <row r="1155" spans="1:16" ht="25.5">
      <c r="A1155" s="299"/>
      <c r="B1155" s="437" t="s">
        <v>825</v>
      </c>
      <c r="J1155" s="328">
        <v>200</v>
      </c>
      <c r="K1155" s="385"/>
      <c r="L1155" s="385"/>
      <c r="M1155" s="385"/>
      <c r="N1155" s="385"/>
      <c r="O1155" s="385"/>
      <c r="P1155" s="385"/>
    </row>
    <row r="1156" spans="1:16" ht="15">
      <c r="A1156" s="299"/>
      <c r="B1156" s="437" t="s">
        <v>826</v>
      </c>
      <c r="J1156" s="328">
        <v>90</v>
      </c>
      <c r="K1156" s="385"/>
      <c r="L1156" s="385"/>
      <c r="M1156" s="385"/>
      <c r="N1156" s="385"/>
      <c r="O1156" s="385"/>
      <c r="P1156" s="385"/>
    </row>
    <row r="1157" spans="1:16" ht="15">
      <c r="A1157" s="299"/>
      <c r="B1157" s="437" t="s">
        <v>827</v>
      </c>
      <c r="J1157" s="328">
        <v>60</v>
      </c>
      <c r="K1157" s="385"/>
      <c r="L1157" s="385"/>
      <c r="M1157" s="385"/>
      <c r="N1157" s="385"/>
      <c r="O1157" s="385"/>
      <c r="P1157" s="385"/>
    </row>
    <row r="1158" spans="1:16" ht="15">
      <c r="A1158" s="299"/>
      <c r="B1158" s="437" t="s">
        <v>828</v>
      </c>
      <c r="J1158" s="328">
        <v>7</v>
      </c>
      <c r="K1158" s="385"/>
      <c r="L1158" s="385"/>
      <c r="M1158" s="385"/>
      <c r="N1158" s="385"/>
      <c r="O1158" s="385"/>
      <c r="P1158" s="385"/>
    </row>
    <row r="1159" spans="1:16" ht="15">
      <c r="A1159" s="299"/>
      <c r="B1159" s="437" t="s">
        <v>829</v>
      </c>
      <c r="J1159" s="328">
        <v>15</v>
      </c>
      <c r="K1159" s="385"/>
      <c r="L1159" s="385"/>
      <c r="M1159" s="385"/>
      <c r="N1159" s="385"/>
      <c r="O1159" s="385"/>
      <c r="P1159" s="385"/>
    </row>
    <row r="1160" spans="1:16" ht="15">
      <c r="A1160" s="299"/>
      <c r="B1160" s="437" t="s">
        <v>830</v>
      </c>
      <c r="J1160" s="328">
        <v>12</v>
      </c>
      <c r="K1160" s="385"/>
      <c r="L1160" s="385"/>
      <c r="M1160" s="385"/>
      <c r="N1160" s="385"/>
      <c r="O1160" s="385"/>
      <c r="P1160" s="385"/>
    </row>
    <row r="1161" spans="1:16" ht="0.75" customHeight="1">
      <c r="A1161" s="299"/>
      <c r="B1161" s="438" t="s">
        <v>831</v>
      </c>
      <c r="J1161" s="433"/>
      <c r="K1161" s="385"/>
      <c r="L1161" s="385"/>
      <c r="M1161" s="385"/>
      <c r="N1161" s="385"/>
      <c r="O1161" s="385"/>
      <c r="P1161" s="385"/>
    </row>
    <row r="1162" spans="1:16" ht="15">
      <c r="A1162" s="299"/>
      <c r="B1162" s="437" t="s">
        <v>832</v>
      </c>
      <c r="J1162" s="328">
        <v>60</v>
      </c>
      <c r="K1162" s="385"/>
      <c r="L1162" s="385"/>
      <c r="M1162" s="385"/>
      <c r="N1162" s="385"/>
      <c r="O1162" s="385"/>
      <c r="P1162" s="385"/>
    </row>
    <row r="1163" spans="1:16" ht="15">
      <c r="A1163" s="299"/>
      <c r="B1163" s="437" t="s">
        <v>833</v>
      </c>
      <c r="J1163" s="328">
        <v>100</v>
      </c>
      <c r="K1163" s="385"/>
      <c r="L1163" s="385"/>
      <c r="M1163" s="385"/>
      <c r="N1163" s="385"/>
      <c r="O1163" s="385"/>
      <c r="P1163" s="385"/>
    </row>
    <row r="1164" spans="1:16" ht="15">
      <c r="A1164" s="299"/>
      <c r="B1164" s="437" t="s">
        <v>834</v>
      </c>
      <c r="J1164" s="328">
        <v>51</v>
      </c>
      <c r="K1164" s="385"/>
      <c r="L1164" s="385"/>
      <c r="M1164" s="385"/>
      <c r="N1164" s="385"/>
      <c r="O1164" s="385"/>
      <c r="P1164" s="385"/>
    </row>
    <row r="1165" spans="1:16" ht="15">
      <c r="A1165" s="299"/>
      <c r="B1165" s="437" t="s">
        <v>835</v>
      </c>
      <c r="J1165" s="328">
        <v>25</v>
      </c>
      <c r="K1165" s="385"/>
      <c r="L1165" s="385"/>
      <c r="M1165" s="385"/>
      <c r="N1165" s="385"/>
      <c r="O1165" s="385"/>
      <c r="P1165" s="385"/>
    </row>
    <row r="1166" spans="1:16" ht="15">
      <c r="A1166" s="299"/>
      <c r="B1166" s="437" t="s">
        <v>836</v>
      </c>
      <c r="J1166" s="328">
        <v>20</v>
      </c>
      <c r="K1166" s="385"/>
      <c r="L1166" s="385"/>
      <c r="M1166" s="385"/>
      <c r="N1166" s="385"/>
      <c r="O1166" s="385"/>
      <c r="P1166" s="385"/>
    </row>
    <row r="1167" spans="1:16" ht="15">
      <c r="A1167" s="299"/>
      <c r="B1167" s="437" t="s">
        <v>837</v>
      </c>
      <c r="J1167" s="328">
        <v>60</v>
      </c>
      <c r="K1167" s="385"/>
      <c r="L1167" s="385"/>
      <c r="M1167" s="385"/>
      <c r="N1167" s="385"/>
      <c r="O1167" s="385"/>
      <c r="P1167" s="385"/>
    </row>
    <row r="1168" spans="1:16" ht="15">
      <c r="A1168" s="299"/>
      <c r="B1168" s="437" t="s">
        <v>838</v>
      </c>
      <c r="J1168" s="328">
        <v>12</v>
      </c>
      <c r="K1168" s="385"/>
      <c r="L1168" s="385"/>
      <c r="M1168" s="385"/>
      <c r="N1168" s="385"/>
      <c r="O1168" s="385"/>
      <c r="P1168" s="385"/>
    </row>
    <row r="1169" spans="1:16" ht="25.5">
      <c r="A1169" s="299"/>
      <c r="B1169" s="437" t="s">
        <v>839</v>
      </c>
      <c r="J1169" s="328">
        <v>12</v>
      </c>
      <c r="K1169" s="385"/>
      <c r="L1169" s="385"/>
      <c r="M1169" s="385"/>
      <c r="N1169" s="385"/>
      <c r="O1169" s="385"/>
      <c r="P1169" s="385"/>
    </row>
    <row r="1170" spans="1:16" ht="15">
      <c r="A1170" s="299"/>
      <c r="B1170" s="437" t="s">
        <v>840</v>
      </c>
      <c r="J1170" s="328">
        <v>20</v>
      </c>
      <c r="K1170" s="385"/>
      <c r="L1170" s="385"/>
      <c r="M1170" s="385"/>
      <c r="N1170" s="385"/>
      <c r="O1170" s="385"/>
      <c r="P1170" s="385"/>
    </row>
    <row r="1171" spans="1:16" ht="15">
      <c r="A1171" s="299"/>
      <c r="B1171" s="437" t="s">
        <v>841</v>
      </c>
      <c r="J1171" s="328">
        <v>110</v>
      </c>
      <c r="K1171" s="385"/>
      <c r="L1171" s="385"/>
      <c r="M1171" s="385"/>
      <c r="N1171" s="385"/>
      <c r="O1171" s="385"/>
      <c r="P1171" s="385"/>
    </row>
    <row r="1172" spans="1:16" ht="15">
      <c r="A1172" s="299"/>
      <c r="B1172" s="437" t="s">
        <v>842</v>
      </c>
      <c r="J1172" s="328">
        <v>15</v>
      </c>
      <c r="K1172" s="385"/>
      <c r="L1172" s="385"/>
      <c r="M1172" s="385"/>
      <c r="N1172" s="385"/>
      <c r="O1172" s="385"/>
      <c r="P1172" s="385"/>
    </row>
    <row r="1173" spans="1:16" ht="43.5" customHeight="1">
      <c r="A1173" s="299"/>
      <c r="B1173" s="437" t="s">
        <v>843</v>
      </c>
      <c r="J1173" s="328">
        <v>40</v>
      </c>
      <c r="K1173" s="385"/>
      <c r="L1173" s="385"/>
      <c r="M1173" s="385"/>
      <c r="N1173" s="385"/>
      <c r="O1173" s="385"/>
      <c r="P1173" s="385"/>
    </row>
    <row r="1174" spans="1:16" ht="38.25">
      <c r="A1174" s="299"/>
      <c r="B1174" s="437" t="s">
        <v>844</v>
      </c>
      <c r="J1174" s="252">
        <v>5</v>
      </c>
      <c r="K1174" s="385"/>
      <c r="L1174" s="385"/>
      <c r="M1174" s="385"/>
      <c r="N1174" s="385"/>
      <c r="O1174" s="385"/>
      <c r="P1174" s="385"/>
    </row>
    <row r="1175" spans="1:16" ht="39">
      <c r="A1175" s="299"/>
      <c r="B1175" s="439" t="s">
        <v>868</v>
      </c>
      <c r="J1175" s="252">
        <v>29</v>
      </c>
      <c r="K1175" s="385"/>
      <c r="L1175" s="385"/>
      <c r="M1175" s="385"/>
      <c r="N1175" s="385"/>
      <c r="O1175" s="385"/>
      <c r="P1175" s="385"/>
    </row>
    <row r="1176" spans="1:16" ht="26.25">
      <c r="A1176" s="299"/>
      <c r="B1176" s="439" t="s">
        <v>869</v>
      </c>
      <c r="J1176" s="252">
        <v>20</v>
      </c>
      <c r="K1176" s="385"/>
      <c r="L1176" s="385"/>
      <c r="M1176" s="385"/>
      <c r="N1176" s="385"/>
      <c r="O1176" s="385"/>
      <c r="P1176" s="385"/>
    </row>
    <row r="1177" spans="1:16" ht="15">
      <c r="A1177" s="299"/>
      <c r="B1177" s="440" t="s">
        <v>845</v>
      </c>
      <c r="J1177" s="252">
        <v>150</v>
      </c>
      <c r="K1177" s="385"/>
      <c r="L1177" s="385"/>
      <c r="M1177" s="385"/>
      <c r="N1177" s="385"/>
      <c r="O1177" s="385"/>
      <c r="P1177" s="385"/>
    </row>
    <row r="1178" spans="1:16" ht="15">
      <c r="A1178" s="299"/>
      <c r="B1178" s="440" t="s">
        <v>846</v>
      </c>
      <c r="J1178" s="252">
        <v>170</v>
      </c>
      <c r="K1178" s="385"/>
      <c r="L1178" s="385"/>
      <c r="M1178" s="385"/>
      <c r="N1178" s="385"/>
      <c r="O1178" s="385"/>
      <c r="P1178" s="385"/>
    </row>
    <row r="1179" spans="1:16" ht="26.25">
      <c r="A1179" s="299"/>
      <c r="B1179" s="322" t="s">
        <v>702</v>
      </c>
      <c r="J1179" s="252">
        <v>369</v>
      </c>
      <c r="K1179" s="385"/>
      <c r="L1179" s="385"/>
      <c r="M1179" s="385"/>
      <c r="N1179" s="385"/>
      <c r="O1179" s="385"/>
      <c r="P1179" s="385"/>
    </row>
    <row r="1180" spans="1:16" ht="51.75">
      <c r="A1180" s="299"/>
      <c r="B1180" s="322" t="s">
        <v>847</v>
      </c>
      <c r="J1180" s="252">
        <v>140</v>
      </c>
      <c r="K1180" s="385"/>
      <c r="L1180" s="385"/>
      <c r="M1180" s="385"/>
      <c r="N1180" s="385"/>
      <c r="O1180" s="385"/>
      <c r="P1180" s="385"/>
    </row>
    <row r="1181" spans="1:16" ht="26.25">
      <c r="A1181" s="299"/>
      <c r="B1181" s="439" t="s">
        <v>704</v>
      </c>
      <c r="J1181" s="247">
        <v>325</v>
      </c>
      <c r="K1181" s="385"/>
      <c r="L1181" s="385"/>
      <c r="M1181" s="385"/>
      <c r="N1181" s="385"/>
      <c r="O1181" s="385"/>
      <c r="P1181" s="385"/>
    </row>
    <row r="1182" spans="1:16" ht="14.25" hidden="1">
      <c r="A1182" s="298" t="s">
        <v>563</v>
      </c>
      <c r="B1182" s="170" t="s">
        <v>555</v>
      </c>
      <c r="J1182" s="167">
        <v>0</v>
      </c>
      <c r="K1182" s="360"/>
      <c r="L1182" s="360"/>
      <c r="M1182" s="360"/>
      <c r="N1182" s="360"/>
      <c r="O1182" s="360"/>
      <c r="P1182" s="360"/>
    </row>
    <row r="1183" spans="1:16" ht="14.25" hidden="1">
      <c r="A1183" s="301"/>
      <c r="B1183" s="209" t="s">
        <v>547</v>
      </c>
      <c r="J1183" s="168">
        <v>0</v>
      </c>
      <c r="K1183" s="366"/>
      <c r="L1183" s="366"/>
      <c r="M1183" s="366"/>
      <c r="N1183" s="366"/>
      <c r="O1183" s="366"/>
      <c r="P1183" s="366"/>
    </row>
    <row r="1184" spans="1:16" ht="15" hidden="1">
      <c r="A1184" s="295">
        <v>1</v>
      </c>
      <c r="B1184" s="212" t="s">
        <v>707</v>
      </c>
      <c r="J1184" s="231"/>
      <c r="K1184" s="379"/>
      <c r="L1184" s="379"/>
      <c r="M1184" s="379"/>
      <c r="N1184" s="379"/>
      <c r="O1184" s="379"/>
      <c r="P1184" s="379"/>
    </row>
    <row r="1185" spans="1:16" ht="45" hidden="1">
      <c r="A1185" s="295">
        <v>2</v>
      </c>
      <c r="B1185" s="213" t="s">
        <v>708</v>
      </c>
      <c r="J1185" s="231"/>
      <c r="K1185" s="379"/>
      <c r="L1185" s="379"/>
      <c r="M1185" s="379"/>
      <c r="N1185" s="379"/>
      <c r="O1185" s="379"/>
      <c r="P1185" s="379"/>
    </row>
    <row r="1186" spans="1:16" ht="30" hidden="1">
      <c r="A1186" s="295">
        <v>3</v>
      </c>
      <c r="B1186" s="213" t="s">
        <v>709</v>
      </c>
      <c r="J1186" s="231"/>
      <c r="K1186" s="379"/>
      <c r="L1186" s="379"/>
      <c r="M1186" s="379"/>
      <c r="N1186" s="379"/>
      <c r="O1186" s="379"/>
      <c r="P1186" s="379"/>
    </row>
    <row r="1187" spans="1:16" ht="45" hidden="1">
      <c r="A1187" s="295">
        <v>4</v>
      </c>
      <c r="B1187" s="213" t="s">
        <v>710</v>
      </c>
      <c r="J1187" s="231"/>
      <c r="K1187" s="379"/>
      <c r="L1187" s="379"/>
      <c r="M1187" s="379"/>
      <c r="N1187" s="379"/>
      <c r="O1187" s="379"/>
      <c r="P1187" s="379"/>
    </row>
    <row r="1188" spans="1:16" ht="30" hidden="1">
      <c r="A1188" s="295">
        <v>5</v>
      </c>
      <c r="B1188" s="213" t="s">
        <v>711</v>
      </c>
      <c r="J1188" s="231"/>
      <c r="K1188" s="379"/>
      <c r="L1188" s="379"/>
      <c r="M1188" s="379"/>
      <c r="N1188" s="379"/>
      <c r="O1188" s="379"/>
      <c r="P1188" s="379"/>
    </row>
    <row r="1189" spans="1:16" ht="15" hidden="1">
      <c r="A1189" s="295">
        <v>6</v>
      </c>
      <c r="B1189" s="213" t="s">
        <v>712</v>
      </c>
      <c r="J1189" s="231"/>
      <c r="K1189" s="379"/>
      <c r="L1189" s="379"/>
      <c r="M1189" s="379"/>
      <c r="N1189" s="379"/>
      <c r="O1189" s="379"/>
      <c r="P1189" s="379"/>
    </row>
    <row r="1190" spans="1:16" ht="15" hidden="1">
      <c r="A1190" s="295">
        <v>7</v>
      </c>
      <c r="B1190" s="214" t="s">
        <v>713</v>
      </c>
      <c r="J1190" s="231"/>
      <c r="K1190" s="379"/>
      <c r="L1190" s="379"/>
      <c r="M1190" s="379"/>
      <c r="N1190" s="379"/>
      <c r="O1190" s="379"/>
      <c r="P1190" s="379"/>
    </row>
    <row r="1191" spans="1:16" ht="15" hidden="1">
      <c r="A1191" s="295">
        <v>8</v>
      </c>
      <c r="B1191" s="215" t="s">
        <v>714</v>
      </c>
      <c r="J1191" s="231"/>
      <c r="K1191" s="379"/>
      <c r="L1191" s="379"/>
      <c r="M1191" s="379"/>
      <c r="N1191" s="379"/>
      <c r="O1191" s="379"/>
      <c r="P1191" s="379"/>
    </row>
    <row r="1192" spans="1:16" ht="28.5">
      <c r="A1192" s="298" t="s">
        <v>565</v>
      </c>
      <c r="B1192" s="169" t="s">
        <v>607</v>
      </c>
      <c r="J1192" s="167">
        <f>J1193</f>
        <v>709</v>
      </c>
      <c r="K1192" s="373"/>
      <c r="L1192" s="373"/>
      <c r="M1192" s="373"/>
      <c r="N1192" s="373"/>
      <c r="O1192" s="373"/>
      <c r="P1192" s="373"/>
    </row>
    <row r="1193" spans="1:16" ht="14.25">
      <c r="A1193" s="302"/>
      <c r="B1193" s="209" t="s">
        <v>547</v>
      </c>
      <c r="J1193" s="168">
        <f>SUM(J1194:J1205)</f>
        <v>709</v>
      </c>
      <c r="K1193" s="366"/>
      <c r="L1193" s="366"/>
      <c r="M1193" s="366"/>
      <c r="N1193" s="366"/>
      <c r="O1193" s="366"/>
      <c r="P1193" s="366"/>
    </row>
    <row r="1194" spans="1:16" ht="15">
      <c r="A1194" s="288">
        <v>1</v>
      </c>
      <c r="B1194" s="164" t="s">
        <v>715</v>
      </c>
      <c r="J1194" s="166">
        <v>58</v>
      </c>
      <c r="K1194" s="365"/>
      <c r="L1194" s="365"/>
      <c r="M1194" s="365"/>
      <c r="N1194" s="365"/>
      <c r="O1194" s="365"/>
      <c r="P1194" s="365"/>
    </row>
    <row r="1195" spans="1:16" ht="15">
      <c r="A1195" s="288">
        <v>2</v>
      </c>
      <c r="B1195" s="164" t="s">
        <v>870</v>
      </c>
      <c r="J1195" s="166">
        <v>99</v>
      </c>
      <c r="K1195" s="365"/>
      <c r="L1195" s="365"/>
      <c r="M1195" s="365"/>
      <c r="N1195" s="365"/>
      <c r="O1195" s="365"/>
      <c r="P1195" s="365"/>
    </row>
    <row r="1196" spans="1:16" ht="15">
      <c r="A1196" s="288">
        <v>3</v>
      </c>
      <c r="B1196" s="164" t="s">
        <v>716</v>
      </c>
      <c r="J1196" s="166">
        <v>190</v>
      </c>
      <c r="K1196" s="365"/>
      <c r="L1196" s="365"/>
      <c r="M1196" s="365"/>
      <c r="N1196" s="365"/>
      <c r="O1196" s="365"/>
      <c r="P1196" s="365"/>
    </row>
    <row r="1197" spans="1:16" ht="30">
      <c r="A1197" s="288">
        <v>4</v>
      </c>
      <c r="B1197" s="165" t="s">
        <v>871</v>
      </c>
      <c r="J1197" s="166">
        <v>30</v>
      </c>
      <c r="K1197" s="365"/>
      <c r="L1197" s="365"/>
      <c r="M1197" s="365"/>
      <c r="N1197" s="365"/>
      <c r="O1197" s="365"/>
      <c r="P1197" s="365"/>
    </row>
    <row r="1198" spans="1:16" ht="15">
      <c r="A1198" s="288">
        <v>5</v>
      </c>
      <c r="B1198" s="164" t="s">
        <v>873</v>
      </c>
      <c r="J1198" s="166">
        <v>137</v>
      </c>
      <c r="K1198" s="365"/>
      <c r="L1198" s="365"/>
      <c r="M1198" s="365"/>
      <c r="N1198" s="365"/>
      <c r="O1198" s="365"/>
      <c r="P1198" s="365"/>
    </row>
    <row r="1199" spans="1:16" ht="30">
      <c r="A1199" s="288">
        <v>6</v>
      </c>
      <c r="B1199" s="165" t="s">
        <v>874</v>
      </c>
      <c r="J1199" s="166">
        <v>20</v>
      </c>
      <c r="K1199" s="365"/>
      <c r="L1199" s="365"/>
      <c r="M1199" s="365"/>
      <c r="N1199" s="365"/>
      <c r="O1199" s="365"/>
      <c r="P1199" s="365"/>
    </row>
    <row r="1200" spans="1:16" ht="15">
      <c r="A1200" s="288">
        <v>7</v>
      </c>
      <c r="B1200" s="164" t="s">
        <v>875</v>
      </c>
      <c r="J1200" s="166">
        <v>18</v>
      </c>
      <c r="K1200" s="365"/>
      <c r="L1200" s="365"/>
      <c r="M1200" s="365"/>
      <c r="N1200" s="365"/>
      <c r="O1200" s="365"/>
      <c r="P1200" s="365"/>
    </row>
    <row r="1201" spans="1:17" ht="30">
      <c r="A1201" s="288">
        <v>8</v>
      </c>
      <c r="B1201" s="165" t="s">
        <v>876</v>
      </c>
      <c r="J1201" s="166">
        <v>78</v>
      </c>
      <c r="K1201" s="365"/>
      <c r="L1201" s="365"/>
      <c r="M1201" s="365"/>
      <c r="N1201" s="365"/>
      <c r="O1201" s="365"/>
      <c r="P1201" s="365"/>
    </row>
    <row r="1202" spans="1:17" ht="15">
      <c r="A1202" s="288">
        <v>9</v>
      </c>
      <c r="B1202" s="164" t="s">
        <v>717</v>
      </c>
      <c r="J1202" s="166">
        <v>21</v>
      </c>
      <c r="K1202" s="365"/>
      <c r="L1202" s="365"/>
      <c r="M1202" s="365"/>
      <c r="N1202" s="365"/>
      <c r="O1202" s="365"/>
      <c r="P1202" s="365"/>
    </row>
    <row r="1203" spans="1:17" ht="15">
      <c r="A1203" s="288">
        <v>10</v>
      </c>
      <c r="B1203" s="164" t="s">
        <v>718</v>
      </c>
      <c r="J1203" s="166">
        <v>21</v>
      </c>
      <c r="K1203" s="365"/>
      <c r="L1203" s="365"/>
      <c r="M1203" s="365"/>
      <c r="N1203" s="365"/>
      <c r="O1203" s="365"/>
      <c r="P1203" s="365"/>
    </row>
    <row r="1204" spans="1:17" ht="15">
      <c r="A1204" s="288">
        <v>11</v>
      </c>
      <c r="B1204" s="164" t="s">
        <v>872</v>
      </c>
      <c r="J1204" s="166">
        <v>16</v>
      </c>
      <c r="K1204" s="365"/>
      <c r="L1204" s="365"/>
      <c r="M1204" s="365"/>
      <c r="N1204" s="365"/>
      <c r="O1204" s="365"/>
      <c r="P1204" s="365"/>
    </row>
    <row r="1205" spans="1:17" ht="15">
      <c r="A1205" s="288">
        <v>12</v>
      </c>
      <c r="B1205" s="164" t="s">
        <v>719</v>
      </c>
      <c r="J1205" s="166">
        <v>21</v>
      </c>
      <c r="K1205" s="365"/>
      <c r="L1205" s="365"/>
      <c r="M1205" s="365"/>
      <c r="N1205" s="365"/>
      <c r="O1205" s="365"/>
      <c r="P1205" s="365"/>
    </row>
    <row r="1206" spans="1:17" ht="15" hidden="1">
      <c r="A1206" s="288">
        <v>13</v>
      </c>
      <c r="B1206" s="164" t="s">
        <v>720</v>
      </c>
      <c r="J1206" s="253"/>
      <c r="K1206" s="432"/>
      <c r="L1206" s="432"/>
      <c r="M1206" s="432"/>
      <c r="N1206" s="432"/>
      <c r="O1206" s="432"/>
      <c r="P1206" s="432"/>
      <c r="Q1206" s="3"/>
    </row>
    <row r="1207" spans="1:17" ht="14.25">
      <c r="A1207" s="298" t="s">
        <v>566</v>
      </c>
      <c r="B1207" s="170" t="s">
        <v>556</v>
      </c>
      <c r="J1207" s="167">
        <f>J1208</f>
        <v>390</v>
      </c>
      <c r="K1207" s="373"/>
      <c r="L1207" s="373"/>
      <c r="M1207" s="373"/>
      <c r="N1207" s="373"/>
      <c r="O1207" s="373"/>
      <c r="P1207" s="373"/>
      <c r="Q1207" s="3"/>
    </row>
    <row r="1208" spans="1:17" ht="14.25">
      <c r="A1208" s="302"/>
      <c r="B1208" s="209" t="s">
        <v>547</v>
      </c>
      <c r="J1208" s="168">
        <f>J1209+J1210</f>
        <v>390</v>
      </c>
      <c r="K1208" s="366"/>
      <c r="L1208" s="366"/>
      <c r="M1208" s="366"/>
      <c r="N1208" s="366"/>
      <c r="O1208" s="366"/>
      <c r="P1208" s="366"/>
    </row>
    <row r="1209" spans="1:17" ht="30">
      <c r="A1209" s="303" t="s">
        <v>564</v>
      </c>
      <c r="B1209" s="165" t="s">
        <v>721</v>
      </c>
      <c r="J1209" s="166">
        <v>225</v>
      </c>
      <c r="K1209" s="365"/>
      <c r="L1209" s="365"/>
      <c r="M1209" s="365"/>
      <c r="N1209" s="365"/>
      <c r="O1209" s="365"/>
      <c r="P1209" s="365"/>
    </row>
    <row r="1210" spans="1:17" ht="14.25" customHeight="1">
      <c r="A1210" s="303" t="s">
        <v>691</v>
      </c>
      <c r="B1210" s="165" t="s">
        <v>722</v>
      </c>
      <c r="J1210" s="166">
        <v>165</v>
      </c>
      <c r="K1210" s="365"/>
      <c r="L1210" s="365"/>
      <c r="M1210" s="365"/>
      <c r="N1210" s="365"/>
      <c r="O1210" s="365"/>
      <c r="P1210" s="365"/>
    </row>
    <row r="1211" spans="1:17" ht="30" hidden="1">
      <c r="A1211" s="303" t="s">
        <v>692</v>
      </c>
      <c r="B1211" s="165" t="s">
        <v>723</v>
      </c>
      <c r="J1211" s="166"/>
      <c r="K1211" s="365"/>
      <c r="L1211" s="365"/>
      <c r="M1211" s="365"/>
      <c r="N1211" s="365"/>
      <c r="O1211" s="365"/>
      <c r="P1211" s="365"/>
    </row>
    <row r="1212" spans="1:17" ht="15" hidden="1">
      <c r="A1212" s="303" t="s">
        <v>693</v>
      </c>
      <c r="B1212" s="165" t="s">
        <v>724</v>
      </c>
      <c r="J1212" s="166"/>
      <c r="K1212" s="365"/>
      <c r="L1212" s="365"/>
      <c r="M1212" s="365"/>
      <c r="N1212" s="365"/>
      <c r="O1212" s="365"/>
      <c r="P1212" s="365"/>
    </row>
    <row r="1213" spans="1:17" ht="29.25">
      <c r="A1213" s="303"/>
      <c r="B1213" s="445" t="s">
        <v>611</v>
      </c>
      <c r="C1213" s="428"/>
      <c r="D1213" s="429"/>
      <c r="E1213" s="429"/>
      <c r="F1213" s="429"/>
      <c r="G1213" s="429"/>
      <c r="H1213" s="429"/>
      <c r="I1213" s="429"/>
      <c r="J1213" s="431">
        <f>J1214</f>
        <v>124</v>
      </c>
      <c r="K1213" s="365"/>
      <c r="L1213" s="365"/>
      <c r="M1213" s="365"/>
      <c r="N1213" s="365"/>
      <c r="O1213" s="365"/>
      <c r="P1213" s="365"/>
    </row>
    <row r="1214" spans="1:17" ht="15">
      <c r="A1214" s="303"/>
      <c r="B1214" s="209" t="s">
        <v>547</v>
      </c>
      <c r="J1214" s="166">
        <f>J1215+J1216+J1217+J1218+J1219+J1220</f>
        <v>124</v>
      </c>
      <c r="K1214" s="365"/>
      <c r="L1214" s="365"/>
      <c r="M1214" s="365"/>
      <c r="N1214" s="365"/>
      <c r="O1214" s="365"/>
      <c r="P1214" s="365"/>
    </row>
    <row r="1215" spans="1:17" ht="15">
      <c r="A1215" s="303"/>
      <c r="B1215" s="443" t="s">
        <v>848</v>
      </c>
      <c r="J1215" s="444">
        <v>4</v>
      </c>
      <c r="K1215" s="365"/>
      <c r="L1215" s="365"/>
      <c r="M1215" s="365"/>
      <c r="N1215" s="365"/>
      <c r="O1215" s="365"/>
      <c r="P1215" s="365"/>
    </row>
    <row r="1216" spans="1:17" ht="15">
      <c r="A1216" s="303"/>
      <c r="B1216" s="443" t="s">
        <v>849</v>
      </c>
      <c r="J1216" s="444">
        <v>4</v>
      </c>
      <c r="K1216" s="365"/>
      <c r="L1216" s="365"/>
      <c r="M1216" s="365"/>
      <c r="N1216" s="365"/>
      <c r="O1216" s="365"/>
      <c r="P1216" s="365"/>
    </row>
    <row r="1217" spans="1:16" ht="15">
      <c r="A1217" s="303"/>
      <c r="B1217" s="443" t="s">
        <v>850</v>
      </c>
      <c r="J1217" s="444">
        <v>36</v>
      </c>
      <c r="K1217" s="365"/>
      <c r="L1217" s="365"/>
      <c r="M1217" s="365"/>
      <c r="N1217" s="365"/>
      <c r="O1217" s="365"/>
      <c r="P1217" s="365"/>
    </row>
    <row r="1218" spans="1:16" ht="15">
      <c r="A1218" s="303"/>
      <c r="B1218" s="443" t="s">
        <v>851</v>
      </c>
      <c r="J1218" s="444">
        <v>10</v>
      </c>
      <c r="K1218" s="365"/>
      <c r="L1218" s="365"/>
      <c r="M1218" s="365"/>
      <c r="N1218" s="365"/>
      <c r="O1218" s="365"/>
      <c r="P1218" s="365"/>
    </row>
    <row r="1219" spans="1:16" ht="15">
      <c r="A1219" s="303"/>
      <c r="B1219" s="443" t="s">
        <v>852</v>
      </c>
      <c r="J1219" s="444">
        <v>10</v>
      </c>
      <c r="K1219" s="365"/>
      <c r="L1219" s="365"/>
      <c r="M1219" s="365"/>
      <c r="N1219" s="365"/>
      <c r="O1219" s="365"/>
      <c r="P1219" s="365"/>
    </row>
    <row r="1220" spans="1:16" ht="15">
      <c r="A1220" s="303"/>
      <c r="B1220" s="443" t="s">
        <v>853</v>
      </c>
      <c r="J1220" s="444">
        <v>60</v>
      </c>
      <c r="K1220" s="365"/>
      <c r="L1220" s="365"/>
      <c r="M1220" s="365"/>
      <c r="N1220" s="365"/>
      <c r="O1220" s="365"/>
      <c r="P1220" s="365"/>
    </row>
    <row r="1221" spans="1:16" ht="14.25">
      <c r="A1221" s="298" t="s">
        <v>725</v>
      </c>
      <c r="B1221" s="430" t="s">
        <v>610</v>
      </c>
      <c r="C1221" s="425"/>
      <c r="D1221" s="426"/>
      <c r="E1221" s="426"/>
      <c r="F1221" s="426"/>
      <c r="G1221" s="426"/>
      <c r="H1221" s="426"/>
      <c r="I1221" s="426"/>
      <c r="J1221" s="431">
        <f>J1222</f>
        <v>951</v>
      </c>
      <c r="K1221" s="373"/>
      <c r="L1221" s="373"/>
      <c r="M1221" s="373"/>
      <c r="N1221" s="373"/>
      <c r="O1221" s="373"/>
      <c r="P1221" s="373"/>
    </row>
    <row r="1222" spans="1:16" ht="15">
      <c r="A1222" s="304"/>
      <c r="B1222" s="209" t="s">
        <v>547</v>
      </c>
      <c r="J1222" s="168">
        <f>J1223+J1224+J1225+J1226+J1227</f>
        <v>951</v>
      </c>
      <c r="K1222" s="373"/>
      <c r="L1222" s="373"/>
      <c r="M1222" s="373"/>
      <c r="N1222" s="373"/>
      <c r="O1222" s="373"/>
      <c r="P1222" s="373"/>
    </row>
    <row r="1223" spans="1:16" ht="15">
      <c r="A1223" s="304">
        <v>1</v>
      </c>
      <c r="B1223" s="216" t="s">
        <v>726</v>
      </c>
      <c r="J1223" s="254">
        <v>876</v>
      </c>
      <c r="K1223" s="441"/>
      <c r="L1223" s="441"/>
      <c r="M1223" s="441"/>
      <c r="N1223" s="441"/>
      <c r="O1223" s="441"/>
      <c r="P1223" s="441"/>
    </row>
    <row r="1224" spans="1:16" ht="15">
      <c r="A1224" s="304">
        <v>2</v>
      </c>
      <c r="B1224" s="165" t="s">
        <v>727</v>
      </c>
      <c r="J1224" s="254">
        <v>30</v>
      </c>
      <c r="K1224" s="441"/>
      <c r="L1224" s="441"/>
      <c r="M1224" s="441"/>
      <c r="N1224" s="441"/>
      <c r="O1224" s="441"/>
      <c r="P1224" s="441"/>
    </row>
    <row r="1225" spans="1:16" ht="15">
      <c r="A1225" s="304">
        <v>3</v>
      </c>
      <c r="B1225" s="165" t="s">
        <v>728</v>
      </c>
      <c r="J1225" s="254">
        <v>4.4000000000000004</v>
      </c>
      <c r="K1225" s="441"/>
      <c r="L1225" s="441"/>
      <c r="M1225" s="441"/>
      <c r="N1225" s="441"/>
      <c r="O1225" s="441"/>
      <c r="P1225" s="441"/>
    </row>
    <row r="1226" spans="1:16" ht="15">
      <c r="A1226" s="304">
        <v>4</v>
      </c>
      <c r="B1226" s="165" t="s">
        <v>729</v>
      </c>
      <c r="J1226" s="254">
        <v>5.6</v>
      </c>
      <c r="K1226" s="441"/>
      <c r="L1226" s="441"/>
      <c r="M1226" s="441"/>
      <c r="N1226" s="441"/>
      <c r="O1226" s="441"/>
      <c r="P1226" s="441"/>
    </row>
    <row r="1227" spans="1:16" ht="15">
      <c r="A1227" s="304">
        <v>5</v>
      </c>
      <c r="B1227" s="217" t="s">
        <v>730</v>
      </c>
      <c r="J1227" s="254">
        <v>35</v>
      </c>
      <c r="K1227" s="441"/>
      <c r="L1227" s="441"/>
      <c r="M1227" s="441"/>
      <c r="N1227" s="441"/>
      <c r="O1227" s="441"/>
      <c r="P1227" s="441"/>
    </row>
    <row r="1228" spans="1:16" ht="28.5" hidden="1">
      <c r="A1228" s="298" t="s">
        <v>731</v>
      </c>
      <c r="B1228" s="169" t="s">
        <v>611</v>
      </c>
      <c r="J1228" s="167">
        <v>0</v>
      </c>
      <c r="K1228" s="373"/>
      <c r="L1228" s="373"/>
      <c r="M1228" s="373"/>
      <c r="N1228" s="373"/>
      <c r="O1228" s="373"/>
      <c r="P1228" s="373"/>
    </row>
    <row r="1229" spans="1:16" ht="14.25" hidden="1">
      <c r="A1229" s="302"/>
      <c r="B1229" s="209" t="s">
        <v>547</v>
      </c>
      <c r="J1229" s="168">
        <v>0</v>
      </c>
      <c r="K1229" s="373"/>
      <c r="L1229" s="373"/>
      <c r="M1229" s="373"/>
      <c r="N1229" s="373"/>
      <c r="O1229" s="373"/>
      <c r="P1229" s="373"/>
    </row>
    <row r="1230" spans="1:16" ht="15" hidden="1">
      <c r="A1230" s="303" t="s">
        <v>564</v>
      </c>
      <c r="B1230" s="218" t="s">
        <v>732</v>
      </c>
      <c r="J1230" s="166"/>
      <c r="K1230" s="442"/>
      <c r="L1230" s="442"/>
      <c r="M1230" s="442"/>
      <c r="N1230" s="442"/>
      <c r="O1230" s="442"/>
      <c r="P1230" s="442"/>
    </row>
    <row r="1231" spans="1:16" ht="15" hidden="1">
      <c r="A1231" s="303" t="s">
        <v>691</v>
      </c>
      <c r="B1231" s="218" t="s">
        <v>733</v>
      </c>
      <c r="J1231" s="166"/>
      <c r="K1231" s="442"/>
      <c r="L1231" s="442"/>
      <c r="M1231" s="442"/>
      <c r="N1231" s="442"/>
      <c r="O1231" s="442"/>
      <c r="P1231" s="442"/>
    </row>
    <row r="1232" spans="1:16" ht="15" hidden="1">
      <c r="A1232" s="303" t="s">
        <v>692</v>
      </c>
      <c r="B1232" s="174" t="s">
        <v>734</v>
      </c>
      <c r="J1232" s="166"/>
      <c r="K1232" s="442"/>
      <c r="L1232" s="442"/>
      <c r="M1232" s="442"/>
      <c r="N1232" s="442"/>
      <c r="O1232" s="442"/>
      <c r="P1232" s="442"/>
    </row>
    <row r="1233" spans="1:16" ht="14.25">
      <c r="A1233" s="298" t="s">
        <v>735</v>
      </c>
      <c r="B1233" s="170" t="s">
        <v>557</v>
      </c>
      <c r="J1233" s="167">
        <v>180</v>
      </c>
      <c r="K1233" s="373"/>
      <c r="L1233" s="373"/>
      <c r="M1233" s="373"/>
      <c r="N1233" s="373"/>
      <c r="O1233" s="373"/>
      <c r="P1233" s="373"/>
    </row>
    <row r="1234" spans="1:16" ht="14.25">
      <c r="A1234" s="302"/>
      <c r="B1234" s="209" t="s">
        <v>547</v>
      </c>
      <c r="J1234" s="168">
        <v>180</v>
      </c>
      <c r="K1234" s="366"/>
      <c r="L1234" s="366"/>
      <c r="M1234" s="366"/>
      <c r="N1234" s="366"/>
      <c r="O1234" s="366"/>
      <c r="P1234" s="366"/>
    </row>
    <row r="1235" spans="1:16" ht="45">
      <c r="A1235" s="303" t="s">
        <v>564</v>
      </c>
      <c r="B1235" s="157" t="s">
        <v>877</v>
      </c>
      <c r="J1235" s="165">
        <v>180</v>
      </c>
      <c r="K1235" s="380"/>
      <c r="L1235" s="380"/>
      <c r="M1235" s="380"/>
      <c r="N1235" s="380"/>
      <c r="O1235" s="380"/>
      <c r="P1235" s="380"/>
    </row>
    <row r="1236" spans="1:16" ht="14.25">
      <c r="A1236" s="298" t="s">
        <v>736</v>
      </c>
      <c r="B1236" s="170" t="s">
        <v>644</v>
      </c>
      <c r="J1236" s="167">
        <v>900</v>
      </c>
      <c r="K1236" s="373"/>
      <c r="L1236" s="373"/>
      <c r="M1236" s="373"/>
      <c r="N1236" s="373"/>
      <c r="O1236" s="373"/>
      <c r="P1236" s="373"/>
    </row>
    <row r="1237" spans="1:16" ht="14.25">
      <c r="A1237" s="302"/>
      <c r="B1237" s="209" t="s">
        <v>547</v>
      </c>
      <c r="J1237" s="168">
        <v>900</v>
      </c>
      <c r="K1237" s="373"/>
      <c r="L1237" s="373"/>
      <c r="M1237" s="373"/>
      <c r="N1237" s="373"/>
      <c r="O1237" s="373"/>
      <c r="P1237" s="373"/>
    </row>
    <row r="1238" spans="1:16" ht="15" hidden="1">
      <c r="A1238" s="303" t="s">
        <v>564</v>
      </c>
      <c r="B1238" s="220" t="s">
        <v>737</v>
      </c>
      <c r="J1238" s="168"/>
      <c r="K1238" s="373"/>
      <c r="L1238" s="373"/>
      <c r="M1238" s="373"/>
      <c r="N1238" s="373"/>
      <c r="O1238" s="373"/>
      <c r="P1238" s="373"/>
    </row>
    <row r="1239" spans="1:16" ht="30" hidden="1">
      <c r="A1239" s="303" t="s">
        <v>691</v>
      </c>
      <c r="B1239" s="220" t="s">
        <v>738</v>
      </c>
      <c r="J1239" s="168"/>
      <c r="K1239" s="373"/>
      <c r="L1239" s="373"/>
      <c r="M1239" s="373"/>
      <c r="N1239" s="373"/>
      <c r="O1239" s="373"/>
      <c r="P1239" s="373"/>
    </row>
    <row r="1240" spans="1:16" ht="15" hidden="1">
      <c r="A1240" s="303" t="s">
        <v>692</v>
      </c>
      <c r="B1240" s="220" t="s">
        <v>739</v>
      </c>
      <c r="J1240" s="168"/>
      <c r="K1240" s="373"/>
      <c r="L1240" s="373"/>
      <c r="M1240" s="373"/>
      <c r="N1240" s="373"/>
      <c r="O1240" s="373"/>
      <c r="P1240" s="373"/>
    </row>
    <row r="1241" spans="1:16" ht="15" hidden="1">
      <c r="A1241" s="303" t="s">
        <v>693</v>
      </c>
      <c r="B1241" s="219" t="s">
        <v>740</v>
      </c>
      <c r="J1241" s="168"/>
      <c r="K1241" s="373"/>
      <c r="L1241" s="373"/>
      <c r="M1241" s="373"/>
      <c r="N1241" s="373"/>
      <c r="O1241" s="373"/>
      <c r="P1241" s="373"/>
    </row>
    <row r="1242" spans="1:16" ht="15" hidden="1">
      <c r="A1242" s="303" t="s">
        <v>694</v>
      </c>
      <c r="B1242" s="219" t="s">
        <v>741</v>
      </c>
      <c r="J1242" s="168"/>
      <c r="K1242" s="373"/>
      <c r="L1242" s="373"/>
      <c r="M1242" s="373"/>
      <c r="N1242" s="373"/>
      <c r="O1242" s="373"/>
      <c r="P1242" s="373"/>
    </row>
    <row r="1243" spans="1:16" ht="15" hidden="1">
      <c r="A1243" s="303" t="s">
        <v>695</v>
      </c>
      <c r="B1243" s="219" t="s">
        <v>742</v>
      </c>
      <c r="J1243" s="168"/>
      <c r="K1243" s="373"/>
      <c r="L1243" s="373"/>
      <c r="M1243" s="373"/>
      <c r="N1243" s="373"/>
      <c r="O1243" s="373"/>
      <c r="P1243" s="373"/>
    </row>
    <row r="1244" spans="1:16" ht="15" hidden="1">
      <c r="A1244" s="303" t="s">
        <v>696</v>
      </c>
      <c r="B1244" s="219" t="s">
        <v>743</v>
      </c>
      <c r="J1244" s="168"/>
      <c r="K1244" s="373"/>
      <c r="L1244" s="373"/>
      <c r="M1244" s="373"/>
      <c r="N1244" s="373"/>
      <c r="O1244" s="373"/>
      <c r="P1244" s="373"/>
    </row>
    <row r="1245" spans="1:16" ht="15" hidden="1">
      <c r="A1245" s="303" t="s">
        <v>697</v>
      </c>
      <c r="B1245" s="219" t="s">
        <v>744</v>
      </c>
      <c r="J1245" s="168"/>
      <c r="K1245" s="373"/>
      <c r="L1245" s="373"/>
      <c r="M1245" s="373"/>
      <c r="N1245" s="373"/>
      <c r="O1245" s="373"/>
      <c r="P1245" s="373"/>
    </row>
    <row r="1246" spans="1:16" ht="15" hidden="1">
      <c r="A1246" s="303" t="s">
        <v>698</v>
      </c>
      <c r="B1246" s="219" t="s">
        <v>745</v>
      </c>
      <c r="J1246" s="168"/>
      <c r="K1246" s="373"/>
      <c r="L1246" s="373"/>
      <c r="M1246" s="373"/>
      <c r="N1246" s="373"/>
      <c r="O1246" s="373"/>
      <c r="P1246" s="373"/>
    </row>
    <row r="1247" spans="1:16" ht="15" hidden="1">
      <c r="A1247" s="303" t="s">
        <v>699</v>
      </c>
      <c r="B1247" s="219" t="s">
        <v>577</v>
      </c>
      <c r="J1247" s="168"/>
      <c r="K1247" s="373"/>
      <c r="L1247" s="373"/>
      <c r="M1247" s="373"/>
      <c r="N1247" s="373"/>
      <c r="O1247" s="373"/>
      <c r="P1247" s="373"/>
    </row>
    <row r="1248" spans="1:16" ht="15" hidden="1">
      <c r="A1248" s="303" t="s">
        <v>700</v>
      </c>
      <c r="B1248" s="219" t="s">
        <v>746</v>
      </c>
      <c r="J1248" s="168"/>
      <c r="K1248" s="373"/>
      <c r="L1248" s="373"/>
      <c r="M1248" s="373"/>
      <c r="N1248" s="373"/>
      <c r="O1248" s="373"/>
      <c r="P1248" s="373"/>
    </row>
    <row r="1249" spans="1:16" ht="30" hidden="1">
      <c r="A1249" s="303" t="s">
        <v>701</v>
      </c>
      <c r="B1249" s="220" t="s">
        <v>747</v>
      </c>
      <c r="J1249" s="168"/>
      <c r="K1249" s="373"/>
      <c r="L1249" s="373"/>
      <c r="M1249" s="373"/>
      <c r="N1249" s="373"/>
      <c r="O1249" s="373"/>
      <c r="P1249" s="373"/>
    </row>
    <row r="1250" spans="1:16" ht="45" hidden="1">
      <c r="A1250" s="303" t="s">
        <v>703</v>
      </c>
      <c r="B1250" s="220" t="s">
        <v>748</v>
      </c>
      <c r="J1250" s="168"/>
      <c r="K1250" s="373"/>
      <c r="L1250" s="373"/>
      <c r="M1250" s="373"/>
      <c r="N1250" s="373"/>
      <c r="O1250" s="373"/>
      <c r="P1250" s="373"/>
    </row>
    <row r="1251" spans="1:16" ht="30" hidden="1">
      <c r="A1251" s="303" t="s">
        <v>705</v>
      </c>
      <c r="B1251" s="220" t="s">
        <v>749</v>
      </c>
      <c r="J1251" s="168"/>
      <c r="K1251" s="373"/>
      <c r="L1251" s="373"/>
      <c r="M1251" s="373"/>
      <c r="N1251" s="373"/>
      <c r="O1251" s="373"/>
      <c r="P1251" s="373"/>
    </row>
    <row r="1252" spans="1:16" ht="45" hidden="1">
      <c r="A1252" s="303" t="s">
        <v>706</v>
      </c>
      <c r="B1252" s="220" t="s">
        <v>750</v>
      </c>
      <c r="J1252" s="168"/>
      <c r="K1252" s="373"/>
      <c r="L1252" s="373"/>
      <c r="M1252" s="373"/>
      <c r="N1252" s="373"/>
      <c r="O1252" s="373"/>
      <c r="P1252" s="373"/>
    </row>
    <row r="1253" spans="1:16" ht="51" customHeight="1">
      <c r="A1253" s="303" t="s">
        <v>751</v>
      </c>
      <c r="B1253" s="220" t="s">
        <v>752</v>
      </c>
      <c r="J1253" s="166">
        <v>900</v>
      </c>
      <c r="K1253" s="442"/>
      <c r="L1253" s="442"/>
      <c r="M1253" s="442"/>
      <c r="N1253" s="442"/>
      <c r="O1253" s="442"/>
      <c r="P1253" s="442"/>
    </row>
    <row r="1254" spans="1:16" ht="14.25">
      <c r="A1254" s="298" t="s">
        <v>753</v>
      </c>
      <c r="B1254" s="170" t="s">
        <v>558</v>
      </c>
      <c r="J1254" s="167">
        <v>35</v>
      </c>
      <c r="K1254" s="373"/>
      <c r="L1254" s="373"/>
      <c r="M1254" s="373"/>
      <c r="N1254" s="373"/>
      <c r="O1254" s="373"/>
      <c r="P1254" s="373"/>
    </row>
    <row r="1255" spans="1:16" ht="14.25">
      <c r="A1255" s="305"/>
      <c r="B1255" s="209" t="s">
        <v>547</v>
      </c>
      <c r="J1255" s="154">
        <v>35</v>
      </c>
      <c r="K1255" s="385"/>
      <c r="L1255" s="385"/>
      <c r="M1255" s="385"/>
      <c r="N1255" s="385"/>
      <c r="O1255" s="385"/>
      <c r="P1255" s="385"/>
    </row>
    <row r="1256" spans="1:16" ht="15">
      <c r="A1256" s="300" t="s">
        <v>564</v>
      </c>
      <c r="B1256" s="164" t="s">
        <v>754</v>
      </c>
      <c r="J1256" s="166">
        <v>35</v>
      </c>
      <c r="K1256" s="442"/>
      <c r="L1256" s="442"/>
      <c r="M1256" s="442"/>
      <c r="N1256" s="442"/>
      <c r="O1256" s="442"/>
      <c r="P1256" s="442"/>
    </row>
    <row r="1257" spans="1:16" ht="14.25">
      <c r="A1257" s="285">
        <v>6</v>
      </c>
      <c r="B1257" s="446" t="s">
        <v>559</v>
      </c>
      <c r="C1257" s="447"/>
      <c r="D1257" s="448"/>
      <c r="E1257" s="448"/>
      <c r="F1257" s="448"/>
      <c r="G1257" s="448"/>
      <c r="H1257" s="448"/>
      <c r="I1257" s="448"/>
      <c r="J1257" s="449">
        <f>J1258+J1261+J1274+J1277</f>
        <v>430</v>
      </c>
      <c r="K1257" s="373"/>
      <c r="L1257" s="373"/>
      <c r="M1257" s="373"/>
      <c r="N1257" s="373"/>
      <c r="O1257" s="373"/>
      <c r="P1257" s="373"/>
    </row>
    <row r="1258" spans="1:16" ht="28.5">
      <c r="A1258" s="298" t="s">
        <v>569</v>
      </c>
      <c r="B1258" s="169" t="s">
        <v>561</v>
      </c>
      <c r="J1258" s="167">
        <f>J1259</f>
        <v>85</v>
      </c>
      <c r="K1258" s="373"/>
      <c r="L1258" s="373"/>
      <c r="M1258" s="373"/>
      <c r="N1258" s="373"/>
      <c r="O1258" s="373"/>
      <c r="P1258" s="373"/>
    </row>
    <row r="1259" spans="1:16" ht="14.25">
      <c r="A1259" s="306"/>
      <c r="B1259" s="176" t="s">
        <v>546</v>
      </c>
      <c r="J1259" s="255">
        <v>85</v>
      </c>
      <c r="K1259" s="373"/>
      <c r="L1259" s="373"/>
      <c r="M1259" s="373"/>
      <c r="N1259" s="373"/>
      <c r="O1259" s="373"/>
      <c r="P1259" s="373"/>
    </row>
    <row r="1260" spans="1:16" ht="15">
      <c r="A1260" s="289">
        <v>1</v>
      </c>
      <c r="B1260" s="160" t="s">
        <v>562</v>
      </c>
      <c r="J1260" s="256">
        <v>85</v>
      </c>
      <c r="K1260" s="391"/>
      <c r="L1260" s="391"/>
      <c r="M1260" s="391"/>
      <c r="N1260" s="391"/>
      <c r="O1260" s="391"/>
      <c r="P1260" s="391"/>
    </row>
    <row r="1261" spans="1:16" ht="14.25">
      <c r="A1261" s="298" t="s">
        <v>571</v>
      </c>
      <c r="B1261" s="170" t="s">
        <v>320</v>
      </c>
      <c r="J1261" s="167">
        <f>J1262+J1264</f>
        <v>212</v>
      </c>
      <c r="K1261" s="373"/>
      <c r="L1261" s="373"/>
      <c r="M1261" s="373"/>
      <c r="N1261" s="373"/>
      <c r="O1261" s="373"/>
      <c r="P1261" s="373"/>
    </row>
    <row r="1262" spans="1:16" ht="15">
      <c r="A1262" s="307"/>
      <c r="B1262" s="176" t="s">
        <v>546</v>
      </c>
      <c r="J1262" s="168">
        <v>160</v>
      </c>
      <c r="K1262" s="366"/>
      <c r="L1262" s="366"/>
      <c r="M1262" s="366"/>
      <c r="N1262" s="366"/>
      <c r="O1262" s="366"/>
      <c r="P1262" s="366"/>
    </row>
    <row r="1263" spans="1:16" ht="75">
      <c r="A1263" s="308" t="s">
        <v>564</v>
      </c>
      <c r="B1263" s="159" t="s">
        <v>755</v>
      </c>
      <c r="J1263" s="156">
        <v>160</v>
      </c>
      <c r="K1263" s="369"/>
      <c r="L1263" s="369"/>
      <c r="M1263" s="369"/>
      <c r="N1263" s="369"/>
      <c r="O1263" s="369"/>
      <c r="P1263" s="369"/>
    </row>
    <row r="1264" spans="1:16" ht="15">
      <c r="A1264" s="308"/>
      <c r="B1264" s="161" t="s">
        <v>547</v>
      </c>
      <c r="J1264" s="154">
        <f>J1265+J1266</f>
        <v>52</v>
      </c>
      <c r="K1264" s="368"/>
      <c r="L1264" s="368"/>
      <c r="M1264" s="368"/>
      <c r="N1264" s="368"/>
      <c r="O1264" s="368"/>
      <c r="P1264" s="368"/>
    </row>
    <row r="1265" spans="1:16" ht="15">
      <c r="A1265" s="308" t="s">
        <v>691</v>
      </c>
      <c r="B1265" s="159" t="s">
        <v>756</v>
      </c>
      <c r="J1265" s="156">
        <v>16</v>
      </c>
      <c r="K1265" s="369"/>
      <c r="L1265" s="369"/>
      <c r="M1265" s="369"/>
      <c r="N1265" s="369"/>
      <c r="O1265" s="369"/>
      <c r="P1265" s="369"/>
    </row>
    <row r="1266" spans="1:16" ht="15">
      <c r="A1266" s="308" t="s">
        <v>693</v>
      </c>
      <c r="B1266" s="155" t="s">
        <v>757</v>
      </c>
      <c r="J1266" s="156">
        <v>36</v>
      </c>
      <c r="K1266" s="369"/>
      <c r="L1266" s="369"/>
      <c r="M1266" s="369"/>
      <c r="N1266" s="369"/>
      <c r="O1266" s="369"/>
      <c r="P1266" s="369"/>
    </row>
    <row r="1267" spans="1:16" ht="28.5" hidden="1">
      <c r="A1267" s="309" t="s">
        <v>572</v>
      </c>
      <c r="B1267" s="208" t="s">
        <v>328</v>
      </c>
      <c r="J1267" s="152">
        <v>0</v>
      </c>
      <c r="K1267" s="370"/>
      <c r="L1267" s="370"/>
      <c r="M1267" s="370"/>
      <c r="N1267" s="370"/>
      <c r="O1267" s="370"/>
      <c r="P1267" s="370"/>
    </row>
    <row r="1268" spans="1:16" ht="14.25" hidden="1">
      <c r="A1268" s="310"/>
      <c r="B1268" s="161" t="s">
        <v>547</v>
      </c>
      <c r="J1268" s="162">
        <v>0</v>
      </c>
      <c r="K1268" s="371"/>
      <c r="L1268" s="371"/>
      <c r="M1268" s="371"/>
      <c r="N1268" s="371"/>
      <c r="O1268" s="371"/>
      <c r="P1268" s="371"/>
    </row>
    <row r="1269" spans="1:16" ht="15" hidden="1">
      <c r="A1269" s="311" t="s">
        <v>564</v>
      </c>
      <c r="B1269" s="221" t="s">
        <v>758</v>
      </c>
      <c r="J1269" s="206"/>
      <c r="K1269" s="383"/>
      <c r="L1269" s="383"/>
      <c r="M1269" s="383"/>
      <c r="N1269" s="383"/>
      <c r="O1269" s="383"/>
      <c r="P1269" s="383"/>
    </row>
    <row r="1270" spans="1:16" ht="15" hidden="1">
      <c r="A1270" s="311" t="s">
        <v>691</v>
      </c>
      <c r="B1270" s="222" t="s">
        <v>759</v>
      </c>
      <c r="J1270" s="206"/>
      <c r="K1270" s="383"/>
      <c r="L1270" s="383"/>
      <c r="M1270" s="383"/>
      <c r="N1270" s="383"/>
      <c r="O1270" s="383"/>
      <c r="P1270" s="383"/>
    </row>
    <row r="1271" spans="1:16" ht="15" hidden="1">
      <c r="A1271" s="311" t="s">
        <v>692</v>
      </c>
      <c r="B1271" s="221" t="s">
        <v>760</v>
      </c>
      <c r="J1271" s="206"/>
      <c r="K1271" s="383"/>
      <c r="L1271" s="383"/>
      <c r="M1271" s="383"/>
      <c r="N1271" s="383"/>
      <c r="O1271" s="383"/>
      <c r="P1271" s="383"/>
    </row>
    <row r="1272" spans="1:16" ht="15" hidden="1">
      <c r="A1272" s="311" t="s">
        <v>693</v>
      </c>
      <c r="B1272" s="221" t="s">
        <v>761</v>
      </c>
      <c r="J1272" s="206"/>
      <c r="K1272" s="383"/>
      <c r="L1272" s="383"/>
      <c r="M1272" s="383"/>
      <c r="N1272" s="383"/>
      <c r="O1272" s="383"/>
      <c r="P1272" s="383"/>
    </row>
    <row r="1273" spans="1:16" ht="45" hidden="1">
      <c r="A1273" s="311" t="s">
        <v>694</v>
      </c>
      <c r="B1273" s="223" t="s">
        <v>762</v>
      </c>
      <c r="J1273" s="225"/>
      <c r="K1273" s="384"/>
      <c r="L1273" s="384"/>
      <c r="M1273" s="384"/>
      <c r="N1273" s="384"/>
      <c r="O1273" s="384"/>
      <c r="P1273" s="384"/>
    </row>
    <row r="1274" spans="1:16" ht="28.5">
      <c r="A1274" s="309" t="s">
        <v>573</v>
      </c>
      <c r="B1274" s="208" t="s">
        <v>332</v>
      </c>
      <c r="J1274" s="152">
        <f>J1275</f>
        <v>57</v>
      </c>
      <c r="K1274" s="385"/>
      <c r="L1274" s="385"/>
      <c r="M1274" s="385"/>
      <c r="N1274" s="385"/>
      <c r="O1274" s="385"/>
      <c r="P1274" s="385"/>
    </row>
    <row r="1275" spans="1:16" ht="14.25">
      <c r="A1275" s="312"/>
      <c r="B1275" s="224" t="s">
        <v>547</v>
      </c>
      <c r="J1275" s="257">
        <v>57</v>
      </c>
      <c r="K1275" s="385"/>
      <c r="L1275" s="385"/>
      <c r="M1275" s="385"/>
      <c r="N1275" s="385"/>
      <c r="O1275" s="385"/>
      <c r="P1275" s="385"/>
    </row>
    <row r="1276" spans="1:16" ht="15">
      <c r="A1276" s="313" t="s">
        <v>564</v>
      </c>
      <c r="B1276" s="28" t="s">
        <v>763</v>
      </c>
      <c r="J1276" s="258">
        <v>57</v>
      </c>
      <c r="K1276" s="390"/>
      <c r="L1276" s="390"/>
      <c r="M1276" s="390"/>
      <c r="N1276" s="390"/>
      <c r="O1276" s="390"/>
      <c r="P1276" s="390"/>
    </row>
    <row r="1277" spans="1:16" ht="14.25">
      <c r="A1277" s="309" t="s">
        <v>574</v>
      </c>
      <c r="B1277" s="208" t="s">
        <v>567</v>
      </c>
      <c r="J1277" s="152">
        <f>J1278</f>
        <v>76</v>
      </c>
      <c r="K1277" s="385"/>
      <c r="L1277" s="385"/>
      <c r="M1277" s="385"/>
      <c r="N1277" s="385"/>
      <c r="O1277" s="385"/>
      <c r="P1277" s="385"/>
    </row>
    <row r="1278" spans="1:16" ht="14.25">
      <c r="A1278" s="310"/>
      <c r="B1278" s="161" t="s">
        <v>547</v>
      </c>
      <c r="J1278" s="162">
        <f>J1279+J1280</f>
        <v>76</v>
      </c>
      <c r="K1278" s="385"/>
      <c r="L1278" s="385"/>
      <c r="M1278" s="385"/>
      <c r="N1278" s="385"/>
      <c r="O1278" s="385"/>
      <c r="P1278" s="385"/>
    </row>
    <row r="1279" spans="1:16" ht="15">
      <c r="A1279" s="311" t="s">
        <v>564</v>
      </c>
      <c r="B1279" s="206" t="s">
        <v>764</v>
      </c>
      <c r="J1279" s="245">
        <v>30</v>
      </c>
      <c r="K1279" s="372"/>
      <c r="L1279" s="372"/>
      <c r="M1279" s="372"/>
      <c r="N1279" s="372"/>
      <c r="O1279" s="372"/>
      <c r="P1279" s="372"/>
    </row>
    <row r="1280" spans="1:16" ht="15">
      <c r="A1280" s="311" t="s">
        <v>691</v>
      </c>
      <c r="B1280" s="206" t="s">
        <v>765</v>
      </c>
      <c r="J1280" s="245">
        <v>46</v>
      </c>
      <c r="K1280" s="372"/>
      <c r="L1280" s="372"/>
      <c r="M1280" s="372"/>
      <c r="N1280" s="372"/>
      <c r="O1280" s="372"/>
      <c r="P1280" s="372"/>
    </row>
    <row r="1281" spans="1:16" ht="14.25">
      <c r="A1281" s="290">
        <v>7</v>
      </c>
      <c r="B1281" s="450" t="s">
        <v>568</v>
      </c>
      <c r="C1281" s="447"/>
      <c r="D1281" s="448"/>
      <c r="E1281" s="448"/>
      <c r="F1281" s="448"/>
      <c r="G1281" s="448"/>
      <c r="H1281" s="448"/>
      <c r="I1281" s="448"/>
      <c r="J1281" s="451">
        <f>J1282+J1283</f>
        <v>1916</v>
      </c>
      <c r="K1281" s="368"/>
      <c r="L1281" s="368"/>
      <c r="M1281" s="368"/>
      <c r="N1281" s="368"/>
      <c r="O1281" s="368"/>
      <c r="P1281" s="368"/>
    </row>
    <row r="1282" spans="1:16" ht="14.25">
      <c r="A1282" s="290"/>
      <c r="B1282" s="152" t="s">
        <v>547</v>
      </c>
      <c r="J1282" s="152">
        <f>J1285+J1298+J1301+J1304+J1313</f>
        <v>764</v>
      </c>
      <c r="K1282" s="368"/>
      <c r="L1282" s="368"/>
      <c r="M1282" s="368"/>
      <c r="N1282" s="368"/>
      <c r="O1282" s="368"/>
      <c r="P1282" s="368"/>
    </row>
    <row r="1283" spans="1:16" ht="14.25">
      <c r="A1283" s="290"/>
      <c r="B1283" s="152" t="s">
        <v>546</v>
      </c>
      <c r="J1283" s="152">
        <v>1152</v>
      </c>
      <c r="K1283" s="368"/>
      <c r="L1283" s="368"/>
      <c r="M1283" s="368"/>
      <c r="N1283" s="368"/>
      <c r="O1283" s="368"/>
      <c r="P1283" s="368"/>
    </row>
    <row r="1284" spans="1:16" ht="28.5">
      <c r="A1284" s="309" t="s">
        <v>580</v>
      </c>
      <c r="B1284" s="208" t="s">
        <v>570</v>
      </c>
      <c r="J1284" s="152">
        <f>J1285+J1289</f>
        <v>1184</v>
      </c>
      <c r="K1284" s="368"/>
      <c r="L1284" s="368"/>
      <c r="M1284" s="368"/>
      <c r="N1284" s="368"/>
      <c r="O1284" s="368"/>
      <c r="P1284" s="368"/>
    </row>
    <row r="1285" spans="1:16" ht="14.25">
      <c r="A1285" s="314"/>
      <c r="B1285" s="161" t="s">
        <v>547</v>
      </c>
      <c r="J1285" s="162">
        <f>J1286+J1287+J1288</f>
        <v>32</v>
      </c>
      <c r="K1285" s="371"/>
      <c r="L1285" s="371"/>
      <c r="M1285" s="371"/>
      <c r="N1285" s="371"/>
      <c r="O1285" s="371"/>
      <c r="P1285" s="371"/>
    </row>
    <row r="1286" spans="1:16" ht="15">
      <c r="A1286" s="315">
        <v>1</v>
      </c>
      <c r="B1286" s="225" t="s">
        <v>766</v>
      </c>
      <c r="J1286" s="259">
        <v>8</v>
      </c>
      <c r="K1286" s="387"/>
      <c r="L1286" s="387"/>
      <c r="M1286" s="387"/>
      <c r="N1286" s="387"/>
      <c r="O1286" s="387"/>
      <c r="P1286" s="387"/>
    </row>
    <row r="1287" spans="1:16" ht="15">
      <c r="A1287" s="315">
        <v>2</v>
      </c>
      <c r="B1287" s="225" t="s">
        <v>767</v>
      </c>
      <c r="J1287" s="259">
        <v>9</v>
      </c>
      <c r="K1287" s="387"/>
      <c r="L1287" s="387"/>
      <c r="M1287" s="387"/>
      <c r="N1287" s="387"/>
      <c r="O1287" s="387"/>
      <c r="P1287" s="387"/>
    </row>
    <row r="1288" spans="1:16" ht="15">
      <c r="A1288" s="315">
        <v>3</v>
      </c>
      <c r="B1288" s="225" t="s">
        <v>768</v>
      </c>
      <c r="J1288" s="260">
        <v>15</v>
      </c>
      <c r="K1288" s="388"/>
      <c r="L1288" s="388"/>
      <c r="M1288" s="388"/>
      <c r="N1288" s="388"/>
      <c r="O1288" s="388"/>
      <c r="P1288" s="388"/>
    </row>
    <row r="1289" spans="1:16" ht="14.25">
      <c r="A1289" s="314"/>
      <c r="B1289" s="226" t="s">
        <v>546</v>
      </c>
      <c r="J1289" s="261">
        <f>J1290+J1291+J1292+J1293+J1294+J1295+J1296</f>
        <v>1152</v>
      </c>
      <c r="K1289" s="389"/>
      <c r="L1289" s="389"/>
      <c r="M1289" s="389"/>
      <c r="N1289" s="389"/>
      <c r="O1289" s="389"/>
      <c r="P1289" s="389"/>
    </row>
    <row r="1290" spans="1:16" ht="30">
      <c r="A1290" s="289">
        <v>1</v>
      </c>
      <c r="B1290" s="227" t="s">
        <v>769</v>
      </c>
      <c r="J1290" s="251">
        <v>300</v>
      </c>
      <c r="K1290" s="377"/>
      <c r="L1290" s="377"/>
      <c r="M1290" s="377"/>
      <c r="N1290" s="377"/>
      <c r="O1290" s="377"/>
      <c r="P1290" s="377"/>
    </row>
    <row r="1291" spans="1:16" ht="30">
      <c r="A1291" s="289">
        <v>2</v>
      </c>
      <c r="B1291" s="227" t="s">
        <v>614</v>
      </c>
      <c r="J1291" s="251">
        <v>300</v>
      </c>
      <c r="K1291" s="377"/>
      <c r="L1291" s="377"/>
      <c r="M1291" s="377"/>
      <c r="N1291" s="377"/>
      <c r="O1291" s="377"/>
      <c r="P1291" s="377"/>
    </row>
    <row r="1292" spans="1:16" ht="30">
      <c r="A1292" s="289">
        <v>3</v>
      </c>
      <c r="B1292" s="227" t="s">
        <v>615</v>
      </c>
      <c r="J1292" s="251">
        <v>250</v>
      </c>
      <c r="K1292" s="377"/>
      <c r="L1292" s="377"/>
      <c r="M1292" s="377"/>
      <c r="N1292" s="377"/>
      <c r="O1292" s="377"/>
      <c r="P1292" s="377"/>
    </row>
    <row r="1293" spans="1:16" ht="30">
      <c r="A1293" s="289">
        <v>4</v>
      </c>
      <c r="B1293" s="227" t="s">
        <v>770</v>
      </c>
      <c r="J1293" s="251">
        <v>250</v>
      </c>
      <c r="K1293" s="377"/>
      <c r="L1293" s="377"/>
      <c r="M1293" s="377"/>
      <c r="N1293" s="377"/>
      <c r="O1293" s="377"/>
      <c r="P1293" s="377"/>
    </row>
    <row r="1294" spans="1:16" ht="15">
      <c r="A1294" s="289">
        <v>5</v>
      </c>
      <c r="B1294" s="227" t="s">
        <v>771</v>
      </c>
      <c r="J1294" s="251">
        <v>8</v>
      </c>
      <c r="K1294" s="377"/>
      <c r="L1294" s="377"/>
      <c r="M1294" s="377"/>
      <c r="N1294" s="377"/>
      <c r="O1294" s="377"/>
      <c r="P1294" s="377"/>
    </row>
    <row r="1295" spans="1:16" ht="30">
      <c r="A1295" s="289">
        <v>6</v>
      </c>
      <c r="B1295" s="228" t="s">
        <v>613</v>
      </c>
      <c r="J1295" s="251">
        <v>33</v>
      </c>
      <c r="K1295" s="377"/>
      <c r="L1295" s="377"/>
      <c r="M1295" s="377"/>
      <c r="N1295" s="377"/>
      <c r="O1295" s="377"/>
      <c r="P1295" s="377"/>
    </row>
    <row r="1296" spans="1:16" ht="30">
      <c r="A1296" s="289">
        <v>7</v>
      </c>
      <c r="B1296" s="229" t="s">
        <v>612</v>
      </c>
      <c r="J1296" s="251">
        <v>11</v>
      </c>
      <c r="K1296" s="377"/>
      <c r="L1296" s="377"/>
      <c r="M1296" s="377"/>
      <c r="N1296" s="377"/>
      <c r="O1296" s="377"/>
      <c r="P1296" s="377"/>
    </row>
    <row r="1297" spans="1:16" ht="28.5">
      <c r="A1297" s="309" t="s">
        <v>772</v>
      </c>
      <c r="B1297" s="208" t="s">
        <v>359</v>
      </c>
      <c r="J1297" s="152">
        <v>500</v>
      </c>
      <c r="K1297" s="385"/>
      <c r="L1297" s="385"/>
      <c r="M1297" s="385"/>
      <c r="N1297" s="385"/>
      <c r="O1297" s="368"/>
      <c r="P1297" s="368"/>
    </row>
    <row r="1298" spans="1:16" ht="14.25">
      <c r="A1298" s="292"/>
      <c r="B1298" s="161" t="s">
        <v>547</v>
      </c>
      <c r="J1298" s="162">
        <v>500</v>
      </c>
      <c r="K1298" s="385"/>
      <c r="L1298" s="385"/>
      <c r="M1298" s="385"/>
      <c r="N1298" s="385"/>
      <c r="O1298" s="371"/>
      <c r="P1298" s="371"/>
    </row>
    <row r="1299" spans="1:16" ht="30">
      <c r="A1299" s="315">
        <v>1</v>
      </c>
      <c r="B1299" s="54" t="s">
        <v>878</v>
      </c>
      <c r="J1299" s="262">
        <v>500</v>
      </c>
      <c r="K1299" s="390"/>
      <c r="L1299" s="390"/>
      <c r="M1299" s="390"/>
      <c r="N1299" s="390"/>
      <c r="O1299" s="390"/>
      <c r="P1299" s="390"/>
    </row>
    <row r="1300" spans="1:16" ht="43.5">
      <c r="A1300" s="315"/>
      <c r="B1300" s="418" t="s">
        <v>663</v>
      </c>
      <c r="C1300" s="419"/>
      <c r="D1300" s="420"/>
      <c r="E1300" s="420"/>
      <c r="F1300" s="420"/>
      <c r="G1300" s="420"/>
      <c r="H1300" s="420"/>
      <c r="I1300" s="420"/>
      <c r="J1300" s="421">
        <f>J1301</f>
        <v>28</v>
      </c>
      <c r="K1300" s="390"/>
      <c r="L1300" s="390"/>
      <c r="M1300" s="390"/>
      <c r="N1300" s="390"/>
      <c r="O1300" s="390"/>
      <c r="P1300" s="390"/>
    </row>
    <row r="1301" spans="1:16" ht="15">
      <c r="A1301" s="315"/>
      <c r="B1301" s="161" t="s">
        <v>547</v>
      </c>
      <c r="J1301" s="262">
        <f>J1302</f>
        <v>28</v>
      </c>
      <c r="K1301" s="390"/>
      <c r="L1301" s="390"/>
      <c r="M1301" s="390"/>
      <c r="N1301" s="390"/>
      <c r="O1301" s="390"/>
      <c r="P1301" s="390"/>
    </row>
    <row r="1302" spans="1:16" ht="15">
      <c r="A1302" s="315"/>
      <c r="B1302" s="36" t="s">
        <v>681</v>
      </c>
      <c r="J1302" s="262">
        <v>28</v>
      </c>
      <c r="K1302" s="390"/>
      <c r="L1302" s="390"/>
      <c r="M1302" s="390"/>
      <c r="N1302" s="390"/>
      <c r="O1302" s="390"/>
      <c r="P1302" s="390"/>
    </row>
    <row r="1303" spans="1:16" ht="28.5">
      <c r="A1303" s="309" t="s">
        <v>773</v>
      </c>
      <c r="B1303" s="208" t="s">
        <v>576</v>
      </c>
      <c r="J1303" s="152">
        <v>198</v>
      </c>
      <c r="K1303" s="385"/>
      <c r="L1303" s="385"/>
      <c r="M1303" s="385"/>
      <c r="N1303" s="385"/>
      <c r="O1303" s="385"/>
      <c r="P1303" s="385"/>
    </row>
    <row r="1304" spans="1:16" ht="14.25">
      <c r="A1304" s="314"/>
      <c r="B1304" s="161" t="s">
        <v>547</v>
      </c>
      <c r="J1304" s="162">
        <v>198</v>
      </c>
      <c r="K1304" s="371"/>
      <c r="L1304" s="371"/>
      <c r="M1304" s="371"/>
      <c r="N1304" s="371"/>
      <c r="O1304" s="371"/>
      <c r="P1304" s="371"/>
    </row>
    <row r="1305" spans="1:16" ht="42.75" customHeight="1">
      <c r="A1305" s="316">
        <v>1</v>
      </c>
      <c r="B1305" s="230" t="s">
        <v>774</v>
      </c>
      <c r="J1305" s="263">
        <v>82</v>
      </c>
      <c r="K1305" s="391"/>
      <c r="L1305" s="391"/>
      <c r="M1305" s="391"/>
      <c r="N1305" s="391"/>
      <c r="O1305" s="391"/>
      <c r="P1305" s="391"/>
    </row>
    <row r="1306" spans="1:16" ht="30">
      <c r="A1306" s="316">
        <v>2</v>
      </c>
      <c r="B1306" s="230" t="s">
        <v>775</v>
      </c>
      <c r="J1306" s="264">
        <v>86</v>
      </c>
      <c r="K1306" s="392"/>
      <c r="L1306" s="392"/>
      <c r="M1306" s="392"/>
      <c r="N1306" s="392"/>
      <c r="O1306" s="392"/>
      <c r="P1306" s="392"/>
    </row>
    <row r="1307" spans="1:16" ht="15">
      <c r="A1307" s="316">
        <v>3</v>
      </c>
      <c r="B1307" s="230" t="s">
        <v>776</v>
      </c>
      <c r="J1307" s="265">
        <v>30</v>
      </c>
      <c r="K1307" s="393"/>
      <c r="L1307" s="393"/>
      <c r="M1307" s="393"/>
      <c r="N1307" s="393"/>
      <c r="O1307" s="393"/>
      <c r="P1307" s="393"/>
    </row>
    <row r="1308" spans="1:16" ht="14.25" hidden="1">
      <c r="A1308" s="309" t="s">
        <v>777</v>
      </c>
      <c r="B1308" s="151" t="s">
        <v>578</v>
      </c>
      <c r="J1308" s="152">
        <v>0</v>
      </c>
      <c r="K1308" s="370"/>
      <c r="L1308" s="370"/>
      <c r="M1308" s="370"/>
      <c r="N1308" s="370"/>
      <c r="O1308" s="370"/>
      <c r="P1308" s="370"/>
    </row>
    <row r="1309" spans="1:16" ht="14.25" hidden="1">
      <c r="A1309" s="317"/>
      <c r="B1309" s="224" t="s">
        <v>547</v>
      </c>
      <c r="J1309" s="257">
        <v>0</v>
      </c>
      <c r="K1309" s="385"/>
      <c r="L1309" s="385"/>
      <c r="M1309" s="385"/>
      <c r="N1309" s="385"/>
      <c r="O1309" s="385"/>
      <c r="P1309" s="385"/>
    </row>
    <row r="1310" spans="1:16" ht="15" hidden="1">
      <c r="A1310" s="318">
        <v>1</v>
      </c>
      <c r="B1310" s="36" t="s">
        <v>778</v>
      </c>
      <c r="J1310" s="75"/>
      <c r="K1310" s="131"/>
      <c r="L1310" s="131"/>
      <c r="M1310" s="131"/>
      <c r="N1310" s="131"/>
      <c r="O1310" s="131"/>
      <c r="P1310" s="131"/>
    </row>
    <row r="1311" spans="1:16" ht="15" hidden="1">
      <c r="A1311" s="319">
        <v>2</v>
      </c>
      <c r="B1311" s="36" t="s">
        <v>779</v>
      </c>
      <c r="J1311" s="266"/>
      <c r="K1311" s="394"/>
      <c r="L1311" s="394"/>
      <c r="M1311" s="394"/>
      <c r="N1311" s="394"/>
      <c r="O1311" s="394"/>
      <c r="P1311" s="394"/>
    </row>
    <row r="1312" spans="1:16" ht="28.5">
      <c r="A1312" s="309" t="s">
        <v>780</v>
      </c>
      <c r="B1312" s="208" t="s">
        <v>365</v>
      </c>
      <c r="J1312" s="152">
        <v>6</v>
      </c>
      <c r="K1312" s="368"/>
      <c r="L1312" s="368"/>
      <c r="M1312" s="368"/>
      <c r="N1312" s="368"/>
      <c r="O1312" s="368"/>
      <c r="P1312" s="368"/>
    </row>
    <row r="1313" spans="1:16" ht="14.25">
      <c r="A1313" s="312"/>
      <c r="B1313" s="161" t="s">
        <v>547</v>
      </c>
      <c r="J1313" s="257">
        <v>6</v>
      </c>
      <c r="K1313" s="368"/>
      <c r="L1313" s="368"/>
      <c r="M1313" s="368"/>
      <c r="N1313" s="368"/>
      <c r="O1313" s="368"/>
      <c r="P1313" s="368"/>
    </row>
    <row r="1314" spans="1:16" ht="15">
      <c r="A1314" s="289">
        <v>1</v>
      </c>
      <c r="B1314" s="42" t="s">
        <v>781</v>
      </c>
      <c r="J1314" s="258">
        <v>6</v>
      </c>
      <c r="K1314" s="386"/>
      <c r="L1314" s="386"/>
      <c r="M1314" s="386"/>
      <c r="N1314" s="386"/>
      <c r="O1314" s="386"/>
      <c r="P1314" s="386"/>
    </row>
    <row r="1315" spans="1:16" ht="14.25">
      <c r="A1315" s="290">
        <v>8</v>
      </c>
      <c r="B1315" s="450" t="s">
        <v>579</v>
      </c>
      <c r="C1315" s="447"/>
      <c r="D1315" s="448"/>
      <c r="E1315" s="448"/>
      <c r="F1315" s="448"/>
      <c r="G1315" s="448"/>
      <c r="H1315" s="448"/>
      <c r="I1315" s="448"/>
      <c r="J1315" s="451">
        <v>45</v>
      </c>
      <c r="K1315" s="368"/>
      <c r="L1315" s="368"/>
      <c r="M1315" s="368"/>
      <c r="N1315" s="368"/>
      <c r="O1315" s="368"/>
      <c r="P1315" s="368"/>
    </row>
    <row r="1316" spans="1:16" ht="28.5">
      <c r="A1316" s="298" t="s">
        <v>617</v>
      </c>
      <c r="B1316" s="169" t="s">
        <v>387</v>
      </c>
      <c r="J1316" s="167">
        <f>J1317</f>
        <v>45</v>
      </c>
      <c r="K1316" s="366"/>
      <c r="L1316" s="366"/>
      <c r="M1316" s="366"/>
      <c r="N1316" s="366"/>
      <c r="O1316" s="366"/>
      <c r="P1316" s="366"/>
    </row>
    <row r="1317" spans="1:16" ht="15">
      <c r="A1317" s="316"/>
      <c r="B1317" s="209" t="s">
        <v>547</v>
      </c>
      <c r="J1317" s="255">
        <v>45</v>
      </c>
      <c r="K1317" s="366"/>
      <c r="L1317" s="366"/>
      <c r="M1317" s="366"/>
      <c r="N1317" s="366"/>
      <c r="O1317" s="366"/>
      <c r="P1317" s="366"/>
    </row>
    <row r="1318" spans="1:16" ht="15">
      <c r="A1318" s="316">
        <v>1</v>
      </c>
      <c r="B1318" s="231" t="s">
        <v>782</v>
      </c>
      <c r="J1318" s="267">
        <v>45</v>
      </c>
      <c r="K1318" s="367"/>
      <c r="L1318" s="367"/>
      <c r="M1318" s="367"/>
      <c r="N1318" s="367"/>
      <c r="O1318" s="367"/>
      <c r="P1318" s="367"/>
    </row>
    <row r="1319" spans="1:16" ht="14.25">
      <c r="A1319" s="290">
        <v>9</v>
      </c>
      <c r="B1319" s="450" t="s">
        <v>616</v>
      </c>
      <c r="C1319" s="447"/>
      <c r="D1319" s="448"/>
      <c r="E1319" s="448"/>
      <c r="F1319" s="448"/>
      <c r="G1319" s="448"/>
      <c r="H1319" s="448"/>
      <c r="I1319" s="448"/>
      <c r="J1319" s="451">
        <v>957</v>
      </c>
      <c r="K1319" s="368"/>
      <c r="L1319" s="368"/>
      <c r="M1319" s="368"/>
      <c r="N1319" s="368"/>
      <c r="O1319" s="368"/>
      <c r="P1319" s="368"/>
    </row>
    <row r="1320" spans="1:16" ht="14.25">
      <c r="A1320" s="312" t="s">
        <v>783</v>
      </c>
      <c r="B1320" s="224" t="s">
        <v>618</v>
      </c>
      <c r="J1320" s="257">
        <v>957</v>
      </c>
      <c r="K1320" s="368"/>
      <c r="L1320" s="368"/>
      <c r="M1320" s="368"/>
      <c r="N1320" s="368"/>
      <c r="O1320" s="368"/>
      <c r="P1320" s="368"/>
    </row>
    <row r="1321" spans="1:16" ht="14.25">
      <c r="A1321" s="290">
        <v>10</v>
      </c>
      <c r="B1321" s="450" t="s">
        <v>581</v>
      </c>
      <c r="C1321" s="447"/>
      <c r="D1321" s="448"/>
      <c r="E1321" s="448"/>
      <c r="F1321" s="448"/>
      <c r="G1321" s="448"/>
      <c r="H1321" s="448"/>
      <c r="I1321" s="448"/>
      <c r="J1321" s="451">
        <f>J1322+J1325</f>
        <v>18805</v>
      </c>
      <c r="K1321" s="368"/>
      <c r="L1321" s="368"/>
      <c r="M1321" s="368"/>
      <c r="N1321" s="368"/>
      <c r="O1321" s="368"/>
      <c r="P1321" s="368"/>
    </row>
    <row r="1322" spans="1:16" ht="14.25">
      <c r="A1322" s="286"/>
      <c r="B1322" s="153" t="s">
        <v>546</v>
      </c>
      <c r="J1322" s="162">
        <f>J1323+J1324</f>
        <v>2903</v>
      </c>
      <c r="K1322" s="371"/>
      <c r="L1322" s="371"/>
      <c r="M1322" s="371"/>
      <c r="N1322" s="371"/>
      <c r="O1322" s="371"/>
      <c r="P1322" s="371"/>
    </row>
    <row r="1323" spans="1:16" ht="63.75" customHeight="1">
      <c r="A1323" s="297">
        <v>1</v>
      </c>
      <c r="B1323" s="230" t="s">
        <v>879</v>
      </c>
      <c r="J1323" s="243">
        <v>2500</v>
      </c>
      <c r="K1323" s="364"/>
      <c r="L1323" s="364"/>
      <c r="M1323" s="364"/>
      <c r="N1323" s="364"/>
      <c r="O1323" s="364"/>
      <c r="P1323" s="364"/>
    </row>
    <row r="1324" spans="1:16" ht="52.5" customHeight="1">
      <c r="A1324" s="297">
        <v>2</v>
      </c>
      <c r="B1324" s="230" t="s">
        <v>784</v>
      </c>
      <c r="J1324" s="243">
        <v>403</v>
      </c>
      <c r="K1324" s="364"/>
      <c r="L1324" s="364"/>
      <c r="M1324" s="364"/>
      <c r="N1324" s="364"/>
      <c r="O1324" s="364"/>
      <c r="P1324" s="364"/>
    </row>
    <row r="1325" spans="1:16" ht="15">
      <c r="A1325" s="297"/>
      <c r="B1325" s="209" t="s">
        <v>547</v>
      </c>
      <c r="J1325" s="243">
        <f>J1326+J1335</f>
        <v>15902</v>
      </c>
      <c r="K1325" s="364"/>
      <c r="L1325" s="364"/>
      <c r="M1325" s="364"/>
      <c r="N1325" s="364"/>
      <c r="O1325" s="364"/>
      <c r="P1325" s="364"/>
    </row>
    <row r="1326" spans="1:16" ht="28.5">
      <c r="A1326" s="286"/>
      <c r="B1326" s="422" t="s">
        <v>582</v>
      </c>
      <c r="J1326" s="162">
        <f>J1327+J1328+J1329+J1330+J1331+J1332+J1333+J1334</f>
        <v>5154</v>
      </c>
      <c r="K1326" s="371">
        <v>5154</v>
      </c>
      <c r="L1326" s="371"/>
      <c r="M1326" s="371"/>
      <c r="N1326" s="371"/>
      <c r="O1326" s="371"/>
      <c r="P1326" s="371"/>
    </row>
    <row r="1327" spans="1:16" ht="45">
      <c r="A1327" s="297">
        <v>1</v>
      </c>
      <c r="B1327" s="165" t="s">
        <v>583</v>
      </c>
      <c r="J1327" s="244">
        <v>903</v>
      </c>
      <c r="K1327" s="367"/>
      <c r="L1327" s="367"/>
      <c r="M1327" s="367"/>
      <c r="N1327" s="367"/>
      <c r="O1327" s="367"/>
      <c r="P1327" s="367"/>
    </row>
    <row r="1328" spans="1:16" ht="30">
      <c r="A1328" s="297">
        <v>2</v>
      </c>
      <c r="B1328" s="165" t="s">
        <v>880</v>
      </c>
      <c r="J1328" s="244">
        <v>90</v>
      </c>
      <c r="K1328" s="367"/>
      <c r="L1328" s="367"/>
      <c r="M1328" s="367"/>
      <c r="N1328" s="367"/>
      <c r="O1328" s="367"/>
      <c r="P1328" s="367"/>
    </row>
    <row r="1329" spans="1:16" ht="30">
      <c r="A1329" s="297">
        <v>3</v>
      </c>
      <c r="B1329" s="165" t="s">
        <v>785</v>
      </c>
      <c r="J1329" s="244">
        <v>128</v>
      </c>
      <c r="K1329" s="367"/>
      <c r="L1329" s="367"/>
      <c r="M1329" s="367"/>
      <c r="N1329" s="367"/>
      <c r="O1329" s="367"/>
      <c r="P1329" s="367"/>
    </row>
    <row r="1330" spans="1:16" ht="45">
      <c r="A1330" s="297">
        <v>4</v>
      </c>
      <c r="B1330" s="165" t="s">
        <v>786</v>
      </c>
      <c r="J1330" s="244">
        <v>540</v>
      </c>
      <c r="K1330" s="367"/>
      <c r="L1330" s="367"/>
      <c r="M1330" s="367"/>
      <c r="N1330" s="367"/>
      <c r="O1330" s="367"/>
      <c r="P1330" s="367"/>
    </row>
    <row r="1331" spans="1:16" ht="45">
      <c r="A1331" s="297">
        <v>5</v>
      </c>
      <c r="B1331" s="165" t="s">
        <v>787</v>
      </c>
      <c r="J1331" s="244">
        <v>2500</v>
      </c>
      <c r="K1331" s="367"/>
      <c r="L1331" s="367"/>
      <c r="M1331" s="367"/>
      <c r="N1331" s="367"/>
      <c r="O1331" s="367"/>
      <c r="P1331" s="367"/>
    </row>
    <row r="1332" spans="1:16" ht="45">
      <c r="A1332" s="297">
        <v>6</v>
      </c>
      <c r="B1332" s="204" t="s">
        <v>788</v>
      </c>
      <c r="J1332" s="244">
        <v>500</v>
      </c>
      <c r="K1332" s="367"/>
      <c r="L1332" s="367"/>
      <c r="M1332" s="367"/>
      <c r="N1332" s="367"/>
      <c r="O1332" s="367"/>
      <c r="P1332" s="367"/>
    </row>
    <row r="1333" spans="1:16" ht="30">
      <c r="A1333" s="297">
        <v>7</v>
      </c>
      <c r="B1333" s="204" t="s">
        <v>789</v>
      </c>
      <c r="J1333" s="244">
        <v>250</v>
      </c>
      <c r="K1333" s="367"/>
      <c r="L1333" s="367"/>
      <c r="M1333" s="367"/>
      <c r="N1333" s="367"/>
      <c r="O1333" s="367"/>
      <c r="P1333" s="367"/>
    </row>
    <row r="1334" spans="1:16" ht="45">
      <c r="A1334" s="297">
        <v>8</v>
      </c>
      <c r="B1334" s="204" t="s">
        <v>790</v>
      </c>
      <c r="J1334" s="244">
        <v>243</v>
      </c>
      <c r="K1334" s="367"/>
      <c r="L1334" s="367"/>
      <c r="M1334" s="367"/>
      <c r="N1334" s="367"/>
      <c r="O1334" s="367"/>
      <c r="P1334" s="367"/>
    </row>
    <row r="1335" spans="1:16" ht="15">
      <c r="A1335" s="289"/>
      <c r="B1335" s="153" t="s">
        <v>584</v>
      </c>
      <c r="J1335" s="162">
        <f>J1336+J1337+J1338+J1339+J1340+J1341+J1342+J1343+J1344+J1345+J1346+J1347+J1348</f>
        <v>10748</v>
      </c>
      <c r="K1335" s="371"/>
      <c r="L1335" s="371"/>
      <c r="M1335" s="371"/>
      <c r="N1335" s="371"/>
      <c r="O1335" s="371"/>
      <c r="P1335" s="371"/>
    </row>
    <row r="1336" spans="1:16" ht="30">
      <c r="A1336" s="289">
        <v>1</v>
      </c>
      <c r="B1336" s="232" t="s">
        <v>586</v>
      </c>
      <c r="J1336" s="263">
        <v>700</v>
      </c>
      <c r="K1336" s="391"/>
      <c r="L1336" s="391"/>
      <c r="M1336" s="391"/>
      <c r="N1336" s="391"/>
      <c r="O1336" s="391"/>
      <c r="P1336" s="391"/>
    </row>
    <row r="1337" spans="1:16" ht="45">
      <c r="A1337" s="289">
        <v>2</v>
      </c>
      <c r="B1337" s="233" t="s">
        <v>587</v>
      </c>
      <c r="J1337" s="263">
        <v>200</v>
      </c>
      <c r="K1337" s="391"/>
      <c r="L1337" s="391"/>
      <c r="M1337" s="391"/>
      <c r="N1337" s="391"/>
      <c r="O1337" s="391"/>
      <c r="P1337" s="391"/>
    </row>
    <row r="1338" spans="1:16" ht="30">
      <c r="A1338" s="289">
        <v>3</v>
      </c>
      <c r="B1338" s="234" t="s">
        <v>588</v>
      </c>
      <c r="J1338" s="263">
        <v>500</v>
      </c>
      <c r="K1338" s="391"/>
      <c r="L1338" s="391"/>
      <c r="M1338" s="391"/>
      <c r="N1338" s="391"/>
      <c r="O1338" s="391"/>
      <c r="P1338" s="391"/>
    </row>
    <row r="1339" spans="1:16" ht="36.75" customHeight="1">
      <c r="A1339" s="289">
        <v>4</v>
      </c>
      <c r="B1339" s="235" t="s">
        <v>589</v>
      </c>
      <c r="J1339" s="263">
        <v>2000</v>
      </c>
      <c r="K1339" s="391"/>
      <c r="L1339" s="391"/>
      <c r="M1339" s="391"/>
      <c r="N1339" s="391"/>
      <c r="O1339" s="391"/>
      <c r="P1339" s="391"/>
    </row>
    <row r="1340" spans="1:16" ht="30">
      <c r="A1340" s="289">
        <v>5</v>
      </c>
      <c r="B1340" s="236" t="s">
        <v>590</v>
      </c>
      <c r="J1340" s="263">
        <v>2000</v>
      </c>
      <c r="K1340" s="391"/>
      <c r="L1340" s="391"/>
      <c r="M1340" s="391"/>
      <c r="N1340" s="391"/>
      <c r="O1340" s="391"/>
      <c r="P1340" s="391"/>
    </row>
    <row r="1341" spans="1:16" ht="45">
      <c r="A1341" s="289">
        <v>6</v>
      </c>
      <c r="B1341" s="237" t="s">
        <v>791</v>
      </c>
      <c r="J1341" s="263">
        <v>300</v>
      </c>
      <c r="K1341" s="391"/>
      <c r="L1341" s="391"/>
      <c r="M1341" s="391"/>
      <c r="N1341" s="391"/>
      <c r="O1341" s="391"/>
      <c r="P1341" s="391"/>
    </row>
    <row r="1342" spans="1:16" ht="60">
      <c r="A1342" s="289">
        <v>7</v>
      </c>
      <c r="B1342" s="237" t="s">
        <v>792</v>
      </c>
      <c r="J1342" s="263">
        <v>500</v>
      </c>
      <c r="K1342" s="391"/>
      <c r="L1342" s="391"/>
      <c r="M1342" s="391"/>
      <c r="N1342" s="391"/>
      <c r="O1342" s="391"/>
      <c r="P1342" s="391"/>
    </row>
    <row r="1343" spans="1:16" ht="50.25" customHeight="1">
      <c r="A1343" s="289">
        <v>8</v>
      </c>
      <c r="B1343" s="237" t="s">
        <v>793</v>
      </c>
      <c r="J1343" s="263">
        <v>1000</v>
      </c>
      <c r="K1343" s="391"/>
      <c r="L1343" s="391"/>
      <c r="M1343" s="391"/>
      <c r="N1343" s="391"/>
      <c r="O1343" s="391"/>
      <c r="P1343" s="391"/>
    </row>
    <row r="1344" spans="1:16" ht="45">
      <c r="A1344" s="289">
        <v>9</v>
      </c>
      <c r="B1344" s="237" t="s">
        <v>794</v>
      </c>
      <c r="J1344" s="263">
        <v>1000</v>
      </c>
      <c r="K1344" s="391"/>
      <c r="L1344" s="391"/>
      <c r="M1344" s="391"/>
      <c r="N1344" s="391"/>
      <c r="O1344" s="391"/>
      <c r="P1344" s="391"/>
    </row>
    <row r="1345" spans="1:16" ht="30">
      <c r="A1345" s="289">
        <v>10</v>
      </c>
      <c r="B1345" s="238" t="s">
        <v>795</v>
      </c>
      <c r="J1345" s="256">
        <v>1000</v>
      </c>
      <c r="K1345" s="382"/>
      <c r="L1345" s="382"/>
      <c r="M1345" s="382"/>
      <c r="N1345" s="382"/>
      <c r="O1345" s="382"/>
      <c r="P1345" s="382"/>
    </row>
    <row r="1346" spans="1:16" ht="30">
      <c r="A1346" s="289">
        <v>11</v>
      </c>
      <c r="B1346" s="238" t="s">
        <v>585</v>
      </c>
      <c r="J1346" s="256">
        <v>500</v>
      </c>
      <c r="K1346" s="382"/>
      <c r="L1346" s="382"/>
      <c r="M1346" s="382"/>
      <c r="N1346" s="382"/>
      <c r="O1346" s="382"/>
      <c r="P1346" s="382"/>
    </row>
    <row r="1347" spans="1:16" ht="45">
      <c r="A1347" s="289">
        <v>12</v>
      </c>
      <c r="B1347" s="238" t="s">
        <v>796</v>
      </c>
      <c r="J1347" s="256">
        <v>1000</v>
      </c>
      <c r="K1347" s="382"/>
      <c r="L1347" s="382"/>
      <c r="M1347" s="382"/>
      <c r="N1347" s="382"/>
      <c r="O1347" s="382"/>
      <c r="P1347" s="382"/>
    </row>
    <row r="1348" spans="1:16" ht="69" customHeight="1">
      <c r="A1348" s="289"/>
      <c r="B1348" s="238" t="s">
        <v>854</v>
      </c>
      <c r="J1348" s="256">
        <v>48</v>
      </c>
      <c r="K1348" s="382"/>
      <c r="L1348" s="382"/>
      <c r="M1348" s="382"/>
      <c r="N1348" s="382"/>
      <c r="O1348" s="382"/>
      <c r="P1348" s="382"/>
    </row>
    <row r="1349" spans="1:16" ht="14.25">
      <c r="A1349" s="285">
        <v>11</v>
      </c>
      <c r="B1349" s="446" t="s">
        <v>591</v>
      </c>
      <c r="C1349" s="447"/>
      <c r="D1349" s="448"/>
      <c r="E1349" s="448"/>
      <c r="F1349" s="448"/>
      <c r="G1349" s="448"/>
      <c r="H1349" s="448"/>
      <c r="I1349" s="448"/>
      <c r="J1349" s="449">
        <v>1000</v>
      </c>
      <c r="K1349" s="373"/>
      <c r="L1349" s="373"/>
      <c r="M1349" s="373"/>
      <c r="N1349" s="373"/>
      <c r="O1349" s="373"/>
      <c r="P1349" s="373"/>
    </row>
    <row r="1350" spans="1:16" ht="28.5">
      <c r="A1350" s="301"/>
      <c r="B1350" s="323" t="s">
        <v>797</v>
      </c>
      <c r="J1350" s="168">
        <v>1000</v>
      </c>
      <c r="K1350" s="366"/>
      <c r="L1350" s="366"/>
      <c r="M1350" s="366"/>
      <c r="N1350" s="366"/>
      <c r="O1350" s="366"/>
      <c r="P1350" s="366"/>
    </row>
    <row r="1351" spans="1:16" ht="17.25" customHeight="1">
      <c r="A1351" s="289">
        <v>1</v>
      </c>
      <c r="B1351" s="155" t="s">
        <v>592</v>
      </c>
      <c r="J1351" s="163">
        <v>1000</v>
      </c>
      <c r="K1351" s="395"/>
      <c r="L1351" s="395"/>
      <c r="M1351" s="395"/>
      <c r="N1351" s="395"/>
      <c r="O1351" s="395"/>
      <c r="P1351" s="395"/>
    </row>
    <row r="1352" spans="1:16" ht="14.25">
      <c r="A1352" s="306"/>
      <c r="B1352" s="209" t="s">
        <v>907</v>
      </c>
      <c r="J1352" s="255">
        <f>J1093+J1118+J1126+J1130+J1148+J1257+J1281+J1315+J1319+J1321+J1349</f>
        <v>55582</v>
      </c>
      <c r="K1352" s="381"/>
      <c r="L1352" s="381"/>
      <c r="M1352" s="381"/>
      <c r="N1352" s="381"/>
      <c r="O1352" s="381"/>
      <c r="P1352" s="381"/>
    </row>
    <row r="1353" spans="1:16" ht="15">
      <c r="A1353" s="239"/>
      <c r="B1353" s="239"/>
    </row>
    <row r="1354" spans="1:16" ht="15">
      <c r="A1354" s="239"/>
      <c r="B1354" s="239"/>
    </row>
  </sheetData>
  <mergeCells count="7">
    <mergeCell ref="B2:C2"/>
    <mergeCell ref="A5:R5"/>
    <mergeCell ref="A6:R6"/>
    <mergeCell ref="B7:R7"/>
    <mergeCell ref="A9:A10"/>
    <mergeCell ref="Q9:S9"/>
    <mergeCell ref="M9:P9"/>
  </mergeCells>
  <pageMargins left="0.39" right="0.16" top="0.27" bottom="0.24" header="0.17" footer="0.2"/>
  <pageSetup paperSize="9" orientation="landscape" r:id="rId1"/>
  <headerFooter alignWithMargins="0"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BUGET DEFINITIV </vt:lpstr>
      <vt:lpstr>'ANEXA 1 BUGET DEFINITIV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2020-02-13T07:20:28Z</cp:lastPrinted>
  <dcterms:created xsi:type="dcterms:W3CDTF">2017-03-22T13:01:52Z</dcterms:created>
  <dcterms:modified xsi:type="dcterms:W3CDTF">2020-02-13T07:40:08Z</dcterms:modified>
</cp:coreProperties>
</file>