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5170" windowHeight="11520" tabRatio="859" activeTab="3"/>
  </bookViews>
  <sheets>
    <sheet name="Date Generale" sheetId="2" r:id="rId1"/>
    <sheet name="grafic fizic" sheetId="15" state="hidden" r:id="rId2"/>
    <sheet name="grafic valoric" sheetId="14" state="hidden" r:id="rId3"/>
    <sheet name="Deviz General_Mii" sheetId="13" r:id="rId4"/>
    <sheet name="Deviz General" sheetId="11" state="hidden" r:id="rId5"/>
    <sheet name="Cap.1" sheetId="12" state="hidden" r:id="rId6"/>
    <sheet name="Cap.2" sheetId="9" state="hidden" r:id="rId7"/>
    <sheet name="Cap.3" sheetId="8" state="hidden" r:id="rId8"/>
    <sheet name="Cap.5" sheetId="10" state="hidden" r:id="rId9"/>
    <sheet name="Cap.4 Centraliz Obiecte" sheetId="7" state="hidden" r:id="rId10"/>
    <sheet name="Devize obiecte" sheetId="3" state="hidden" r:id="rId11"/>
    <sheet name="Devize obiecte evaluari" sheetId="4" state="hidden" r:id="rId12"/>
    <sheet name="Lista articole" sheetId="6" state="hidden" r:id="rId13"/>
    <sheet name="Sheet1" sheetId="16" state="hidden" r:id="rId14"/>
  </sheets>
  <externalReferences>
    <externalReference r:id="rId15"/>
  </externalReferences>
  <definedNames>
    <definedName name="_xlnm.Print_Area" localSheetId="5">Cap.1!$A$1:$J$30</definedName>
    <definedName name="_xlnm.Print_Area" localSheetId="6">Cap.2!$A$1:$G$29</definedName>
    <definedName name="_xlnm.Print_Area" localSheetId="7">Cap.3!$A$1:$G$49</definedName>
    <definedName name="_xlnm.Print_Area" localSheetId="9">'Cap.4 Centraliz Obiecte'!$A$1:$G$37</definedName>
    <definedName name="_xlnm.Print_Area" localSheetId="8">Cap.5!$A$1:$G$30</definedName>
    <definedName name="_xlnm.Print_Area" localSheetId="4">'Deviz General'!$A$1:$G$55</definedName>
    <definedName name="_xlnm.Print_Area" localSheetId="3">'Deviz General_Mii'!$A$1:$G$56</definedName>
    <definedName name="_xlnm.Print_Area" localSheetId="10">'Devize obiecte'!$A$1:$G$108</definedName>
    <definedName name="_xlnm.Print_Area" localSheetId="11">'Devize obiecte evaluari'!$A$1:$J$372</definedName>
    <definedName name="_xlnm.Print_Area" localSheetId="1">'grafic fizic'!$A$1:$T$41</definedName>
    <definedName name="_xlnm.Print_Area" localSheetId="2">'grafic valoric'!$A$1:$U$49</definedName>
    <definedName name="_xlnm.Print_Area" localSheetId="12">'Lista articole'!$A$3:$M$3</definedName>
  </definedNames>
  <calcPr calcId="162913"/>
</workbook>
</file>

<file path=xl/calcChain.xml><?xml version="1.0" encoding="utf-8"?>
<calcChain xmlns="http://schemas.openxmlformats.org/spreadsheetml/2006/main">
  <c r="D28" i="13"/>
  <c r="E28"/>
  <c r="F28" s="1"/>
  <c r="G28" s="1"/>
  <c r="E41" l="1"/>
  <c r="E44"/>
  <c r="D43"/>
  <c r="D44"/>
  <c r="D41"/>
  <c r="E32"/>
  <c r="D32"/>
  <c r="F43"/>
  <c r="F32" l="1"/>
  <c r="G32" s="1"/>
  <c r="G43"/>
  <c r="E27" i="7" l="1"/>
  <c r="E24"/>
  <c r="F24" s="1"/>
  <c r="C22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22" l="1"/>
  <c r="F22"/>
  <c r="C15" i="10"/>
  <c r="C32" i="8"/>
  <c r="C13"/>
  <c r="E21" i="10" l="1"/>
  <c r="E20"/>
  <c r="E17"/>
  <c r="E22" i="8"/>
  <c r="E28" l="1"/>
  <c r="E13"/>
  <c r="E17"/>
  <c r="A2" i="11" l="1"/>
  <c r="E40" l="1"/>
  <c r="F40" s="1"/>
  <c r="E31"/>
  <c r="F31" s="1"/>
  <c r="E21"/>
  <c r="F21" s="1"/>
  <c r="E18"/>
  <c r="F18" s="1"/>
  <c r="E17"/>
  <c r="F17" s="1"/>
  <c r="F17" i="8" l="1"/>
  <c r="H12" i="12"/>
  <c r="F13"/>
  <c r="F20" l="1"/>
  <c r="H20" l="1"/>
  <c r="I20" s="1"/>
  <c r="B40" i="15"/>
  <c r="H40" i="14"/>
  <c r="I28"/>
  <c r="I34" s="1"/>
  <c r="J28"/>
  <c r="J34" s="1"/>
  <c r="K28"/>
  <c r="K34" s="1"/>
  <c r="L28"/>
  <c r="L34" s="1"/>
  <c r="M28"/>
  <c r="M34" s="1"/>
  <c r="N28"/>
  <c r="N34" s="1"/>
  <c r="O28"/>
  <c r="O34" s="1"/>
  <c r="P28"/>
  <c r="P34" s="1"/>
  <c r="Q28"/>
  <c r="Q34" s="1"/>
  <c r="R28"/>
  <c r="R34" s="1"/>
  <c r="S28"/>
  <c r="S34" s="1"/>
  <c r="T28"/>
  <c r="T34" s="1"/>
  <c r="H34"/>
  <c r="D16"/>
  <c r="E16"/>
  <c r="F16"/>
  <c r="K16"/>
  <c r="N16"/>
  <c r="O16"/>
  <c r="R16"/>
  <c r="H18"/>
  <c r="H16"/>
  <c r="B48"/>
  <c r="T44"/>
  <c r="Q44"/>
  <c r="P44"/>
  <c r="M44"/>
  <c r="L44"/>
  <c r="K44"/>
  <c r="J44"/>
  <c r="I44"/>
  <c r="H44"/>
  <c r="G44"/>
  <c r="F44"/>
  <c r="C44"/>
  <c r="U43"/>
  <c r="U42"/>
  <c r="C40"/>
  <c r="F34"/>
  <c r="C34"/>
  <c r="U33"/>
  <c r="U31"/>
  <c r="U30"/>
  <c r="T18"/>
  <c r="Q18"/>
  <c r="P18"/>
  <c r="M18"/>
  <c r="L18"/>
  <c r="K18"/>
  <c r="J18"/>
  <c r="G18"/>
  <c r="F18"/>
  <c r="C18"/>
  <c r="Q15"/>
  <c r="Q16" s="1"/>
  <c r="P15"/>
  <c r="P16" s="1"/>
  <c r="M15"/>
  <c r="M16" s="1"/>
  <c r="L15"/>
  <c r="L16" s="1"/>
  <c r="G14"/>
  <c r="G16" s="1"/>
  <c r="U44" l="1"/>
  <c r="U28"/>
  <c r="U29"/>
  <c r="F40"/>
  <c r="U32"/>
  <c r="G34"/>
  <c r="G40"/>
  <c r="U34" l="1"/>
  <c r="F17" i="12" l="1"/>
  <c r="F18"/>
  <c r="H18" s="1"/>
  <c r="I18" s="1"/>
  <c r="F19"/>
  <c r="H19"/>
  <c r="I19" s="1"/>
  <c r="F336" i="4"/>
  <c r="H336" s="1"/>
  <c r="I336" s="1"/>
  <c r="I335" s="1"/>
  <c r="D328"/>
  <c r="D327"/>
  <c r="D333"/>
  <c r="D331"/>
  <c r="D330"/>
  <c r="D329"/>
  <c r="D326"/>
  <c r="D325"/>
  <c r="D322"/>
  <c r="D321"/>
  <c r="D320"/>
  <c r="D332"/>
  <c r="F332" s="1"/>
  <c r="H332" s="1"/>
  <c r="I332" s="1"/>
  <c r="D324"/>
  <c r="D323"/>
  <c r="C333"/>
  <c r="F335" l="1"/>
  <c r="H335"/>
  <c r="H17" i="12"/>
  <c r="I17" s="1"/>
  <c r="F254" i="4" l="1"/>
  <c r="F253"/>
  <c r="H253" s="1"/>
  <c r="I253" s="1"/>
  <c r="F252"/>
  <c r="F251"/>
  <c r="H251" s="1"/>
  <c r="I251" s="1"/>
  <c r="F250"/>
  <c r="F249"/>
  <c r="H249" s="1"/>
  <c r="I249" s="1"/>
  <c r="F246"/>
  <c r="F247"/>
  <c r="H247" s="1"/>
  <c r="I247" s="1"/>
  <c r="A246"/>
  <c r="A247" s="1"/>
  <c r="F245"/>
  <c r="A241"/>
  <c r="A242" s="1"/>
  <c r="A243" s="1"/>
  <c r="E243"/>
  <c r="F243" s="1"/>
  <c r="H243" s="1"/>
  <c r="I243" s="1"/>
  <c r="D241"/>
  <c r="F241" s="1"/>
  <c r="H241" s="1"/>
  <c r="I241" s="1"/>
  <c r="E240"/>
  <c r="D240"/>
  <c r="F240" s="1"/>
  <c r="A233"/>
  <c r="A234" s="1"/>
  <c r="A235" s="1"/>
  <c r="A236" s="1"/>
  <c r="A237" s="1"/>
  <c r="A238" s="1"/>
  <c r="A220"/>
  <c r="A221" s="1"/>
  <c r="A222" s="1"/>
  <c r="A223" s="1"/>
  <c r="A224" s="1"/>
  <c r="A225" s="1"/>
  <c r="A226" s="1"/>
  <c r="A227" s="1"/>
  <c r="A228" s="1"/>
  <c r="A229" s="1"/>
  <c r="A230" s="1"/>
  <c r="E238"/>
  <c r="F238" s="1"/>
  <c r="H238" s="1"/>
  <c r="I238" s="1"/>
  <c r="E237"/>
  <c r="F237" s="1"/>
  <c r="H237" s="1"/>
  <c r="E236"/>
  <c r="D236"/>
  <c r="E235"/>
  <c r="D235"/>
  <c r="E234"/>
  <c r="D234"/>
  <c r="E233"/>
  <c r="D233"/>
  <c r="E232"/>
  <c r="D232"/>
  <c r="F230"/>
  <c r="H230" s="1"/>
  <c r="I230" s="1"/>
  <c r="F229"/>
  <c r="F228"/>
  <c r="H228" s="1"/>
  <c r="I228" s="1"/>
  <c r="D227"/>
  <c r="F227" s="1"/>
  <c r="F226"/>
  <c r="H226" s="1"/>
  <c r="I226" s="1"/>
  <c r="E225"/>
  <c r="F225" s="1"/>
  <c r="E224"/>
  <c r="F224" s="1"/>
  <c r="H224" s="1"/>
  <c r="I224" s="1"/>
  <c r="E223"/>
  <c r="F223" s="1"/>
  <c r="E222"/>
  <c r="F222" s="1"/>
  <c r="H222" s="1"/>
  <c r="I222" s="1"/>
  <c r="E221"/>
  <c r="D221"/>
  <c r="E220"/>
  <c r="F220" s="1"/>
  <c r="H220" s="1"/>
  <c r="I220" s="1"/>
  <c r="E219"/>
  <c r="F219" s="1"/>
  <c r="A212"/>
  <c r="A213" s="1"/>
  <c r="A214" s="1"/>
  <c r="A215" s="1"/>
  <c r="A216" s="1"/>
  <c r="A217" s="1"/>
  <c r="F216"/>
  <c r="F217"/>
  <c r="H217" s="1"/>
  <c r="I217" s="1"/>
  <c r="D215"/>
  <c r="F215" s="1"/>
  <c r="D214"/>
  <c r="F214" s="1"/>
  <c r="H214" s="1"/>
  <c r="D213"/>
  <c r="F213" s="1"/>
  <c r="D212"/>
  <c r="F212" s="1"/>
  <c r="D211"/>
  <c r="F211" s="1"/>
  <c r="H211" s="1"/>
  <c r="I211" s="1"/>
  <c r="E208"/>
  <c r="F208" s="1"/>
  <c r="E207"/>
  <c r="F207" s="1"/>
  <c r="E206"/>
  <c r="F206" s="1"/>
  <c r="E205"/>
  <c r="F205" s="1"/>
  <c r="A206"/>
  <c r="A207" s="1"/>
  <c r="A208" s="1"/>
  <c r="F198"/>
  <c r="F199"/>
  <c r="H199" s="1"/>
  <c r="I199" s="1"/>
  <c r="F200"/>
  <c r="H200" s="1"/>
  <c r="F202"/>
  <c r="F203"/>
  <c r="H203" s="1"/>
  <c r="I203" s="1"/>
  <c r="F197"/>
  <c r="D201"/>
  <c r="F201" s="1"/>
  <c r="A198"/>
  <c r="A199" s="1"/>
  <c r="A200" s="1"/>
  <c r="A201" s="1"/>
  <c r="A202" s="1"/>
  <c r="A203" s="1"/>
  <c r="F139"/>
  <c r="A137"/>
  <c r="A138" s="1"/>
  <c r="A139" s="1"/>
  <c r="A140" s="1"/>
  <c r="F134"/>
  <c r="F133"/>
  <c r="F132"/>
  <c r="F131"/>
  <c r="F130"/>
  <c r="F129"/>
  <c r="F128"/>
  <c r="F127"/>
  <c r="F126"/>
  <c r="F125"/>
  <c r="F124"/>
  <c r="A124"/>
  <c r="A125" s="1"/>
  <c r="A126" s="1"/>
  <c r="A127" s="1"/>
  <c r="A128" s="1"/>
  <c r="A129" s="1"/>
  <c r="A130" s="1"/>
  <c r="A131" s="1"/>
  <c r="A132" s="1"/>
  <c r="A133" s="1"/>
  <c r="A134" s="1"/>
  <c r="F123"/>
  <c r="F121"/>
  <c r="F120"/>
  <c r="F119"/>
  <c r="F118"/>
  <c r="F117"/>
  <c r="F116"/>
  <c r="H116" s="1"/>
  <c r="F115"/>
  <c r="F114"/>
  <c r="H114" s="1"/>
  <c r="F113"/>
  <c r="F112"/>
  <c r="F111"/>
  <c r="F110"/>
  <c r="F109"/>
  <c r="F108"/>
  <c r="F107"/>
  <c r="F106"/>
  <c r="F105"/>
  <c r="F104"/>
  <c r="F103"/>
  <c r="A103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F102"/>
  <c r="D77"/>
  <c r="D98"/>
  <c r="F98" s="1"/>
  <c r="A96"/>
  <c r="A97" s="1"/>
  <c r="A98" s="1"/>
  <c r="A99" s="1"/>
  <c r="D95"/>
  <c r="F95" s="1"/>
  <c r="F93"/>
  <c r="F92"/>
  <c r="F91"/>
  <c r="F90"/>
  <c r="F89"/>
  <c r="F88"/>
  <c r="H88" s="1"/>
  <c r="F87"/>
  <c r="F86"/>
  <c r="H86" s="1"/>
  <c r="F85"/>
  <c r="F84"/>
  <c r="H84" s="1"/>
  <c r="F83"/>
  <c r="A83"/>
  <c r="A84" s="1"/>
  <c r="A85" s="1"/>
  <c r="A86" s="1"/>
  <c r="A87" s="1"/>
  <c r="A88" s="1"/>
  <c r="A89" s="1"/>
  <c r="A90" s="1"/>
  <c r="A91" s="1"/>
  <c r="A92" s="1"/>
  <c r="A93" s="1"/>
  <c r="F82"/>
  <c r="H82" s="1"/>
  <c r="F80"/>
  <c r="F79"/>
  <c r="H79" s="1"/>
  <c r="I79" s="1"/>
  <c r="F78"/>
  <c r="F77"/>
  <c r="D76"/>
  <c r="F76" s="1"/>
  <c r="H76" s="1"/>
  <c r="F75"/>
  <c r="F74"/>
  <c r="F73"/>
  <c r="F72"/>
  <c r="F71"/>
  <c r="F70"/>
  <c r="H70" s="1"/>
  <c r="I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A62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D61"/>
  <c r="F61" s="1"/>
  <c r="A55"/>
  <c r="A56" s="1"/>
  <c r="A57" s="1"/>
  <c r="A58" s="1"/>
  <c r="D57"/>
  <c r="F57" s="1"/>
  <c r="D54"/>
  <c r="F54" s="1"/>
  <c r="F42"/>
  <c r="H42" s="1"/>
  <c r="F43"/>
  <c r="H43" s="1"/>
  <c r="F44"/>
  <c r="F45"/>
  <c r="H45" s="1"/>
  <c r="I45" s="1"/>
  <c r="F46"/>
  <c r="H46" s="1"/>
  <c r="F52"/>
  <c r="F41"/>
  <c r="H41" s="1"/>
  <c r="I41" s="1"/>
  <c r="A42"/>
  <c r="A43" s="1"/>
  <c r="A44" s="1"/>
  <c r="A45" s="1"/>
  <c r="A46" s="1"/>
  <c r="A47" s="1"/>
  <c r="A48" s="1"/>
  <c r="A49" s="1"/>
  <c r="A50" s="1"/>
  <c r="A51" s="1"/>
  <c r="A52" s="1"/>
  <c r="D51"/>
  <c r="F51" s="1"/>
  <c r="H51" s="1"/>
  <c r="I51" s="1"/>
  <c r="D50"/>
  <c r="F50" s="1"/>
  <c r="H50" s="1"/>
  <c r="D49"/>
  <c r="F49" s="1"/>
  <c r="H49" s="1"/>
  <c r="I49" s="1"/>
  <c r="D48"/>
  <c r="F48" s="1"/>
  <c r="D47"/>
  <c r="F47" s="1"/>
  <c r="H47" s="1"/>
  <c r="I47" s="1"/>
  <c r="F30"/>
  <c r="H30" s="1"/>
  <c r="F31"/>
  <c r="F32"/>
  <c r="H32" s="1"/>
  <c r="F33"/>
  <c r="H33" s="1"/>
  <c r="I33" s="1"/>
  <c r="F34"/>
  <c r="H34" s="1"/>
  <c r="I34" s="1"/>
  <c r="F37"/>
  <c r="H37" s="1"/>
  <c r="I37" s="1"/>
  <c r="F38"/>
  <c r="H38" s="1"/>
  <c r="I38" s="1"/>
  <c r="F39"/>
  <c r="F29"/>
  <c r="H29" s="1"/>
  <c r="I29" s="1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D36"/>
  <c r="F36" s="1"/>
  <c r="H36" s="1"/>
  <c r="D35"/>
  <c r="F35" s="1"/>
  <c r="D28"/>
  <c r="F28" s="1"/>
  <c r="D27"/>
  <c r="F27" s="1"/>
  <c r="H27" s="1"/>
  <c r="I27" s="1"/>
  <c r="D26"/>
  <c r="F26" s="1"/>
  <c r="D25"/>
  <c r="F25" s="1"/>
  <c r="H25" s="1"/>
  <c r="D24"/>
  <c r="F24" s="1"/>
  <c r="H24" s="1"/>
  <c r="I24" s="1"/>
  <c r="D23"/>
  <c r="F23" s="1"/>
  <c r="H23" s="1"/>
  <c r="I23" s="1"/>
  <c r="D22"/>
  <c r="F22" s="1"/>
  <c r="D21"/>
  <c r="F21" s="1"/>
  <c r="H21" s="1"/>
  <c r="D20"/>
  <c r="F20" s="1"/>
  <c r="D61" i="2"/>
  <c r="E61" s="1"/>
  <c r="F244" i="4" l="1"/>
  <c r="F221"/>
  <c r="H221" s="1"/>
  <c r="I221" s="1"/>
  <c r="F233"/>
  <c r="H233" s="1"/>
  <c r="I233" s="1"/>
  <c r="F235"/>
  <c r="H235" s="1"/>
  <c r="I235" s="1"/>
  <c r="F248"/>
  <c r="H227"/>
  <c r="I227" s="1"/>
  <c r="H213"/>
  <c r="I213" s="1"/>
  <c r="F210"/>
  <c r="H229"/>
  <c r="I229" s="1"/>
  <c r="H225"/>
  <c r="I225" s="1"/>
  <c r="H223"/>
  <c r="I223" s="1"/>
  <c r="F232"/>
  <c r="E242"/>
  <c r="F242" s="1"/>
  <c r="F239" s="1"/>
  <c r="H254"/>
  <c r="I254" s="1"/>
  <c r="H252"/>
  <c r="I252" s="1"/>
  <c r="H250"/>
  <c r="I250" s="1"/>
  <c r="F218"/>
  <c r="H219"/>
  <c r="F234"/>
  <c r="F236"/>
  <c r="I237"/>
  <c r="H240"/>
  <c r="H216"/>
  <c r="I216" s="1"/>
  <c r="H246"/>
  <c r="I246" s="1"/>
  <c r="H245"/>
  <c r="H212"/>
  <c r="I212" s="1"/>
  <c r="H215"/>
  <c r="I215" s="1"/>
  <c r="I214"/>
  <c r="F60"/>
  <c r="F196"/>
  <c r="H207"/>
  <c r="I207" s="1"/>
  <c r="H201"/>
  <c r="I201" s="1"/>
  <c r="I200"/>
  <c r="D55"/>
  <c r="D58" s="1"/>
  <c r="F58" s="1"/>
  <c r="H58" s="1"/>
  <c r="H208"/>
  <c r="I208" s="1"/>
  <c r="H206"/>
  <c r="I206" s="1"/>
  <c r="F204"/>
  <c r="H205"/>
  <c r="H198"/>
  <c r="I198" s="1"/>
  <c r="H202"/>
  <c r="I202" s="1"/>
  <c r="H197"/>
  <c r="H102"/>
  <c r="I102" s="1"/>
  <c r="H106"/>
  <c r="I106" s="1"/>
  <c r="H110"/>
  <c r="I110" s="1"/>
  <c r="F19"/>
  <c r="H20"/>
  <c r="I20" s="1"/>
  <c r="F40"/>
  <c r="I114"/>
  <c r="F136"/>
  <c r="H136" s="1"/>
  <c r="I136" s="1"/>
  <c r="H112"/>
  <c r="I112" s="1"/>
  <c r="I116"/>
  <c r="H109"/>
  <c r="I109" s="1"/>
  <c r="F140"/>
  <c r="F137"/>
  <c r="F138"/>
  <c r="F101"/>
  <c r="H103"/>
  <c r="I103" s="1"/>
  <c r="H105"/>
  <c r="I105" s="1"/>
  <c r="H107"/>
  <c r="I107" s="1"/>
  <c r="H117"/>
  <c r="I117" s="1"/>
  <c r="H139"/>
  <c r="I139" s="1"/>
  <c r="H104"/>
  <c r="I104" s="1"/>
  <c r="H108"/>
  <c r="I108" s="1"/>
  <c r="H111"/>
  <c r="I111" s="1"/>
  <c r="H113"/>
  <c r="I113" s="1"/>
  <c r="H115"/>
  <c r="I115" s="1"/>
  <c r="H118"/>
  <c r="I118" s="1"/>
  <c r="H120"/>
  <c r="I120" s="1"/>
  <c r="H123"/>
  <c r="H125"/>
  <c r="I125" s="1"/>
  <c r="H127"/>
  <c r="I127" s="1"/>
  <c r="H129"/>
  <c r="I129" s="1"/>
  <c r="H131"/>
  <c r="I131" s="1"/>
  <c r="H133"/>
  <c r="I133" s="1"/>
  <c r="F122"/>
  <c r="H119"/>
  <c r="I119" s="1"/>
  <c r="H121"/>
  <c r="I121" s="1"/>
  <c r="H124"/>
  <c r="I124" s="1"/>
  <c r="H126"/>
  <c r="I126" s="1"/>
  <c r="H128"/>
  <c r="I128" s="1"/>
  <c r="H130"/>
  <c r="I130" s="1"/>
  <c r="H132"/>
  <c r="I132" s="1"/>
  <c r="H134"/>
  <c r="I134" s="1"/>
  <c r="I76"/>
  <c r="I82"/>
  <c r="I86"/>
  <c r="I84"/>
  <c r="H92"/>
  <c r="I92" s="1"/>
  <c r="H74"/>
  <c r="I74" s="1"/>
  <c r="H72"/>
  <c r="I72" s="1"/>
  <c r="H66"/>
  <c r="I66" s="1"/>
  <c r="H77"/>
  <c r="I77" s="1"/>
  <c r="H89"/>
  <c r="I89" s="1"/>
  <c r="F81"/>
  <c r="H95"/>
  <c r="H62"/>
  <c r="I62" s="1"/>
  <c r="H67"/>
  <c r="I67" s="1"/>
  <c r="H63"/>
  <c r="I63" s="1"/>
  <c r="H91"/>
  <c r="I91" s="1"/>
  <c r="H61"/>
  <c r="H65"/>
  <c r="I65" s="1"/>
  <c r="H69"/>
  <c r="I69" s="1"/>
  <c r="H71"/>
  <c r="I71" s="1"/>
  <c r="H73"/>
  <c r="I73" s="1"/>
  <c r="H75"/>
  <c r="I75" s="1"/>
  <c r="H78"/>
  <c r="I78" s="1"/>
  <c r="H80"/>
  <c r="I80" s="1"/>
  <c r="H83"/>
  <c r="I83" s="1"/>
  <c r="H85"/>
  <c r="I85" s="1"/>
  <c r="H87"/>
  <c r="I87" s="1"/>
  <c r="I88"/>
  <c r="D96"/>
  <c r="H64"/>
  <c r="I64" s="1"/>
  <c r="H68"/>
  <c r="I68" s="1"/>
  <c r="H90"/>
  <c r="I90" s="1"/>
  <c r="H93"/>
  <c r="I93" s="1"/>
  <c r="H98"/>
  <c r="I98" s="1"/>
  <c r="H57"/>
  <c r="I57" s="1"/>
  <c r="H54"/>
  <c r="I43"/>
  <c r="H52"/>
  <c r="I52" s="1"/>
  <c r="H48"/>
  <c r="I48" s="1"/>
  <c r="H44"/>
  <c r="I50"/>
  <c r="I46"/>
  <c r="I42"/>
  <c r="H39"/>
  <c r="I39" s="1"/>
  <c r="H35"/>
  <c r="I35" s="1"/>
  <c r="H31"/>
  <c r="I31" s="1"/>
  <c r="I30"/>
  <c r="I36"/>
  <c r="I32"/>
  <c r="H28"/>
  <c r="I28" s="1"/>
  <c r="H26"/>
  <c r="I26" s="1"/>
  <c r="I25"/>
  <c r="H22"/>
  <c r="I21"/>
  <c r="F231" l="1"/>
  <c r="F209" s="1"/>
  <c r="H244"/>
  <c r="I248"/>
  <c r="H248"/>
  <c r="I240"/>
  <c r="H234"/>
  <c r="I234" s="1"/>
  <c r="I219"/>
  <c r="H218"/>
  <c r="H232"/>
  <c r="H242"/>
  <c r="I242" s="1"/>
  <c r="H236"/>
  <c r="I236" s="1"/>
  <c r="I245"/>
  <c r="I244" s="1"/>
  <c r="I58"/>
  <c r="D56"/>
  <c r="F56" s="1"/>
  <c r="H56" s="1"/>
  <c r="I56" s="1"/>
  <c r="F55"/>
  <c r="H55" s="1"/>
  <c r="I55" s="1"/>
  <c r="F195"/>
  <c r="I197"/>
  <c r="H196"/>
  <c r="H204"/>
  <c r="I205"/>
  <c r="H101"/>
  <c r="I101"/>
  <c r="H122"/>
  <c r="H138"/>
  <c r="I138" s="1"/>
  <c r="I123"/>
  <c r="F135"/>
  <c r="F100" s="1"/>
  <c r="H137"/>
  <c r="I137" s="1"/>
  <c r="H140"/>
  <c r="I140" s="1"/>
  <c r="H40"/>
  <c r="H60"/>
  <c r="I61"/>
  <c r="I60" s="1"/>
  <c r="I81"/>
  <c r="H81"/>
  <c r="D99"/>
  <c r="F99" s="1"/>
  <c r="F96"/>
  <c r="D97"/>
  <c r="F97" s="1"/>
  <c r="I95"/>
  <c r="H19"/>
  <c r="I54"/>
  <c r="I22"/>
  <c r="I44"/>
  <c r="I232" l="1"/>
  <c r="H231"/>
  <c r="I239"/>
  <c r="I218"/>
  <c r="H239"/>
  <c r="H53"/>
  <c r="F53"/>
  <c r="F18" s="1"/>
  <c r="H195"/>
  <c r="I196"/>
  <c r="I204"/>
  <c r="H135"/>
  <c r="H100" s="1"/>
  <c r="I122"/>
  <c r="I135"/>
  <c r="H97"/>
  <c r="I97" s="1"/>
  <c r="H96"/>
  <c r="F94"/>
  <c r="F59" s="1"/>
  <c r="H99"/>
  <c r="I99" s="1"/>
  <c r="H18"/>
  <c r="I53"/>
  <c r="I40"/>
  <c r="I19"/>
  <c r="F17" l="1"/>
  <c r="I231"/>
  <c r="I195"/>
  <c r="I100"/>
  <c r="H94"/>
  <c r="H59" s="1"/>
  <c r="H17" s="1"/>
  <c r="I96"/>
  <c r="I18"/>
  <c r="I94" l="1"/>
  <c r="I59" s="1"/>
  <c r="I17" s="1"/>
  <c r="A256" i="3" l="1"/>
  <c r="A220"/>
  <c r="A184"/>
  <c r="A148"/>
  <c r="A112"/>
  <c r="J19" i="6"/>
  <c r="H19" s="1"/>
  <c r="F19" s="1"/>
  <c r="A298" i="4"/>
  <c r="C14" i="2"/>
  <c r="A299" i="4"/>
  <c r="C13" i="2"/>
  <c r="J10" i="6"/>
  <c r="J9"/>
  <c r="A185" i="4"/>
  <c r="A184"/>
  <c r="A3"/>
  <c r="J6" i="6" l="1"/>
  <c r="J12"/>
  <c r="J8"/>
  <c r="J7"/>
  <c r="D49" i="2" l="1"/>
  <c r="A4" i="4"/>
  <c r="A5" i="13"/>
  <c r="C1978" i="4" l="1"/>
  <c r="E1977"/>
  <c r="C1977"/>
  <c r="C1906"/>
  <c r="E1905"/>
  <c r="C1905"/>
  <c r="C1834"/>
  <c r="E1833"/>
  <c r="C1833"/>
  <c r="C1762"/>
  <c r="E1761"/>
  <c r="C1761"/>
  <c r="C1690"/>
  <c r="E1689"/>
  <c r="C1689"/>
  <c r="C1618"/>
  <c r="E1617"/>
  <c r="C1617"/>
  <c r="C1546"/>
  <c r="E1545"/>
  <c r="C1545"/>
  <c r="C1474"/>
  <c r="E1473"/>
  <c r="C1473"/>
  <c r="C1402"/>
  <c r="E1401"/>
  <c r="C1401"/>
  <c r="C1330"/>
  <c r="E1329"/>
  <c r="C1329"/>
  <c r="C1258"/>
  <c r="E1257"/>
  <c r="C1257"/>
  <c r="C1186"/>
  <c r="E1185"/>
  <c r="C1185"/>
  <c r="C1114"/>
  <c r="E1113"/>
  <c r="C1113"/>
  <c r="C1042"/>
  <c r="E1041"/>
  <c r="C1041"/>
  <c r="C970"/>
  <c r="E969"/>
  <c r="C969"/>
  <c r="C898"/>
  <c r="E897"/>
  <c r="C897"/>
  <c r="C326"/>
  <c r="C325"/>
  <c r="C1403" l="1"/>
  <c r="E1403"/>
  <c r="C1404"/>
  <c r="E1404"/>
  <c r="F1404" l="1"/>
  <c r="H1404" s="1"/>
  <c r="I1404" s="1"/>
  <c r="F1403"/>
  <c r="H1403" s="1"/>
  <c r="I1403" s="1"/>
  <c r="H12" i="6"/>
  <c r="F12" s="1"/>
  <c r="E1834" i="4" l="1"/>
  <c r="E1402"/>
  <c r="E1258"/>
  <c r="E1114"/>
  <c r="E970"/>
  <c r="E1978"/>
  <c r="E1906"/>
  <c r="E1762"/>
  <c r="E1690"/>
  <c r="E1618"/>
  <c r="E1546"/>
  <c r="E1474"/>
  <c r="E1330"/>
  <c r="E1186"/>
  <c r="E1042"/>
  <c r="E898"/>
  <c r="E326"/>
  <c r="J11" i="6"/>
  <c r="H11" s="1"/>
  <c r="F11" s="1"/>
  <c r="E325" i="4" s="1"/>
  <c r="N30" i="6"/>
  <c r="N32" s="1"/>
  <c r="J4" l="1"/>
  <c r="B916" i="3" l="1"/>
  <c r="G890"/>
  <c r="E890"/>
  <c r="A886"/>
  <c r="A885"/>
  <c r="B881"/>
  <c r="G855"/>
  <c r="E855"/>
  <c r="A851"/>
  <c r="A850"/>
  <c r="B846"/>
  <c r="G820"/>
  <c r="E820"/>
  <c r="A816"/>
  <c r="A815"/>
  <c r="B811"/>
  <c r="G785"/>
  <c r="E785"/>
  <c r="A781"/>
  <c r="A780"/>
  <c r="B776"/>
  <c r="G750"/>
  <c r="E750"/>
  <c r="A746"/>
  <c r="A745"/>
  <c r="B741"/>
  <c r="G715"/>
  <c r="E715"/>
  <c r="A711"/>
  <c r="A710"/>
  <c r="B706"/>
  <c r="G680"/>
  <c r="E680"/>
  <c r="A676"/>
  <c r="A675"/>
  <c r="B671"/>
  <c r="G645"/>
  <c r="E645"/>
  <c r="A641"/>
  <c r="A640"/>
  <c r="B636"/>
  <c r="G610"/>
  <c r="E610"/>
  <c r="A606"/>
  <c r="A605"/>
  <c r="B601"/>
  <c r="G575"/>
  <c r="E575"/>
  <c r="A571"/>
  <c r="A570"/>
  <c r="B566"/>
  <c r="G540"/>
  <c r="E540"/>
  <c r="A536"/>
  <c r="A535"/>
  <c r="B531"/>
  <c r="G505"/>
  <c r="E505"/>
  <c r="A501"/>
  <c r="A500"/>
  <c r="B496"/>
  <c r="G470"/>
  <c r="E470"/>
  <c r="A466"/>
  <c r="A465"/>
  <c r="B461"/>
  <c r="G435"/>
  <c r="E435"/>
  <c r="A431"/>
  <c r="A430"/>
  <c r="B426"/>
  <c r="G400"/>
  <c r="E400"/>
  <c r="A396"/>
  <c r="A395"/>
  <c r="B391"/>
  <c r="G365"/>
  <c r="E365"/>
  <c r="A361"/>
  <c r="A360"/>
  <c r="F1978" i="4"/>
  <c r="F1906"/>
  <c r="F1762"/>
  <c r="F1690"/>
  <c r="B2018"/>
  <c r="E2013"/>
  <c r="F2013" s="1"/>
  <c r="C2013"/>
  <c r="A2013"/>
  <c r="E2012"/>
  <c r="F2012" s="1"/>
  <c r="C2012"/>
  <c r="E2010"/>
  <c r="F2010" s="1"/>
  <c r="C2010"/>
  <c r="A2010"/>
  <c r="E2009"/>
  <c r="F2009" s="1"/>
  <c r="C2009"/>
  <c r="E2007"/>
  <c r="F2007" s="1"/>
  <c r="C2007"/>
  <c r="A2007"/>
  <c r="E2006"/>
  <c r="F2006" s="1"/>
  <c r="C2006"/>
  <c r="E2002"/>
  <c r="F2002" s="1"/>
  <c r="C2002"/>
  <c r="A2002"/>
  <c r="E2001"/>
  <c r="F2001" s="1"/>
  <c r="C2001"/>
  <c r="E1997"/>
  <c r="F1997" s="1"/>
  <c r="C1997"/>
  <c r="A1997"/>
  <c r="E1996"/>
  <c r="F1996" s="1"/>
  <c r="H1996" s="1"/>
  <c r="I1996" s="1"/>
  <c r="C1996"/>
  <c r="E1994"/>
  <c r="F1994" s="1"/>
  <c r="C1994"/>
  <c r="A1994"/>
  <c r="E1993"/>
  <c r="F1993" s="1"/>
  <c r="H1993" s="1"/>
  <c r="I1993" s="1"/>
  <c r="C1993"/>
  <c r="E1991"/>
  <c r="F1991" s="1"/>
  <c r="C1991"/>
  <c r="A1991"/>
  <c r="E1990"/>
  <c r="F1990" s="1"/>
  <c r="C1990"/>
  <c r="E1988"/>
  <c r="F1988" s="1"/>
  <c r="C1988"/>
  <c r="A1988"/>
  <c r="E1987"/>
  <c r="F1987" s="1"/>
  <c r="H1987" s="1"/>
  <c r="I1987" s="1"/>
  <c r="C1987"/>
  <c r="C1985"/>
  <c r="C1984"/>
  <c r="C1983"/>
  <c r="C1982"/>
  <c r="C1981"/>
  <c r="C1980"/>
  <c r="C1979"/>
  <c r="C1976"/>
  <c r="C1975"/>
  <c r="C1974"/>
  <c r="C1973"/>
  <c r="C1972"/>
  <c r="E1970"/>
  <c r="F1970" s="1"/>
  <c r="C1970"/>
  <c r="E1969"/>
  <c r="F1969" s="1"/>
  <c r="H1969" s="1"/>
  <c r="C1969"/>
  <c r="E1967"/>
  <c r="F1967" s="1"/>
  <c r="H1967" s="1"/>
  <c r="I1967" s="1"/>
  <c r="C1967"/>
  <c r="A1967"/>
  <c r="E1966"/>
  <c r="F1966" s="1"/>
  <c r="H1966" s="1"/>
  <c r="C1966"/>
  <c r="C1964"/>
  <c r="C1963"/>
  <c r="J1957"/>
  <c r="H1957"/>
  <c r="A1951"/>
  <c r="A1950"/>
  <c r="B1946"/>
  <c r="E1941"/>
  <c r="F1941" s="1"/>
  <c r="C1941"/>
  <c r="A1941"/>
  <c r="E1940"/>
  <c r="F1940" s="1"/>
  <c r="C1940"/>
  <c r="E1938"/>
  <c r="F1938" s="1"/>
  <c r="C1938"/>
  <c r="A1938"/>
  <c r="E1937"/>
  <c r="F1937" s="1"/>
  <c r="C1937"/>
  <c r="E1935"/>
  <c r="F1935" s="1"/>
  <c r="C1935"/>
  <c r="A1935"/>
  <c r="E1934"/>
  <c r="F1934" s="1"/>
  <c r="C1934"/>
  <c r="E1930"/>
  <c r="F1930" s="1"/>
  <c r="C1930"/>
  <c r="A1930"/>
  <c r="E1929"/>
  <c r="F1929" s="1"/>
  <c r="C1929"/>
  <c r="E1925"/>
  <c r="F1925" s="1"/>
  <c r="H1925" s="1"/>
  <c r="I1925" s="1"/>
  <c r="C1925"/>
  <c r="A1925"/>
  <c r="E1924"/>
  <c r="F1924" s="1"/>
  <c r="C1924"/>
  <c r="E1922"/>
  <c r="F1922" s="1"/>
  <c r="H1922" s="1"/>
  <c r="I1922" s="1"/>
  <c r="C1922"/>
  <c r="A1922"/>
  <c r="E1921"/>
  <c r="F1921" s="1"/>
  <c r="C1921"/>
  <c r="E1919"/>
  <c r="F1919" s="1"/>
  <c r="H1919" s="1"/>
  <c r="I1919" s="1"/>
  <c r="C1919"/>
  <c r="A1919"/>
  <c r="E1918"/>
  <c r="F1918" s="1"/>
  <c r="C1918"/>
  <c r="E1916"/>
  <c r="F1916" s="1"/>
  <c r="H1916" s="1"/>
  <c r="I1916" s="1"/>
  <c r="C1916"/>
  <c r="A1916"/>
  <c r="E1915"/>
  <c r="F1915" s="1"/>
  <c r="C1915"/>
  <c r="C1913"/>
  <c r="C1912"/>
  <c r="C1911"/>
  <c r="C1910"/>
  <c r="C1909"/>
  <c r="C1908"/>
  <c r="C1907"/>
  <c r="C1904"/>
  <c r="C1903"/>
  <c r="C1902"/>
  <c r="C1901"/>
  <c r="C1900"/>
  <c r="E1898"/>
  <c r="F1898" s="1"/>
  <c r="C1898"/>
  <c r="E1897"/>
  <c r="F1897" s="1"/>
  <c r="C1897"/>
  <c r="E1895"/>
  <c r="F1895" s="1"/>
  <c r="H1895" s="1"/>
  <c r="I1895" s="1"/>
  <c r="C1895"/>
  <c r="A1895"/>
  <c r="E1894"/>
  <c r="F1894" s="1"/>
  <c r="C1894"/>
  <c r="C1892"/>
  <c r="C1891"/>
  <c r="J1885"/>
  <c r="H1885"/>
  <c r="A1879"/>
  <c r="A1878"/>
  <c r="B1874"/>
  <c r="E1869"/>
  <c r="F1869" s="1"/>
  <c r="C1869"/>
  <c r="A1869"/>
  <c r="E1868"/>
  <c r="F1868" s="1"/>
  <c r="C1868"/>
  <c r="E1866"/>
  <c r="F1866" s="1"/>
  <c r="C1866"/>
  <c r="A1866"/>
  <c r="E1865"/>
  <c r="F1865" s="1"/>
  <c r="C1865"/>
  <c r="E1863"/>
  <c r="F1863" s="1"/>
  <c r="C1863"/>
  <c r="A1863"/>
  <c r="E1862"/>
  <c r="F1862" s="1"/>
  <c r="C1862"/>
  <c r="E1858"/>
  <c r="F1858" s="1"/>
  <c r="C1858"/>
  <c r="A1858"/>
  <c r="E1857"/>
  <c r="F1857" s="1"/>
  <c r="C1857"/>
  <c r="E1853"/>
  <c r="F1853" s="1"/>
  <c r="H1853" s="1"/>
  <c r="I1853" s="1"/>
  <c r="C1853"/>
  <c r="A1853"/>
  <c r="E1852"/>
  <c r="F1852" s="1"/>
  <c r="C1852"/>
  <c r="E1850"/>
  <c r="F1850" s="1"/>
  <c r="H1850" s="1"/>
  <c r="I1850" s="1"/>
  <c r="C1850"/>
  <c r="A1850"/>
  <c r="E1849"/>
  <c r="F1849" s="1"/>
  <c r="C1849"/>
  <c r="E1847"/>
  <c r="F1847" s="1"/>
  <c r="H1847" s="1"/>
  <c r="I1847" s="1"/>
  <c r="C1847"/>
  <c r="A1847"/>
  <c r="E1846"/>
  <c r="F1846" s="1"/>
  <c r="C1846"/>
  <c r="E1844"/>
  <c r="F1844" s="1"/>
  <c r="H1844" s="1"/>
  <c r="I1844" s="1"/>
  <c r="C1844"/>
  <c r="A1844"/>
  <c r="E1843"/>
  <c r="F1843" s="1"/>
  <c r="H1843" s="1"/>
  <c r="C1843"/>
  <c r="C1841"/>
  <c r="C1840"/>
  <c r="C1839"/>
  <c r="C1838"/>
  <c r="C1837"/>
  <c r="C1836"/>
  <c r="C1835"/>
  <c r="C1832"/>
  <c r="C1831"/>
  <c r="C1830"/>
  <c r="C1829"/>
  <c r="C1828"/>
  <c r="E1826"/>
  <c r="F1826" s="1"/>
  <c r="C1826"/>
  <c r="E1825"/>
  <c r="F1825" s="1"/>
  <c r="H1825" s="1"/>
  <c r="C1825"/>
  <c r="E1823"/>
  <c r="F1823" s="1"/>
  <c r="H1823" s="1"/>
  <c r="I1823" s="1"/>
  <c r="C1823"/>
  <c r="A1823"/>
  <c r="E1822"/>
  <c r="F1822" s="1"/>
  <c r="H1822" s="1"/>
  <c r="C1822"/>
  <c r="C1820"/>
  <c r="C1819"/>
  <c r="J1813"/>
  <c r="H1813"/>
  <c r="A1807"/>
  <c r="A1806"/>
  <c r="B1802"/>
  <c r="E1797"/>
  <c r="F1797" s="1"/>
  <c r="C1797"/>
  <c r="A1797"/>
  <c r="E1796"/>
  <c r="F1796" s="1"/>
  <c r="C1796"/>
  <c r="E1794"/>
  <c r="F1794" s="1"/>
  <c r="C1794"/>
  <c r="A1794"/>
  <c r="E1793"/>
  <c r="F1793" s="1"/>
  <c r="C1793"/>
  <c r="E1791"/>
  <c r="F1791" s="1"/>
  <c r="C1791"/>
  <c r="A1791"/>
  <c r="E1790"/>
  <c r="F1790" s="1"/>
  <c r="C1790"/>
  <c r="E1786"/>
  <c r="F1786" s="1"/>
  <c r="H1786" s="1"/>
  <c r="I1786" s="1"/>
  <c r="C1786"/>
  <c r="A1786"/>
  <c r="E1785"/>
  <c r="F1785" s="1"/>
  <c r="H1785" s="1"/>
  <c r="C1785"/>
  <c r="E1781"/>
  <c r="F1781" s="1"/>
  <c r="C1781"/>
  <c r="A1781"/>
  <c r="E1780"/>
  <c r="F1780" s="1"/>
  <c r="C1780"/>
  <c r="E1778"/>
  <c r="F1778" s="1"/>
  <c r="H1778" s="1"/>
  <c r="I1778" s="1"/>
  <c r="C1778"/>
  <c r="A1778"/>
  <c r="E1777"/>
  <c r="F1777" s="1"/>
  <c r="H1777" s="1"/>
  <c r="C1777"/>
  <c r="E1775"/>
  <c r="F1775" s="1"/>
  <c r="C1775"/>
  <c r="A1775"/>
  <c r="E1774"/>
  <c r="F1774" s="1"/>
  <c r="C1774"/>
  <c r="E1772"/>
  <c r="F1772" s="1"/>
  <c r="H1772" s="1"/>
  <c r="I1772" s="1"/>
  <c r="C1772"/>
  <c r="A1772"/>
  <c r="E1771"/>
  <c r="F1771" s="1"/>
  <c r="C1771"/>
  <c r="C1769"/>
  <c r="C1768"/>
  <c r="C1767"/>
  <c r="C1766"/>
  <c r="C1765"/>
  <c r="C1764"/>
  <c r="C1763"/>
  <c r="C1760"/>
  <c r="C1759"/>
  <c r="C1758"/>
  <c r="C1757"/>
  <c r="C1756"/>
  <c r="E1754"/>
  <c r="F1754" s="1"/>
  <c r="H1754" s="1"/>
  <c r="I1754" s="1"/>
  <c r="C1754"/>
  <c r="E1753"/>
  <c r="F1753" s="1"/>
  <c r="H1753" s="1"/>
  <c r="C1753"/>
  <c r="E1751"/>
  <c r="F1751" s="1"/>
  <c r="C1751"/>
  <c r="A1751"/>
  <c r="E1750"/>
  <c r="F1750" s="1"/>
  <c r="C1750"/>
  <c r="C1748"/>
  <c r="C1747"/>
  <c r="J1741"/>
  <c r="H1741"/>
  <c r="A1735"/>
  <c r="A1734"/>
  <c r="B1730"/>
  <c r="E1725"/>
  <c r="F1725" s="1"/>
  <c r="C1725"/>
  <c r="A1725"/>
  <c r="E1724"/>
  <c r="F1724" s="1"/>
  <c r="C1724"/>
  <c r="E1722"/>
  <c r="F1722" s="1"/>
  <c r="C1722"/>
  <c r="A1722"/>
  <c r="E1721"/>
  <c r="F1721" s="1"/>
  <c r="C1721"/>
  <c r="E1719"/>
  <c r="F1719" s="1"/>
  <c r="C1719"/>
  <c r="A1719"/>
  <c r="E1718"/>
  <c r="F1718" s="1"/>
  <c r="C1718"/>
  <c r="E1714"/>
  <c r="F1714" s="1"/>
  <c r="H1714" s="1"/>
  <c r="I1714" s="1"/>
  <c r="C1714"/>
  <c r="A1714"/>
  <c r="E1713"/>
  <c r="F1713" s="1"/>
  <c r="H1713" s="1"/>
  <c r="C1713"/>
  <c r="E1709"/>
  <c r="F1709" s="1"/>
  <c r="H1709" s="1"/>
  <c r="I1709" s="1"/>
  <c r="C1709"/>
  <c r="A1709"/>
  <c r="E1708"/>
  <c r="F1708" s="1"/>
  <c r="C1708"/>
  <c r="E1706"/>
  <c r="F1706" s="1"/>
  <c r="C1706"/>
  <c r="A1706"/>
  <c r="E1705"/>
  <c r="F1705" s="1"/>
  <c r="C1705"/>
  <c r="E1703"/>
  <c r="F1703" s="1"/>
  <c r="H1703" s="1"/>
  <c r="I1703" s="1"/>
  <c r="C1703"/>
  <c r="A1703"/>
  <c r="E1702"/>
  <c r="F1702" s="1"/>
  <c r="C1702"/>
  <c r="E1700"/>
  <c r="F1700" s="1"/>
  <c r="H1700" s="1"/>
  <c r="I1700" s="1"/>
  <c r="C1700"/>
  <c r="A1700"/>
  <c r="E1699"/>
  <c r="F1699" s="1"/>
  <c r="C1699"/>
  <c r="C1697"/>
  <c r="C1696"/>
  <c r="C1695"/>
  <c r="C1694"/>
  <c r="C1693"/>
  <c r="C1692"/>
  <c r="C1691"/>
  <c r="C1688"/>
  <c r="C1687"/>
  <c r="C1686"/>
  <c r="C1685"/>
  <c r="C1684"/>
  <c r="E1682"/>
  <c r="F1682" s="1"/>
  <c r="C1682"/>
  <c r="E1681"/>
  <c r="F1681" s="1"/>
  <c r="C1681"/>
  <c r="E1679"/>
  <c r="F1679" s="1"/>
  <c r="C1679"/>
  <c r="A1679"/>
  <c r="E1678"/>
  <c r="F1678" s="1"/>
  <c r="H1678" s="1"/>
  <c r="C1678"/>
  <c r="C1676"/>
  <c r="C1675"/>
  <c r="J1669"/>
  <c r="H1669"/>
  <c r="A1663"/>
  <c r="A1662"/>
  <c r="F1618"/>
  <c r="F1546"/>
  <c r="F1474"/>
  <c r="D86" i="2"/>
  <c r="E86" s="1"/>
  <c r="A1953" i="4" s="1"/>
  <c r="D76" i="2"/>
  <c r="E76" s="1"/>
  <c r="A538" i="3" s="1"/>
  <c r="D77" i="2"/>
  <c r="E77" s="1"/>
  <c r="A1305" i="4" s="1"/>
  <c r="D78" i="2"/>
  <c r="E78" s="1"/>
  <c r="A608" i="3" s="1"/>
  <c r="D79" i="2"/>
  <c r="E79" s="1"/>
  <c r="A643" i="3" s="1"/>
  <c r="D80" i="2"/>
  <c r="E80" s="1"/>
  <c r="A678" i="3" s="1"/>
  <c r="D81" i="2"/>
  <c r="E81" s="1"/>
  <c r="A713" i="3" s="1"/>
  <c r="D82" i="2"/>
  <c r="E82" s="1"/>
  <c r="A1665" i="4" s="1"/>
  <c r="D83" i="2"/>
  <c r="E83" s="1"/>
  <c r="A1737" i="4" s="1"/>
  <c r="D84" i="2"/>
  <c r="E84" s="1"/>
  <c r="A818" i="3" s="1"/>
  <c r="D85" i="2"/>
  <c r="E85" s="1"/>
  <c r="A1881" i="4" s="1"/>
  <c r="F1042"/>
  <c r="F898"/>
  <c r="B1658"/>
  <c r="E1653"/>
  <c r="F1653" s="1"/>
  <c r="C1653"/>
  <c r="A1653"/>
  <c r="E1652"/>
  <c r="F1652" s="1"/>
  <c r="C1652"/>
  <c r="E1650"/>
  <c r="F1650" s="1"/>
  <c r="C1650"/>
  <c r="A1650"/>
  <c r="E1649"/>
  <c r="F1649" s="1"/>
  <c r="C1649"/>
  <c r="E1647"/>
  <c r="F1647" s="1"/>
  <c r="C1647"/>
  <c r="A1647"/>
  <c r="E1646"/>
  <c r="F1646" s="1"/>
  <c r="C1646"/>
  <c r="E1642"/>
  <c r="F1642" s="1"/>
  <c r="C1642"/>
  <c r="A1642"/>
  <c r="E1641"/>
  <c r="F1641" s="1"/>
  <c r="C1641"/>
  <c r="E1637"/>
  <c r="F1637" s="1"/>
  <c r="C1637"/>
  <c r="A1637"/>
  <c r="E1636"/>
  <c r="F1636" s="1"/>
  <c r="H1636" s="1"/>
  <c r="I1636" s="1"/>
  <c r="C1636"/>
  <c r="E1634"/>
  <c r="F1634" s="1"/>
  <c r="C1634"/>
  <c r="A1634"/>
  <c r="E1633"/>
  <c r="F1633" s="1"/>
  <c r="H1633" s="1"/>
  <c r="C1633"/>
  <c r="E1631"/>
  <c r="F1631" s="1"/>
  <c r="C1631"/>
  <c r="A1631"/>
  <c r="E1630"/>
  <c r="F1630" s="1"/>
  <c r="H1630" s="1"/>
  <c r="C1630"/>
  <c r="E1628"/>
  <c r="F1628" s="1"/>
  <c r="C1628"/>
  <c r="A1628"/>
  <c r="E1627"/>
  <c r="F1627" s="1"/>
  <c r="H1627" s="1"/>
  <c r="C1627"/>
  <c r="C1625"/>
  <c r="C1624"/>
  <c r="C1623"/>
  <c r="C1622"/>
  <c r="C1621"/>
  <c r="C1620"/>
  <c r="C1619"/>
  <c r="C1616"/>
  <c r="C1615"/>
  <c r="C1614"/>
  <c r="C1613"/>
  <c r="C1612"/>
  <c r="E1610"/>
  <c r="F1610" s="1"/>
  <c r="C1610"/>
  <c r="E1609"/>
  <c r="F1609" s="1"/>
  <c r="H1609" s="1"/>
  <c r="C1609"/>
  <c r="E1607"/>
  <c r="F1607" s="1"/>
  <c r="H1607" s="1"/>
  <c r="I1607" s="1"/>
  <c r="C1607"/>
  <c r="A1607"/>
  <c r="E1606"/>
  <c r="F1606" s="1"/>
  <c r="H1606" s="1"/>
  <c r="C1606"/>
  <c r="C1604"/>
  <c r="C1603"/>
  <c r="J1597"/>
  <c r="H1597"/>
  <c r="A1591"/>
  <c r="A1590"/>
  <c r="B1586"/>
  <c r="E1581"/>
  <c r="F1581" s="1"/>
  <c r="C1581"/>
  <c r="A1581"/>
  <c r="E1580"/>
  <c r="F1580" s="1"/>
  <c r="C1580"/>
  <c r="E1578"/>
  <c r="F1578" s="1"/>
  <c r="C1578"/>
  <c r="A1578"/>
  <c r="E1577"/>
  <c r="F1577" s="1"/>
  <c r="C1577"/>
  <c r="E1575"/>
  <c r="F1575" s="1"/>
  <c r="C1575"/>
  <c r="A1575"/>
  <c r="E1574"/>
  <c r="F1574" s="1"/>
  <c r="C1574"/>
  <c r="E1570"/>
  <c r="F1570" s="1"/>
  <c r="H1570" s="1"/>
  <c r="I1570" s="1"/>
  <c r="C1570"/>
  <c r="A1570"/>
  <c r="E1569"/>
  <c r="F1569" s="1"/>
  <c r="C1569"/>
  <c r="E1565"/>
  <c r="F1565" s="1"/>
  <c r="C1565"/>
  <c r="A1565"/>
  <c r="E1564"/>
  <c r="F1564" s="1"/>
  <c r="H1564" s="1"/>
  <c r="C1564"/>
  <c r="E1562"/>
  <c r="F1562" s="1"/>
  <c r="H1562" s="1"/>
  <c r="I1562" s="1"/>
  <c r="C1562"/>
  <c r="A1562"/>
  <c r="E1561"/>
  <c r="F1561" s="1"/>
  <c r="H1561" s="1"/>
  <c r="C1561"/>
  <c r="E1559"/>
  <c r="F1559" s="1"/>
  <c r="H1559" s="1"/>
  <c r="I1559" s="1"/>
  <c r="C1559"/>
  <c r="A1559"/>
  <c r="E1558"/>
  <c r="F1558" s="1"/>
  <c r="H1558" s="1"/>
  <c r="C1558"/>
  <c r="E1556"/>
  <c r="F1556" s="1"/>
  <c r="H1556" s="1"/>
  <c r="I1556" s="1"/>
  <c r="C1556"/>
  <c r="A1556"/>
  <c r="E1555"/>
  <c r="F1555" s="1"/>
  <c r="C1555"/>
  <c r="C1553"/>
  <c r="C1552"/>
  <c r="C1551"/>
  <c r="C1550"/>
  <c r="C1549"/>
  <c r="C1548"/>
  <c r="C1547"/>
  <c r="C1544"/>
  <c r="C1543"/>
  <c r="C1542"/>
  <c r="C1541"/>
  <c r="C1540"/>
  <c r="E1538"/>
  <c r="F1538" s="1"/>
  <c r="C1538"/>
  <c r="E1537"/>
  <c r="F1537" s="1"/>
  <c r="H1537" s="1"/>
  <c r="C1537"/>
  <c r="E1535"/>
  <c r="F1535" s="1"/>
  <c r="C1535"/>
  <c r="A1535"/>
  <c r="E1534"/>
  <c r="F1534" s="1"/>
  <c r="H1534" s="1"/>
  <c r="C1534"/>
  <c r="C1532"/>
  <c r="C1531"/>
  <c r="J1525"/>
  <c r="H1525"/>
  <c r="A1519"/>
  <c r="A1518"/>
  <c r="B1514"/>
  <c r="E1509"/>
  <c r="F1509" s="1"/>
  <c r="C1509"/>
  <c r="A1509"/>
  <c r="E1508"/>
  <c r="F1508" s="1"/>
  <c r="C1508"/>
  <c r="E1506"/>
  <c r="F1506" s="1"/>
  <c r="C1506"/>
  <c r="A1506"/>
  <c r="E1505"/>
  <c r="F1505" s="1"/>
  <c r="C1505"/>
  <c r="E1503"/>
  <c r="F1503" s="1"/>
  <c r="C1503"/>
  <c r="A1503"/>
  <c r="E1502"/>
  <c r="F1502" s="1"/>
  <c r="C1502"/>
  <c r="E1498"/>
  <c r="F1498" s="1"/>
  <c r="C1498"/>
  <c r="A1498"/>
  <c r="E1497"/>
  <c r="F1497" s="1"/>
  <c r="C1497"/>
  <c r="E1493"/>
  <c r="F1493" s="1"/>
  <c r="C1493"/>
  <c r="A1493"/>
  <c r="E1492"/>
  <c r="F1492" s="1"/>
  <c r="H1492" s="1"/>
  <c r="I1492" s="1"/>
  <c r="C1492"/>
  <c r="E1490"/>
  <c r="F1490" s="1"/>
  <c r="C1490"/>
  <c r="A1490"/>
  <c r="E1489"/>
  <c r="F1489" s="1"/>
  <c r="H1489" s="1"/>
  <c r="I1489" s="1"/>
  <c r="C1489"/>
  <c r="E1487"/>
  <c r="F1487" s="1"/>
  <c r="C1487"/>
  <c r="A1487"/>
  <c r="E1486"/>
  <c r="F1486" s="1"/>
  <c r="H1486" s="1"/>
  <c r="I1486" s="1"/>
  <c r="C1486"/>
  <c r="E1484"/>
  <c r="F1484" s="1"/>
  <c r="C1484"/>
  <c r="A1484"/>
  <c r="E1483"/>
  <c r="F1483" s="1"/>
  <c r="H1483" s="1"/>
  <c r="I1483" s="1"/>
  <c r="C1483"/>
  <c r="C1481"/>
  <c r="C1480"/>
  <c r="C1479"/>
  <c r="C1478"/>
  <c r="C1477"/>
  <c r="C1476"/>
  <c r="C1475"/>
  <c r="C1472"/>
  <c r="C1471"/>
  <c r="C1470"/>
  <c r="C1469"/>
  <c r="C1468"/>
  <c r="E1466"/>
  <c r="F1466" s="1"/>
  <c r="H1466" s="1"/>
  <c r="I1466" s="1"/>
  <c r="C1466"/>
  <c r="E1465"/>
  <c r="F1465" s="1"/>
  <c r="C1465"/>
  <c r="E1463"/>
  <c r="F1463" s="1"/>
  <c r="C1463"/>
  <c r="A1463"/>
  <c r="E1462"/>
  <c r="F1462" s="1"/>
  <c r="C1462"/>
  <c r="C1460"/>
  <c r="C1459"/>
  <c r="J1453"/>
  <c r="H1453"/>
  <c r="A1447"/>
  <c r="A1446"/>
  <c r="B1442"/>
  <c r="E1437"/>
  <c r="F1437" s="1"/>
  <c r="C1437"/>
  <c r="A1437"/>
  <c r="E1436"/>
  <c r="F1436" s="1"/>
  <c r="C1436"/>
  <c r="E1434"/>
  <c r="F1434" s="1"/>
  <c r="C1434"/>
  <c r="A1434"/>
  <c r="E1433"/>
  <c r="F1433" s="1"/>
  <c r="C1433"/>
  <c r="E1431"/>
  <c r="F1431" s="1"/>
  <c r="C1431"/>
  <c r="A1431"/>
  <c r="E1430"/>
  <c r="F1430" s="1"/>
  <c r="C1430"/>
  <c r="E1426"/>
  <c r="F1426" s="1"/>
  <c r="C1426"/>
  <c r="A1426"/>
  <c r="E1425"/>
  <c r="F1425" s="1"/>
  <c r="C1425"/>
  <c r="E1421"/>
  <c r="F1421" s="1"/>
  <c r="H1421" s="1"/>
  <c r="I1421" s="1"/>
  <c r="C1421"/>
  <c r="A1421"/>
  <c r="E1420"/>
  <c r="F1420" s="1"/>
  <c r="H1420" s="1"/>
  <c r="C1420"/>
  <c r="E1418"/>
  <c r="F1418" s="1"/>
  <c r="H1418" s="1"/>
  <c r="I1418" s="1"/>
  <c r="C1418"/>
  <c r="A1418"/>
  <c r="E1417"/>
  <c r="F1417" s="1"/>
  <c r="H1417" s="1"/>
  <c r="C1417"/>
  <c r="E1415"/>
  <c r="F1415" s="1"/>
  <c r="H1415" s="1"/>
  <c r="I1415" s="1"/>
  <c r="C1415"/>
  <c r="A1415"/>
  <c r="E1414"/>
  <c r="F1414" s="1"/>
  <c r="H1414" s="1"/>
  <c r="C1414"/>
  <c r="E1412"/>
  <c r="F1412" s="1"/>
  <c r="H1412" s="1"/>
  <c r="I1412" s="1"/>
  <c r="C1412"/>
  <c r="A1412"/>
  <c r="E1411"/>
  <c r="F1411" s="1"/>
  <c r="H1411" s="1"/>
  <c r="C1411"/>
  <c r="C1409"/>
  <c r="C1408"/>
  <c r="C1407"/>
  <c r="C1406"/>
  <c r="C1405"/>
  <c r="C1400"/>
  <c r="C1399"/>
  <c r="C1398"/>
  <c r="C1397"/>
  <c r="C1396"/>
  <c r="E1394"/>
  <c r="F1394" s="1"/>
  <c r="C1394"/>
  <c r="E1393"/>
  <c r="F1393" s="1"/>
  <c r="H1393" s="1"/>
  <c r="C1393"/>
  <c r="E1391"/>
  <c r="F1391" s="1"/>
  <c r="C1391"/>
  <c r="A1391"/>
  <c r="E1390"/>
  <c r="F1390" s="1"/>
  <c r="C1390"/>
  <c r="C1388"/>
  <c r="C1387"/>
  <c r="J1381"/>
  <c r="H1381"/>
  <c r="A1375"/>
  <c r="A1374"/>
  <c r="B1370"/>
  <c r="E1365"/>
  <c r="F1365" s="1"/>
  <c r="C1365"/>
  <c r="A1365"/>
  <c r="E1364"/>
  <c r="F1364" s="1"/>
  <c r="C1364"/>
  <c r="E1362"/>
  <c r="F1362" s="1"/>
  <c r="C1362"/>
  <c r="A1362"/>
  <c r="E1361"/>
  <c r="F1361" s="1"/>
  <c r="C1361"/>
  <c r="E1359"/>
  <c r="F1359" s="1"/>
  <c r="C1359"/>
  <c r="A1359"/>
  <c r="E1358"/>
  <c r="F1358" s="1"/>
  <c r="C1358"/>
  <c r="E1354"/>
  <c r="F1354" s="1"/>
  <c r="H1354" s="1"/>
  <c r="I1354" s="1"/>
  <c r="C1354"/>
  <c r="A1354"/>
  <c r="E1353"/>
  <c r="F1353" s="1"/>
  <c r="H1353" s="1"/>
  <c r="C1353"/>
  <c r="E1349"/>
  <c r="F1349" s="1"/>
  <c r="C1349"/>
  <c r="A1349"/>
  <c r="E1348"/>
  <c r="F1348" s="1"/>
  <c r="C1348"/>
  <c r="E1346"/>
  <c r="F1346" s="1"/>
  <c r="H1346" s="1"/>
  <c r="I1346" s="1"/>
  <c r="C1346"/>
  <c r="A1346"/>
  <c r="E1345"/>
  <c r="F1345" s="1"/>
  <c r="C1345"/>
  <c r="E1343"/>
  <c r="F1343" s="1"/>
  <c r="C1343"/>
  <c r="A1343"/>
  <c r="E1342"/>
  <c r="F1342" s="1"/>
  <c r="C1342"/>
  <c r="E1340"/>
  <c r="F1340" s="1"/>
  <c r="H1340" s="1"/>
  <c r="I1340" s="1"/>
  <c r="C1340"/>
  <c r="A1340"/>
  <c r="E1339"/>
  <c r="F1339" s="1"/>
  <c r="C1339"/>
  <c r="C1337"/>
  <c r="C1336"/>
  <c r="C1335"/>
  <c r="C1334"/>
  <c r="C1333"/>
  <c r="C1332"/>
  <c r="C1331"/>
  <c r="C1328"/>
  <c r="C1327"/>
  <c r="C1326"/>
  <c r="C1325"/>
  <c r="C1324"/>
  <c r="E1322"/>
  <c r="F1322" s="1"/>
  <c r="C1322"/>
  <c r="E1321"/>
  <c r="F1321" s="1"/>
  <c r="H1321" s="1"/>
  <c r="C1321"/>
  <c r="E1319"/>
  <c r="F1319" s="1"/>
  <c r="H1319" s="1"/>
  <c r="I1319" s="1"/>
  <c r="C1319"/>
  <c r="A1319"/>
  <c r="E1318"/>
  <c r="F1318" s="1"/>
  <c r="H1318" s="1"/>
  <c r="C1318"/>
  <c r="C1316"/>
  <c r="C1315"/>
  <c r="J1309"/>
  <c r="H1309"/>
  <c r="A1303"/>
  <c r="A1302"/>
  <c r="B1298"/>
  <c r="E1293"/>
  <c r="F1293" s="1"/>
  <c r="C1293"/>
  <c r="A1293"/>
  <c r="E1292"/>
  <c r="F1292" s="1"/>
  <c r="C1292"/>
  <c r="E1290"/>
  <c r="F1290" s="1"/>
  <c r="C1290"/>
  <c r="A1290"/>
  <c r="E1289"/>
  <c r="F1289" s="1"/>
  <c r="C1289"/>
  <c r="E1287"/>
  <c r="F1287" s="1"/>
  <c r="C1287"/>
  <c r="A1287"/>
  <c r="E1286"/>
  <c r="F1286" s="1"/>
  <c r="C1286"/>
  <c r="E1282"/>
  <c r="F1282" s="1"/>
  <c r="H1282" s="1"/>
  <c r="I1282" s="1"/>
  <c r="C1282"/>
  <c r="A1282"/>
  <c r="E1281"/>
  <c r="F1281" s="1"/>
  <c r="H1281" s="1"/>
  <c r="C1281"/>
  <c r="E1277"/>
  <c r="F1277" s="1"/>
  <c r="H1277" s="1"/>
  <c r="I1277" s="1"/>
  <c r="C1277"/>
  <c r="A1277"/>
  <c r="E1276"/>
  <c r="F1276" s="1"/>
  <c r="C1276"/>
  <c r="E1274"/>
  <c r="F1274" s="1"/>
  <c r="C1274"/>
  <c r="A1274"/>
  <c r="E1273"/>
  <c r="F1273" s="1"/>
  <c r="C1273"/>
  <c r="E1271"/>
  <c r="F1271" s="1"/>
  <c r="H1271" s="1"/>
  <c r="I1271" s="1"/>
  <c r="C1271"/>
  <c r="A1271"/>
  <c r="E1270"/>
  <c r="F1270" s="1"/>
  <c r="C1270"/>
  <c r="E1268"/>
  <c r="F1268" s="1"/>
  <c r="C1268"/>
  <c r="A1268"/>
  <c r="E1267"/>
  <c r="F1267" s="1"/>
  <c r="C1267"/>
  <c r="C1265"/>
  <c r="C1264"/>
  <c r="C1263"/>
  <c r="C1262"/>
  <c r="C1261"/>
  <c r="C1260"/>
  <c r="C1259"/>
  <c r="C1256"/>
  <c r="C1255"/>
  <c r="C1254"/>
  <c r="C1253"/>
  <c r="C1252"/>
  <c r="E1250"/>
  <c r="F1250" s="1"/>
  <c r="H1250" s="1"/>
  <c r="I1250" s="1"/>
  <c r="C1250"/>
  <c r="E1249"/>
  <c r="F1249" s="1"/>
  <c r="H1249" s="1"/>
  <c r="C1249"/>
  <c r="E1247"/>
  <c r="F1247" s="1"/>
  <c r="H1247" s="1"/>
  <c r="I1247" s="1"/>
  <c r="C1247"/>
  <c r="A1247"/>
  <c r="E1246"/>
  <c r="F1246" s="1"/>
  <c r="H1246" s="1"/>
  <c r="C1246"/>
  <c r="C1244"/>
  <c r="C1243"/>
  <c r="J1237"/>
  <c r="H1237"/>
  <c r="A1231"/>
  <c r="A1230"/>
  <c r="B1226"/>
  <c r="E1221"/>
  <c r="F1221" s="1"/>
  <c r="C1221"/>
  <c r="A1221"/>
  <c r="E1220"/>
  <c r="F1220" s="1"/>
  <c r="C1220"/>
  <c r="E1218"/>
  <c r="F1218" s="1"/>
  <c r="C1218"/>
  <c r="A1218"/>
  <c r="E1217"/>
  <c r="F1217" s="1"/>
  <c r="C1217"/>
  <c r="E1215"/>
  <c r="F1215" s="1"/>
  <c r="C1215"/>
  <c r="A1215"/>
  <c r="E1214"/>
  <c r="F1214" s="1"/>
  <c r="C1214"/>
  <c r="E1210"/>
  <c r="F1210" s="1"/>
  <c r="C1210"/>
  <c r="A1210"/>
  <c r="E1209"/>
  <c r="F1209" s="1"/>
  <c r="C1209"/>
  <c r="E1205"/>
  <c r="F1205" s="1"/>
  <c r="H1205" s="1"/>
  <c r="I1205" s="1"/>
  <c r="C1205"/>
  <c r="A1205"/>
  <c r="E1204"/>
  <c r="F1204" s="1"/>
  <c r="H1204" s="1"/>
  <c r="I1204" s="1"/>
  <c r="C1204"/>
  <c r="E1202"/>
  <c r="F1202" s="1"/>
  <c r="H1202" s="1"/>
  <c r="I1202" s="1"/>
  <c r="C1202"/>
  <c r="A1202"/>
  <c r="E1201"/>
  <c r="F1201" s="1"/>
  <c r="C1201"/>
  <c r="E1199"/>
  <c r="F1199" s="1"/>
  <c r="H1199" s="1"/>
  <c r="I1199" s="1"/>
  <c r="C1199"/>
  <c r="A1199"/>
  <c r="E1198"/>
  <c r="F1198" s="1"/>
  <c r="C1198"/>
  <c r="E1196"/>
  <c r="F1196" s="1"/>
  <c r="H1196" s="1"/>
  <c r="I1196" s="1"/>
  <c r="C1196"/>
  <c r="A1196"/>
  <c r="E1195"/>
  <c r="F1195" s="1"/>
  <c r="H1195" s="1"/>
  <c r="C1195"/>
  <c r="C1193"/>
  <c r="C1192"/>
  <c r="C1191"/>
  <c r="C1190"/>
  <c r="C1189"/>
  <c r="C1188"/>
  <c r="C1187"/>
  <c r="C1184"/>
  <c r="C1183"/>
  <c r="C1182"/>
  <c r="C1181"/>
  <c r="C1180"/>
  <c r="E1178"/>
  <c r="F1178" s="1"/>
  <c r="H1178" s="1"/>
  <c r="I1178" s="1"/>
  <c r="C1178"/>
  <c r="E1177"/>
  <c r="F1177" s="1"/>
  <c r="H1177" s="1"/>
  <c r="C1177"/>
  <c r="E1175"/>
  <c r="F1175" s="1"/>
  <c r="H1175" s="1"/>
  <c r="I1175" s="1"/>
  <c r="C1175"/>
  <c r="A1175"/>
  <c r="E1174"/>
  <c r="F1174" s="1"/>
  <c r="H1174" s="1"/>
  <c r="C1174"/>
  <c r="C1172"/>
  <c r="C1171"/>
  <c r="J1165"/>
  <c r="H1165"/>
  <c r="A1159"/>
  <c r="A1158"/>
  <c r="B1154"/>
  <c r="E1149"/>
  <c r="F1149" s="1"/>
  <c r="C1149"/>
  <c r="A1149"/>
  <c r="E1148"/>
  <c r="F1148" s="1"/>
  <c r="C1148"/>
  <c r="E1146"/>
  <c r="F1146" s="1"/>
  <c r="C1146"/>
  <c r="A1146"/>
  <c r="E1145"/>
  <c r="F1145" s="1"/>
  <c r="C1145"/>
  <c r="E1143"/>
  <c r="F1143" s="1"/>
  <c r="C1143"/>
  <c r="A1143"/>
  <c r="E1142"/>
  <c r="F1142" s="1"/>
  <c r="C1142"/>
  <c r="E1138"/>
  <c r="F1138" s="1"/>
  <c r="C1138"/>
  <c r="A1138"/>
  <c r="E1137"/>
  <c r="F1137" s="1"/>
  <c r="C1137"/>
  <c r="E1133"/>
  <c r="F1133" s="1"/>
  <c r="C1133"/>
  <c r="A1133"/>
  <c r="E1132"/>
  <c r="F1132" s="1"/>
  <c r="H1132" s="1"/>
  <c r="I1132" s="1"/>
  <c r="C1132"/>
  <c r="E1130"/>
  <c r="F1130" s="1"/>
  <c r="C1130"/>
  <c r="A1130"/>
  <c r="E1129"/>
  <c r="F1129" s="1"/>
  <c r="H1129" s="1"/>
  <c r="I1129" s="1"/>
  <c r="C1129"/>
  <c r="E1127"/>
  <c r="F1127" s="1"/>
  <c r="C1127"/>
  <c r="A1127"/>
  <c r="E1126"/>
  <c r="F1126" s="1"/>
  <c r="H1126" s="1"/>
  <c r="I1126" s="1"/>
  <c r="C1126"/>
  <c r="E1124"/>
  <c r="F1124" s="1"/>
  <c r="C1124"/>
  <c r="A1124"/>
  <c r="E1123"/>
  <c r="F1123" s="1"/>
  <c r="H1123" s="1"/>
  <c r="C1123"/>
  <c r="C1121"/>
  <c r="C1120"/>
  <c r="C1119"/>
  <c r="C1118"/>
  <c r="C1117"/>
  <c r="C1116"/>
  <c r="C1115"/>
  <c r="C1112"/>
  <c r="C1111"/>
  <c r="C1110"/>
  <c r="C1109"/>
  <c r="C1108"/>
  <c r="E1106"/>
  <c r="F1106" s="1"/>
  <c r="H1106" s="1"/>
  <c r="I1106" s="1"/>
  <c r="C1106"/>
  <c r="E1105"/>
  <c r="F1105" s="1"/>
  <c r="C1105"/>
  <c r="E1103"/>
  <c r="F1103" s="1"/>
  <c r="C1103"/>
  <c r="A1103"/>
  <c r="E1102"/>
  <c r="F1102" s="1"/>
  <c r="H1102" s="1"/>
  <c r="C1102"/>
  <c r="C1100"/>
  <c r="C1099"/>
  <c r="J1093"/>
  <c r="H1093"/>
  <c r="A1087"/>
  <c r="A1086"/>
  <c r="B1082"/>
  <c r="E1077"/>
  <c r="F1077" s="1"/>
  <c r="C1077"/>
  <c r="A1077"/>
  <c r="E1076"/>
  <c r="F1076" s="1"/>
  <c r="C1076"/>
  <c r="E1074"/>
  <c r="F1074" s="1"/>
  <c r="C1074"/>
  <c r="A1074"/>
  <c r="E1073"/>
  <c r="F1073" s="1"/>
  <c r="C1073"/>
  <c r="E1071"/>
  <c r="F1071" s="1"/>
  <c r="C1071"/>
  <c r="A1071"/>
  <c r="E1070"/>
  <c r="F1070" s="1"/>
  <c r="C1070"/>
  <c r="E1066"/>
  <c r="F1066" s="1"/>
  <c r="C1066"/>
  <c r="A1066"/>
  <c r="E1065"/>
  <c r="F1065" s="1"/>
  <c r="C1065"/>
  <c r="E1061"/>
  <c r="F1061" s="1"/>
  <c r="H1061" s="1"/>
  <c r="I1061" s="1"/>
  <c r="C1061"/>
  <c r="A1061"/>
  <c r="E1060"/>
  <c r="F1060" s="1"/>
  <c r="H1060" s="1"/>
  <c r="C1060"/>
  <c r="E1058"/>
  <c r="F1058" s="1"/>
  <c r="H1058" s="1"/>
  <c r="I1058" s="1"/>
  <c r="C1058"/>
  <c r="A1058"/>
  <c r="E1057"/>
  <c r="F1057" s="1"/>
  <c r="C1057"/>
  <c r="E1055"/>
  <c r="F1055" s="1"/>
  <c r="H1055" s="1"/>
  <c r="I1055" s="1"/>
  <c r="C1055"/>
  <c r="A1055"/>
  <c r="E1054"/>
  <c r="F1054" s="1"/>
  <c r="H1054" s="1"/>
  <c r="C1054"/>
  <c r="E1052"/>
  <c r="F1052" s="1"/>
  <c r="H1052" s="1"/>
  <c r="I1052" s="1"/>
  <c r="C1052"/>
  <c r="A1052"/>
  <c r="E1051"/>
  <c r="F1051" s="1"/>
  <c r="H1051" s="1"/>
  <c r="C1051"/>
  <c r="C1049"/>
  <c r="C1048"/>
  <c r="C1047"/>
  <c r="C1046"/>
  <c r="C1045"/>
  <c r="C1044"/>
  <c r="C1043"/>
  <c r="C1040"/>
  <c r="C1039"/>
  <c r="C1038"/>
  <c r="C1037"/>
  <c r="C1036"/>
  <c r="E1034"/>
  <c r="F1034" s="1"/>
  <c r="H1034" s="1"/>
  <c r="I1034" s="1"/>
  <c r="C1034"/>
  <c r="E1033"/>
  <c r="F1033" s="1"/>
  <c r="H1033" s="1"/>
  <c r="C1033"/>
  <c r="E1031"/>
  <c r="F1031" s="1"/>
  <c r="H1031" s="1"/>
  <c r="I1031" s="1"/>
  <c r="C1031"/>
  <c r="A1031"/>
  <c r="E1030"/>
  <c r="F1030" s="1"/>
  <c r="H1030" s="1"/>
  <c r="C1030"/>
  <c r="C1028"/>
  <c r="C1027"/>
  <c r="J1021"/>
  <c r="H1021"/>
  <c r="A1015"/>
  <c r="A1014"/>
  <c r="B1010"/>
  <c r="E1005"/>
  <c r="F1005" s="1"/>
  <c r="C1005"/>
  <c r="A1005"/>
  <c r="E1004"/>
  <c r="F1004" s="1"/>
  <c r="C1004"/>
  <c r="E1002"/>
  <c r="F1002" s="1"/>
  <c r="C1002"/>
  <c r="A1002"/>
  <c r="E1001"/>
  <c r="F1001" s="1"/>
  <c r="C1001"/>
  <c r="E999"/>
  <c r="F999" s="1"/>
  <c r="C999"/>
  <c r="A999"/>
  <c r="E998"/>
  <c r="F998" s="1"/>
  <c r="C998"/>
  <c r="E994"/>
  <c r="F994" s="1"/>
  <c r="H994" s="1"/>
  <c r="I994" s="1"/>
  <c r="C994"/>
  <c r="A994"/>
  <c r="E993"/>
  <c r="F993" s="1"/>
  <c r="H993" s="1"/>
  <c r="C993"/>
  <c r="E989"/>
  <c r="F989" s="1"/>
  <c r="H989" s="1"/>
  <c r="I989" s="1"/>
  <c r="C989"/>
  <c r="A989"/>
  <c r="E988"/>
  <c r="F988" s="1"/>
  <c r="C988"/>
  <c r="E986"/>
  <c r="F986" s="1"/>
  <c r="C986"/>
  <c r="A986"/>
  <c r="E985"/>
  <c r="F985" s="1"/>
  <c r="H985" s="1"/>
  <c r="C985"/>
  <c r="E983"/>
  <c r="F983" s="1"/>
  <c r="C983"/>
  <c r="A983"/>
  <c r="E982"/>
  <c r="F982" s="1"/>
  <c r="H982" s="1"/>
  <c r="C982"/>
  <c r="E980"/>
  <c r="F980" s="1"/>
  <c r="C980"/>
  <c r="A980"/>
  <c r="E979"/>
  <c r="F979" s="1"/>
  <c r="H979" s="1"/>
  <c r="C979"/>
  <c r="C977"/>
  <c r="C976"/>
  <c r="C975"/>
  <c r="C974"/>
  <c r="C973"/>
  <c r="C972"/>
  <c r="C971"/>
  <c r="C968"/>
  <c r="C967"/>
  <c r="C966"/>
  <c r="C965"/>
  <c r="C964"/>
  <c r="E962"/>
  <c r="F962" s="1"/>
  <c r="C962"/>
  <c r="E961"/>
  <c r="F961" s="1"/>
  <c r="H961" s="1"/>
  <c r="C961"/>
  <c r="E959"/>
  <c r="F959" s="1"/>
  <c r="H959" s="1"/>
  <c r="I959" s="1"/>
  <c r="C959"/>
  <c r="A959"/>
  <c r="E958"/>
  <c r="F958" s="1"/>
  <c r="H958" s="1"/>
  <c r="C958"/>
  <c r="C956"/>
  <c r="C955"/>
  <c r="J949"/>
  <c r="H949"/>
  <c r="A943"/>
  <c r="A942"/>
  <c r="B938"/>
  <c r="E933"/>
  <c r="F933" s="1"/>
  <c r="C933"/>
  <c r="A933"/>
  <c r="E932"/>
  <c r="F932" s="1"/>
  <c r="C932"/>
  <c r="E930"/>
  <c r="F930" s="1"/>
  <c r="C930"/>
  <c r="A930"/>
  <c r="E929"/>
  <c r="F929" s="1"/>
  <c r="C929"/>
  <c r="E927"/>
  <c r="F927" s="1"/>
  <c r="C927"/>
  <c r="A927"/>
  <c r="E926"/>
  <c r="F926" s="1"/>
  <c r="C926"/>
  <c r="E922"/>
  <c r="F922" s="1"/>
  <c r="C922"/>
  <c r="A922"/>
  <c r="E921"/>
  <c r="F921" s="1"/>
  <c r="C921"/>
  <c r="E917"/>
  <c r="F917" s="1"/>
  <c r="H917" s="1"/>
  <c r="I917" s="1"/>
  <c r="C917"/>
  <c r="A917"/>
  <c r="E916"/>
  <c r="F916" s="1"/>
  <c r="C916"/>
  <c r="E914"/>
  <c r="F914" s="1"/>
  <c r="H914" s="1"/>
  <c r="I914" s="1"/>
  <c r="C914"/>
  <c r="A914"/>
  <c r="E913"/>
  <c r="F913" s="1"/>
  <c r="C913"/>
  <c r="E911"/>
  <c r="F911" s="1"/>
  <c r="H911" s="1"/>
  <c r="I911" s="1"/>
  <c r="C911"/>
  <c r="A911"/>
  <c r="E910"/>
  <c r="F910" s="1"/>
  <c r="C910"/>
  <c r="E908"/>
  <c r="F908" s="1"/>
  <c r="H908" s="1"/>
  <c r="I908" s="1"/>
  <c r="C908"/>
  <c r="A908"/>
  <c r="E907"/>
  <c r="F907" s="1"/>
  <c r="C907"/>
  <c r="C905"/>
  <c r="C904"/>
  <c r="C903"/>
  <c r="C902"/>
  <c r="C901"/>
  <c r="C900"/>
  <c r="C899"/>
  <c r="C896"/>
  <c r="C895"/>
  <c r="C894"/>
  <c r="H1978" l="1"/>
  <c r="I1978" s="1"/>
  <c r="H1906"/>
  <c r="I1906" s="1"/>
  <c r="F970"/>
  <c r="H898"/>
  <c r="I898" s="1"/>
  <c r="F1186"/>
  <c r="F1402"/>
  <c r="H1618"/>
  <c r="I1618" s="1"/>
  <c r="F1114"/>
  <c r="F1330"/>
  <c r="H1546"/>
  <c r="I1546" s="1"/>
  <c r="F1834"/>
  <c r="H1042"/>
  <c r="I1042" s="1"/>
  <c r="F1258"/>
  <c r="H1474"/>
  <c r="I1474" s="1"/>
  <c r="H1762"/>
  <c r="I1762" s="1"/>
  <c r="H1690"/>
  <c r="I1690" s="1"/>
  <c r="F1698"/>
  <c r="C759" i="3" s="1"/>
  <c r="F1464" i="4"/>
  <c r="C652" i="3" s="1"/>
  <c r="F1965" i="4"/>
  <c r="C896" i="3" s="1"/>
  <c r="F1125" i="4"/>
  <c r="C480" i="3" s="1"/>
  <c r="A853"/>
  <c r="F1707" i="4"/>
  <c r="C762" i="3" s="1"/>
  <c r="A888"/>
  <c r="A1809" i="4"/>
  <c r="A573" i="3"/>
  <c r="A1593" i="4"/>
  <c r="A1233"/>
  <c r="F1701"/>
  <c r="C760" i="3" s="1"/>
  <c r="H1702" i="4"/>
  <c r="H1701" s="1"/>
  <c r="E760" i="3" s="1"/>
  <c r="F1131" i="4"/>
  <c r="C482" i="3" s="1"/>
  <c r="F978" i="4"/>
  <c r="C409" i="3" s="1"/>
  <c r="F1128" i="4"/>
  <c r="C481" i="3" s="1"/>
  <c r="H1465" i="4"/>
  <c r="I1465" s="1"/>
  <c r="F1776"/>
  <c r="C796" i="3" s="1"/>
  <c r="F1419" i="4"/>
  <c r="C622" i="3" s="1"/>
  <c r="F1608" i="4"/>
  <c r="C722" i="3" s="1"/>
  <c r="F1104" i="4"/>
  <c r="C477" i="3" s="1"/>
  <c r="F1605" i="4"/>
  <c r="C721" i="3" s="1"/>
  <c r="H988" i="4"/>
  <c r="I988" s="1"/>
  <c r="F987"/>
  <c r="C412" i="3" s="1"/>
  <c r="H1276" i="4"/>
  <c r="I1276" s="1"/>
  <c r="F1275"/>
  <c r="C552" i="3" s="1"/>
  <c r="F1122" i="4"/>
  <c r="C479" i="3" s="1"/>
  <c r="H1198" i="4"/>
  <c r="H1197" s="1"/>
  <c r="E515" i="3" s="1"/>
  <c r="F1197" i="4"/>
  <c r="C515" i="3" s="1"/>
  <c r="H1699" i="4"/>
  <c r="I1699" s="1"/>
  <c r="H1105"/>
  <c r="I1105" s="1"/>
  <c r="F1176"/>
  <c r="C512" i="3" s="1"/>
  <c r="F1968" i="4"/>
  <c r="C897" i="3" s="1"/>
  <c r="F1059" i="4"/>
  <c r="C447" i="3" s="1"/>
  <c r="F1560" i="4"/>
  <c r="C691" i="3" s="1"/>
  <c r="A1377" i="4"/>
  <c r="A748" i="3"/>
  <c r="A1449" i="4"/>
  <c r="A783" i="3"/>
  <c r="A1521" i="4"/>
  <c r="H986"/>
  <c r="I986" s="1"/>
  <c r="F984"/>
  <c r="C411" i="3" s="1"/>
  <c r="H916" i="4"/>
  <c r="I916" s="1"/>
  <c r="I915" s="1"/>
  <c r="F377" i="3" s="1"/>
  <c r="F915" i="4"/>
  <c r="C377" i="3" s="1"/>
  <c r="H910" i="4"/>
  <c r="I910" s="1"/>
  <c r="I909" s="1"/>
  <c r="F375" i="3" s="1"/>
  <c r="F909" i="4"/>
  <c r="C375" i="3" s="1"/>
  <c r="H983" i="4"/>
  <c r="I983" s="1"/>
  <c r="F981"/>
  <c r="C410" i="3" s="1"/>
  <c r="H907" i="4"/>
  <c r="I907" s="1"/>
  <c r="I906" s="1"/>
  <c r="F374" i="3" s="1"/>
  <c r="F906" i="4"/>
  <c r="C374" i="3" s="1"/>
  <c r="H913" i="4"/>
  <c r="I913" s="1"/>
  <c r="I912" s="1"/>
  <c r="F376" i="3" s="1"/>
  <c r="F912" i="4"/>
  <c r="C376" i="3" s="1"/>
  <c r="H1057" i="4"/>
  <c r="I1057" s="1"/>
  <c r="F1200"/>
  <c r="C516" i="3" s="1"/>
  <c r="H1270" i="4"/>
  <c r="I1270" s="1"/>
  <c r="F1269"/>
  <c r="C550" i="3" s="1"/>
  <c r="H1273" i="4"/>
  <c r="I1273" s="1"/>
  <c r="F1272"/>
  <c r="C551" i="3" s="1"/>
  <c r="F1485" i="4"/>
  <c r="C655" i="3" s="1"/>
  <c r="H1487" i="4"/>
  <c r="I1487" s="1"/>
  <c r="I1485" s="1"/>
  <c r="F655" i="3" s="1"/>
  <c r="F1488" i="4"/>
  <c r="C656" i="3" s="1"/>
  <c r="H1490" i="4"/>
  <c r="I1490" s="1"/>
  <c r="I1488" s="1"/>
  <c r="F656" i="3" s="1"/>
  <c r="F1491" i="4"/>
  <c r="C657" i="3" s="1"/>
  <c r="H1493" i="4"/>
  <c r="I1493" s="1"/>
  <c r="I1491" s="1"/>
  <c r="F657" i="3" s="1"/>
  <c r="H1555" i="4"/>
  <c r="H1554" s="1"/>
  <c r="E689" i="3" s="1"/>
  <c r="F1554" i="4"/>
  <c r="C689" i="3" s="1"/>
  <c r="H1569" i="4"/>
  <c r="H1568" s="1"/>
  <c r="F1568"/>
  <c r="H1681"/>
  <c r="F1680"/>
  <c r="C757" i="3" s="1"/>
  <c r="H1750" i="4"/>
  <c r="I1750" s="1"/>
  <c r="F1749"/>
  <c r="C791" i="3" s="1"/>
  <c r="F1896" i="4"/>
  <c r="C862" i="3" s="1"/>
  <c r="F960" i="4"/>
  <c r="C407" i="3" s="1"/>
  <c r="F992" i="4"/>
  <c r="F1053"/>
  <c r="C445" i="3" s="1"/>
  <c r="F1101" i="4"/>
  <c r="C476" i="3" s="1"/>
  <c r="F1173" i="4"/>
  <c r="C511" i="3" s="1"/>
  <c r="H1201" i="4"/>
  <c r="I1201" s="1"/>
  <c r="I1200" s="1"/>
  <c r="F516" i="3" s="1"/>
  <c r="H1322" i="4"/>
  <c r="I1322" s="1"/>
  <c r="H1343"/>
  <c r="I1343" s="1"/>
  <c r="H1390"/>
  <c r="I1390" s="1"/>
  <c r="F1389"/>
  <c r="C616" i="3" s="1"/>
  <c r="H1462" i="4"/>
  <c r="I1462" s="1"/>
  <c r="F1704"/>
  <c r="C761" i="3" s="1"/>
  <c r="H1705" i="4"/>
  <c r="I1705" s="1"/>
  <c r="H1781"/>
  <c r="I1781" s="1"/>
  <c r="H1846"/>
  <c r="I1846" s="1"/>
  <c r="I1845" s="1"/>
  <c r="F1845"/>
  <c r="C830" i="3" s="1"/>
  <c r="H1849" i="4"/>
  <c r="I1849" s="1"/>
  <c r="F1848"/>
  <c r="C831" i="3" s="1"/>
  <c r="H1852" i="4"/>
  <c r="I1852" s="1"/>
  <c r="I1851" s="1"/>
  <c r="F1851"/>
  <c r="C832" i="3" s="1"/>
  <c r="H1915" i="4"/>
  <c r="I1915" s="1"/>
  <c r="I1914" s="1"/>
  <c r="F864" i="3" s="1"/>
  <c r="F1914" i="4"/>
  <c r="C864" i="3" s="1"/>
  <c r="H1918" i="4"/>
  <c r="I1918" s="1"/>
  <c r="I1917" s="1"/>
  <c r="F865" i="3" s="1"/>
  <c r="F1917" i="4"/>
  <c r="C865" i="3" s="1"/>
  <c r="H1921" i="4"/>
  <c r="I1921" s="1"/>
  <c r="I1920" s="1"/>
  <c r="F866" i="3" s="1"/>
  <c r="F1920" i="4"/>
  <c r="C866" i="3" s="1"/>
  <c r="H1924" i="4"/>
  <c r="I1924" s="1"/>
  <c r="I1923" s="1"/>
  <c r="F867" i="3" s="1"/>
  <c r="F1923" i="4"/>
  <c r="C867" i="3" s="1"/>
  <c r="F1989" i="4"/>
  <c r="C900" i="3" s="1"/>
  <c r="H1994" i="4"/>
  <c r="I1994" s="1"/>
  <c r="H1391"/>
  <c r="I1391" s="1"/>
  <c r="F1482"/>
  <c r="C654" i="3" s="1"/>
  <c r="H1484" i="4"/>
  <c r="I1484" s="1"/>
  <c r="I1482" s="1"/>
  <c r="F654" i="3" s="1"/>
  <c r="F1626" i="4"/>
  <c r="C724" i="3" s="1"/>
  <c r="H1628" i="4"/>
  <c r="I1628" s="1"/>
  <c r="F1629"/>
  <c r="C725" i="3" s="1"/>
  <c r="H1631" i="4"/>
  <c r="I1631" s="1"/>
  <c r="F1632"/>
  <c r="C726" i="3" s="1"/>
  <c r="H1634" i="4"/>
  <c r="I1634" s="1"/>
  <c r="F1635"/>
  <c r="C727" i="3" s="1"/>
  <c r="H1637" i="4"/>
  <c r="I1637" s="1"/>
  <c r="I1635" s="1"/>
  <c r="F727" i="3" s="1"/>
  <c r="H1706" i="4"/>
  <c r="I1706" s="1"/>
  <c r="F1992"/>
  <c r="C901" i="3" s="1"/>
  <c r="H1997" i="4"/>
  <c r="I1997" s="1"/>
  <c r="I1995" s="1"/>
  <c r="C371" i="3"/>
  <c r="H980" i="4"/>
  <c r="I980" s="1"/>
  <c r="H1124"/>
  <c r="I1124" s="1"/>
  <c r="H1127"/>
  <c r="I1127" s="1"/>
  <c r="I1125" s="1"/>
  <c r="F480" i="3" s="1"/>
  <c r="H1130" i="4"/>
  <c r="I1130" s="1"/>
  <c r="I1128" s="1"/>
  <c r="F481" i="3" s="1"/>
  <c r="H1133" i="4"/>
  <c r="I1133" s="1"/>
  <c r="I1131" s="1"/>
  <c r="F482" i="3" s="1"/>
  <c r="F1194" i="4"/>
  <c r="C514" i="3" s="1"/>
  <c r="F1203" i="4"/>
  <c r="C517" i="3" s="1"/>
  <c r="H1268" i="4"/>
  <c r="I1268" s="1"/>
  <c r="H1339"/>
  <c r="I1339" s="1"/>
  <c r="F1338"/>
  <c r="C584" i="3" s="1"/>
  <c r="H1342" i="4"/>
  <c r="F1341"/>
  <c r="C585" i="3" s="1"/>
  <c r="H1349" i="4"/>
  <c r="I1349" s="1"/>
  <c r="H1535"/>
  <c r="I1535" s="1"/>
  <c r="F1533"/>
  <c r="C686" i="3" s="1"/>
  <c r="F1563" i="4"/>
  <c r="C692" i="3" s="1"/>
  <c r="H1565" i="4"/>
  <c r="I1565" s="1"/>
  <c r="F1677"/>
  <c r="C756" i="3" s="1"/>
  <c r="H1679" i="4"/>
  <c r="I1679" s="1"/>
  <c r="H1775"/>
  <c r="I1775" s="1"/>
  <c r="H1780"/>
  <c r="I1780" s="1"/>
  <c r="F1779"/>
  <c r="C797" i="3" s="1"/>
  <c r="F1893" i="4"/>
  <c r="C861" i="3" s="1"/>
  <c r="F1986" i="4"/>
  <c r="C899" i="3" s="1"/>
  <c r="H1990" i="4"/>
  <c r="I1990" s="1"/>
  <c r="H1991"/>
  <c r="I1991" s="1"/>
  <c r="F957"/>
  <c r="C406" i="3" s="1"/>
  <c r="H1267" i="4"/>
  <c r="I1267" s="1"/>
  <c r="F1266"/>
  <c r="C549" i="3" s="1"/>
  <c r="H1274" i="4"/>
  <c r="I1274" s="1"/>
  <c r="H1345"/>
  <c r="H1344" s="1"/>
  <c r="F1344"/>
  <c r="C586" i="3" s="1"/>
  <c r="H1348" i="4"/>
  <c r="I1348" s="1"/>
  <c r="F1347"/>
  <c r="C587" i="3" s="1"/>
  <c r="H1751" i="4"/>
  <c r="I1751" s="1"/>
  <c r="H1771"/>
  <c r="H1770" s="1"/>
  <c r="E794" i="3" s="1"/>
  <c r="F1770" i="4"/>
  <c r="C794" i="3" s="1"/>
  <c r="H1774" i="4"/>
  <c r="I1774" s="1"/>
  <c r="F1773"/>
  <c r="C795" i="3" s="1"/>
  <c r="F1824" i="4"/>
  <c r="C827" i="3" s="1"/>
  <c r="H1988" i="4"/>
  <c r="I1988" s="1"/>
  <c r="I1986" s="1"/>
  <c r="F1995"/>
  <c r="C902" i="3" s="1"/>
  <c r="F1461" i="4"/>
  <c r="C651" i="3" s="1"/>
  <c r="F1557" i="4"/>
  <c r="C690" i="3" s="1"/>
  <c r="H1394" i="4"/>
  <c r="I1394" s="1"/>
  <c r="H1708"/>
  <c r="I1708" s="1"/>
  <c r="I1966"/>
  <c r="H1965"/>
  <c r="I1969"/>
  <c r="H2006"/>
  <c r="F2005"/>
  <c r="C908" i="3" s="1"/>
  <c r="H2009" i="4"/>
  <c r="F2008"/>
  <c r="C909" i="3" s="1"/>
  <c r="H2013" i="4"/>
  <c r="I2013" s="1"/>
  <c r="H1970"/>
  <c r="I1970" s="1"/>
  <c r="H2002"/>
  <c r="I2002" s="1"/>
  <c r="H2007"/>
  <c r="I2007" s="1"/>
  <c r="H2010"/>
  <c r="I2010" s="1"/>
  <c r="H2012"/>
  <c r="F2011"/>
  <c r="C910" i="3" s="1"/>
  <c r="F2000" i="4"/>
  <c r="H2001"/>
  <c r="H1894"/>
  <c r="H1897"/>
  <c r="H1934"/>
  <c r="F1933"/>
  <c r="C873" i="3" s="1"/>
  <c r="H1935" i="4"/>
  <c r="I1935" s="1"/>
  <c r="H1937"/>
  <c r="F1936"/>
  <c r="C874" i="3" s="1"/>
  <c r="H1938" i="4"/>
  <c r="I1938" s="1"/>
  <c r="H1940"/>
  <c r="F1939"/>
  <c r="C875" i="3" s="1"/>
  <c r="H1941" i="4"/>
  <c r="I1941" s="1"/>
  <c r="H1929"/>
  <c r="F1928"/>
  <c r="H1898"/>
  <c r="I1898" s="1"/>
  <c r="H1930"/>
  <c r="I1930" s="1"/>
  <c r="I1822"/>
  <c r="H1821"/>
  <c r="H1866"/>
  <c r="I1866" s="1"/>
  <c r="H1862"/>
  <c r="F1861"/>
  <c r="C838" i="3" s="1"/>
  <c r="H1863" i="4"/>
  <c r="I1863" s="1"/>
  <c r="F1821"/>
  <c r="C826" i="3" s="1"/>
  <c r="I1825" i="4"/>
  <c r="H1826"/>
  <c r="I1826" s="1"/>
  <c r="I1843"/>
  <c r="H1842"/>
  <c r="H1857"/>
  <c r="F1856"/>
  <c r="H1865"/>
  <c r="F1864"/>
  <c r="C839" i="3" s="1"/>
  <c r="H1869" i="4"/>
  <c r="I1869" s="1"/>
  <c r="F1842"/>
  <c r="C829" i="3" s="1"/>
  <c r="H1858" i="4"/>
  <c r="I1858" s="1"/>
  <c r="H1868"/>
  <c r="F1867"/>
  <c r="H1791"/>
  <c r="I1791" s="1"/>
  <c r="F1752"/>
  <c r="C792" i="3" s="1"/>
  <c r="H1790" i="4"/>
  <c r="F1789"/>
  <c r="C803" i="3" s="1"/>
  <c r="H1794" i="4"/>
  <c r="I1794" s="1"/>
  <c r="I1753"/>
  <c r="H1752"/>
  <c r="E792" i="3" s="1"/>
  <c r="H1793" i="4"/>
  <c r="F1792"/>
  <c r="C804" i="3" s="1"/>
  <c r="H1797" i="4"/>
  <c r="I1797" s="1"/>
  <c r="I1777"/>
  <c r="H1776"/>
  <c r="E796" i="3" s="1"/>
  <c r="I1785" i="4"/>
  <c r="H1784"/>
  <c r="H1796"/>
  <c r="F1795"/>
  <c r="C805" i="3" s="1"/>
  <c r="F1784" i="4"/>
  <c r="H1721"/>
  <c r="F1720"/>
  <c r="C769" i="3" s="1"/>
  <c r="H1725" i="4"/>
  <c r="I1725" s="1"/>
  <c r="H1722"/>
  <c r="I1722" s="1"/>
  <c r="I1678"/>
  <c r="H1718"/>
  <c r="F1717"/>
  <c r="C768" i="3" s="1"/>
  <c r="H1719" i="4"/>
  <c r="I1719" s="1"/>
  <c r="H1724"/>
  <c r="F1723"/>
  <c r="C770" i="3" s="1"/>
  <c r="F1712" i="4"/>
  <c r="H1682"/>
  <c r="I1682" s="1"/>
  <c r="I1713"/>
  <c r="H1712"/>
  <c r="I1609"/>
  <c r="I1606"/>
  <c r="H1605"/>
  <c r="E721" i="3" s="1"/>
  <c r="H1647" i="4"/>
  <c r="I1647" s="1"/>
  <c r="H1649"/>
  <c r="F1648"/>
  <c r="C734" i="3" s="1"/>
  <c r="H1650" i="4"/>
  <c r="I1650" s="1"/>
  <c r="H1652"/>
  <c r="F1651"/>
  <c r="H1646"/>
  <c r="F1645"/>
  <c r="C733" i="3" s="1"/>
  <c r="H1653" i="4"/>
  <c r="I1653" s="1"/>
  <c r="I1627"/>
  <c r="I1633"/>
  <c r="H1610"/>
  <c r="I1610" s="1"/>
  <c r="H1641"/>
  <c r="F1640"/>
  <c r="I1630"/>
  <c r="H1642"/>
  <c r="I1642" s="1"/>
  <c r="I1534"/>
  <c r="I1561"/>
  <c r="H1560"/>
  <c r="E691" i="3" s="1"/>
  <c r="I1564" i="4"/>
  <c r="I1537"/>
  <c r="I1558"/>
  <c r="H1557"/>
  <c r="E690" i="3" s="1"/>
  <c r="H1538" i="4"/>
  <c r="I1538" s="1"/>
  <c r="F1536"/>
  <c r="C687" i="3" s="1"/>
  <c r="H1577" i="4"/>
  <c r="F1576"/>
  <c r="C699" i="3" s="1"/>
  <c r="H1578" i="4"/>
  <c r="I1578" s="1"/>
  <c r="H1581"/>
  <c r="I1581" s="1"/>
  <c r="H1574"/>
  <c r="F1573"/>
  <c r="C698" i="3" s="1"/>
  <c r="H1575" i="4"/>
  <c r="I1575" s="1"/>
  <c r="H1580"/>
  <c r="F1579"/>
  <c r="C700" i="3" s="1"/>
  <c r="H1508" i="4"/>
  <c r="F1507"/>
  <c r="C665" i="3" s="1"/>
  <c r="H1463" i="4"/>
  <c r="I1463" s="1"/>
  <c r="H1502"/>
  <c r="F1501"/>
  <c r="C663" i="3" s="1"/>
  <c r="H1503" i="4"/>
  <c r="I1503" s="1"/>
  <c r="H1505"/>
  <c r="F1504"/>
  <c r="C664" i="3" s="1"/>
  <c r="H1506" i="4"/>
  <c r="I1506" s="1"/>
  <c r="H1509"/>
  <c r="I1509" s="1"/>
  <c r="F1496"/>
  <c r="H1497"/>
  <c r="H1498"/>
  <c r="I1498" s="1"/>
  <c r="I1393"/>
  <c r="I1411"/>
  <c r="H1410"/>
  <c r="H1430"/>
  <c r="F1429"/>
  <c r="C628" i="3" s="1"/>
  <c r="H1433" i="4"/>
  <c r="F1432"/>
  <c r="C629" i="3" s="1"/>
  <c r="H1436" i="4"/>
  <c r="F1435"/>
  <c r="C630" i="3" s="1"/>
  <c r="F1392" i="4"/>
  <c r="C617" i="3" s="1"/>
  <c r="F1413" i="4"/>
  <c r="C620" i="3" s="1"/>
  <c r="I1417" i="4"/>
  <c r="H1416"/>
  <c r="H1425"/>
  <c r="F1424"/>
  <c r="H1431"/>
  <c r="I1431" s="1"/>
  <c r="H1434"/>
  <c r="I1434" s="1"/>
  <c r="H1437"/>
  <c r="I1437" s="1"/>
  <c r="F1410"/>
  <c r="C619" i="3" s="1"/>
  <c r="I1414" i="4"/>
  <c r="H1413"/>
  <c r="F1416"/>
  <c r="C621" i="3" s="1"/>
  <c r="I1420" i="4"/>
  <c r="H1419"/>
  <c r="H1426"/>
  <c r="I1426" s="1"/>
  <c r="H1364"/>
  <c r="F1363"/>
  <c r="F1320"/>
  <c r="C582" i="3" s="1"/>
  <c r="H1358" i="4"/>
  <c r="F1357"/>
  <c r="C593" i="3" s="1"/>
  <c r="H1362" i="4"/>
  <c r="I1362" s="1"/>
  <c r="I1318"/>
  <c r="H1317"/>
  <c r="I1353"/>
  <c r="H1352"/>
  <c r="F1317"/>
  <c r="C581" i="3" s="1"/>
  <c r="I1321" i="4"/>
  <c r="H1359"/>
  <c r="I1359" s="1"/>
  <c r="H1361"/>
  <c r="F1360"/>
  <c r="C594" i="3" s="1"/>
  <c r="H1365" i="4"/>
  <c r="I1365" s="1"/>
  <c r="F1352"/>
  <c r="I1246"/>
  <c r="H1245"/>
  <c r="E546" i="3" s="1"/>
  <c r="I1249" i="4"/>
  <c r="H1248"/>
  <c r="E547" i="3" s="1"/>
  <c r="H1290" i="4"/>
  <c r="I1290" s="1"/>
  <c r="F1248"/>
  <c r="C547" i="3" s="1"/>
  <c r="H1289" i="4"/>
  <c r="F1288"/>
  <c r="C559" i="3" s="1"/>
  <c r="H1293" i="4"/>
  <c r="I1293" s="1"/>
  <c r="H1287"/>
  <c r="I1287" s="1"/>
  <c r="F1245"/>
  <c r="C546" i="3" s="1"/>
  <c r="H1286" i="4"/>
  <c r="F1285"/>
  <c r="C558" i="3" s="1"/>
  <c r="I1281" i="4"/>
  <c r="H1280"/>
  <c r="H1292"/>
  <c r="F1291"/>
  <c r="C560" i="3" s="1"/>
  <c r="F1280" i="4"/>
  <c r="I1174"/>
  <c r="H1173"/>
  <c r="E511" i="3" s="1"/>
  <c r="I1177" i="4"/>
  <c r="H1176"/>
  <c r="E512" i="3" s="1"/>
  <c r="H1214" i="4"/>
  <c r="F1213"/>
  <c r="C523" i="3" s="1"/>
  <c r="H1217" i="4"/>
  <c r="F1216"/>
  <c r="C524" i="3" s="1"/>
  <c r="H1218" i="4"/>
  <c r="I1218" s="1"/>
  <c r="H1221"/>
  <c r="I1221" s="1"/>
  <c r="I1195"/>
  <c r="H1194"/>
  <c r="E514" i="3" s="1"/>
  <c r="I1203" i="4"/>
  <c r="F517" i="3" s="1"/>
  <c r="H1209" i="4"/>
  <c r="F1208"/>
  <c r="H1215"/>
  <c r="I1215" s="1"/>
  <c r="H1220"/>
  <c r="F1219"/>
  <c r="C525" i="3" s="1"/>
  <c r="H1210" i="4"/>
  <c r="I1210" s="1"/>
  <c r="H1203"/>
  <c r="E517" i="3" s="1"/>
  <c r="H1142" i="4"/>
  <c r="F1141"/>
  <c r="C488" i="3" s="1"/>
  <c r="H1145" i="4"/>
  <c r="F1144"/>
  <c r="C489" i="3" s="1"/>
  <c r="H1148" i="4"/>
  <c r="F1147"/>
  <c r="C490" i="3" s="1"/>
  <c r="H1143" i="4"/>
  <c r="I1143" s="1"/>
  <c r="H1149"/>
  <c r="I1149" s="1"/>
  <c r="I1102"/>
  <c r="H1103"/>
  <c r="I1103" s="1"/>
  <c r="F1136"/>
  <c r="H1137"/>
  <c r="H1146"/>
  <c r="I1146" s="1"/>
  <c r="I1123"/>
  <c r="H1138"/>
  <c r="I1138" s="1"/>
  <c r="I1033"/>
  <c r="H1032"/>
  <c r="E442" i="3" s="1"/>
  <c r="H1071" i="4"/>
  <c r="I1071" s="1"/>
  <c r="F1029"/>
  <c r="C441" i="3" s="1"/>
  <c r="I1054" i="4"/>
  <c r="H1053"/>
  <c r="E445" i="3" s="1"/>
  <c r="I1060" i="4"/>
  <c r="H1059"/>
  <c r="E447" i="3" s="1"/>
  <c r="H1065" i="4"/>
  <c r="F1064"/>
  <c r="H1066"/>
  <c r="I1066" s="1"/>
  <c r="H1070"/>
  <c r="F1069"/>
  <c r="C453" i="3" s="1"/>
  <c r="H1074" i="4"/>
  <c r="I1074" s="1"/>
  <c r="I1030"/>
  <c r="H1029"/>
  <c r="E441" i="3" s="1"/>
  <c r="F1050" i="4"/>
  <c r="C444" i="3" s="1"/>
  <c r="F1056" i="4"/>
  <c r="C446" i="3" s="1"/>
  <c r="H1073" i="4"/>
  <c r="F1072"/>
  <c r="C454" i="3" s="1"/>
  <c r="H1077" i="4"/>
  <c r="I1077" s="1"/>
  <c r="F1032"/>
  <c r="C442" i="3" s="1"/>
  <c r="I1051" i="4"/>
  <c r="H1050"/>
  <c r="E444" i="3" s="1"/>
  <c r="H1076" i="4"/>
  <c r="F1075"/>
  <c r="H999"/>
  <c r="I999" s="1"/>
  <c r="H998"/>
  <c r="F997"/>
  <c r="C418" i="3" s="1"/>
  <c r="I958" i="4"/>
  <c r="H957"/>
  <c r="E406" i="3" s="1"/>
  <c r="I961" i="4"/>
  <c r="I979"/>
  <c r="I985"/>
  <c r="H1001"/>
  <c r="F1000"/>
  <c r="C419" i="3" s="1"/>
  <c r="H1004" i="4"/>
  <c r="F1003"/>
  <c r="C420" i="3" s="1"/>
  <c r="H962" i="4"/>
  <c r="I982"/>
  <c r="H1002"/>
  <c r="I1002" s="1"/>
  <c r="H1005"/>
  <c r="I1005" s="1"/>
  <c r="I993"/>
  <c r="H992"/>
  <c r="E371" i="3"/>
  <c r="H926" i="4"/>
  <c r="F925"/>
  <c r="C383" i="3" s="1"/>
  <c r="H930" i="4"/>
  <c r="I930" s="1"/>
  <c r="H933"/>
  <c r="I933" s="1"/>
  <c r="H921"/>
  <c r="F920"/>
  <c r="H927"/>
  <c r="I927" s="1"/>
  <c r="H929"/>
  <c r="F928"/>
  <c r="C384" i="3" s="1"/>
  <c r="H932" i="4"/>
  <c r="F931"/>
  <c r="C372" i="3"/>
  <c r="H922" i="4"/>
  <c r="I922" s="1"/>
  <c r="C324"/>
  <c r="C323"/>
  <c r="C322"/>
  <c r="C321"/>
  <c r="F1617" l="1"/>
  <c r="H1617" s="1"/>
  <c r="I1617" s="1"/>
  <c r="H1114"/>
  <c r="I1114" s="1"/>
  <c r="F1689"/>
  <c r="H1258"/>
  <c r="I1258" s="1"/>
  <c r="H1834"/>
  <c r="I1834" s="1"/>
  <c r="H1330"/>
  <c r="I1330" s="1"/>
  <c r="H1186"/>
  <c r="I1186" s="1"/>
  <c r="H970"/>
  <c r="I970" s="1"/>
  <c r="H1402"/>
  <c r="I1402" s="1"/>
  <c r="I1702"/>
  <c r="H906"/>
  <c r="E374" i="3" s="1"/>
  <c r="H1275" i="4"/>
  <c r="E552" i="3" s="1"/>
  <c r="H978" i="4"/>
  <c r="E409" i="3" s="1"/>
  <c r="H1131" i="4"/>
  <c r="E482" i="3" s="1"/>
  <c r="I1555" i="4"/>
  <c r="I1554" s="1"/>
  <c r="F689" i="3" s="1"/>
  <c r="I1345" i="4"/>
  <c r="I1344" s="1"/>
  <c r="F1977"/>
  <c r="H1491"/>
  <c r="E657" i="3" s="1"/>
  <c r="H1056" i="4"/>
  <c r="E446" i="3" s="1"/>
  <c r="H1626" i="4"/>
  <c r="E724" i="3" s="1"/>
  <c r="H909" i="4"/>
  <c r="E375" i="3" s="1"/>
  <c r="H1485" i="4"/>
  <c r="E655" i="3" s="1"/>
  <c r="H915" i="4"/>
  <c r="E377" i="3" s="1"/>
  <c r="H1269" i="4"/>
  <c r="E550" i="3" s="1"/>
  <c r="H1779" i="4"/>
  <c r="E797" i="3" s="1"/>
  <c r="H1125" i="4"/>
  <c r="E480" i="3" s="1"/>
  <c r="H984" i="4"/>
  <c r="E411" i="3" s="1"/>
  <c r="H1104" i="4"/>
  <c r="E477" i="3" s="1"/>
  <c r="H1200" i="4"/>
  <c r="E516" i="3" s="1"/>
  <c r="H1488" i="4"/>
  <c r="E656" i="3" s="1"/>
  <c r="H1707" i="4"/>
  <c r="E762" i="3" s="1"/>
  <c r="H1341" i="4"/>
  <c r="E585" i="3" s="1"/>
  <c r="H1266" i="4"/>
  <c r="E549" i="3" s="1"/>
  <c r="H1773" i="4"/>
  <c r="E795" i="3" s="1"/>
  <c r="H1320" i="4"/>
  <c r="E827" i="3" s="1"/>
  <c r="H1923" i="4"/>
  <c r="E867" i="3" s="1"/>
  <c r="I1342" i="4"/>
  <c r="I1341" s="1"/>
  <c r="H987"/>
  <c r="E412" i="3" s="1"/>
  <c r="H1629" i="4"/>
  <c r="E725" i="3" s="1"/>
  <c r="H1122" i="4"/>
  <c r="E479" i="3" s="1"/>
  <c r="H1482" i="4"/>
  <c r="E654" i="3" s="1"/>
  <c r="H1698" i="4"/>
  <c r="E759" i="3" s="1"/>
  <c r="H912" i="4"/>
  <c r="E376" i="3" s="1"/>
  <c r="I1989" i="4"/>
  <c r="H981"/>
  <c r="E410" i="3" s="1"/>
  <c r="H1533" i="4"/>
  <c r="E686" i="3" s="1"/>
  <c r="H1635" i="4"/>
  <c r="E727" i="3" s="1"/>
  <c r="H1989" i="4"/>
  <c r="H1464"/>
  <c r="E652" i="3" s="1"/>
  <c r="H1677" i="4"/>
  <c r="E756" i="3" s="1"/>
  <c r="H1917" i="4"/>
  <c r="E865" i="3" s="1"/>
  <c r="I1569" i="4"/>
  <c r="I1568" s="1"/>
  <c r="I1198"/>
  <c r="I1197" s="1"/>
  <c r="F515" i="3" s="1"/>
  <c r="H1392" i="4"/>
  <c r="E617" i="3" s="1"/>
  <c r="I1771" i="4"/>
  <c r="I1770" s="1"/>
  <c r="F794" i="3" s="1"/>
  <c r="H1680" i="4"/>
  <c r="E757" i="3" s="1"/>
  <c r="H1128" i="4"/>
  <c r="E481" i="3" s="1"/>
  <c r="H1272" i="4"/>
  <c r="E551" i="3" s="1"/>
  <c r="H1347" i="4"/>
  <c r="E587" i="3" s="1"/>
  <c r="H1389" i="4"/>
  <c r="E896" i="3" s="1"/>
  <c r="H1749" i="4"/>
  <c r="E791" i="3" s="1"/>
  <c r="H1914" i="4"/>
  <c r="E864" i="3" s="1"/>
  <c r="H1995" i="4"/>
  <c r="H1563"/>
  <c r="E692" i="3" s="1"/>
  <c r="H1845" i="4"/>
  <c r="H1920"/>
  <c r="E866" i="3" s="1"/>
  <c r="C876"/>
  <c r="H1986" i="4"/>
  <c r="I962"/>
  <c r="I960" s="1"/>
  <c r="F407" i="3" s="1"/>
  <c r="H960" i="4"/>
  <c r="E407" i="3" s="1"/>
  <c r="F1355" i="4"/>
  <c r="C590" i="3"/>
  <c r="C591" s="1"/>
  <c r="F1643" i="4"/>
  <c r="C730" i="3"/>
  <c r="C731" s="1"/>
  <c r="H995" i="4"/>
  <c r="E415" i="3"/>
  <c r="E416" s="1"/>
  <c r="F923" i="4"/>
  <c r="C380" i="3"/>
  <c r="C381" s="1"/>
  <c r="F1139" i="4"/>
  <c r="C485" i="3"/>
  <c r="C486" s="1"/>
  <c r="H1571" i="4"/>
  <c r="E695" i="3"/>
  <c r="E696" s="1"/>
  <c r="F1787" i="4"/>
  <c r="C800" i="3"/>
  <c r="C801" s="1"/>
  <c r="E586"/>
  <c r="E831"/>
  <c r="F934" i="4"/>
  <c r="C385" i="3"/>
  <c r="C386" s="1"/>
  <c r="F1211" i="4"/>
  <c r="C520" i="3"/>
  <c r="C521" s="1"/>
  <c r="H1355" i="4"/>
  <c r="E590" i="3"/>
  <c r="E591" s="1"/>
  <c r="E835"/>
  <c r="E836" s="1"/>
  <c r="F2003" i="4"/>
  <c r="C905" i="3"/>
  <c r="C906" s="1"/>
  <c r="F995" i="4"/>
  <c r="C415" i="3"/>
  <c r="C416" s="1"/>
  <c r="C421"/>
  <c r="F1078" i="4"/>
  <c r="C455" i="3"/>
  <c r="C456" s="1"/>
  <c r="F1067" i="4"/>
  <c r="C450" i="3"/>
  <c r="C451" s="1"/>
  <c r="C491"/>
  <c r="C561"/>
  <c r="H1338" i="4"/>
  <c r="E621" i="3"/>
  <c r="E901"/>
  <c r="C666"/>
  <c r="C701"/>
  <c r="H1632" i="4"/>
  <c r="E726" i="3" s="1"/>
  <c r="F1654" i="4"/>
  <c r="C735" i="3"/>
  <c r="C736" s="1"/>
  <c r="I1681" i="4"/>
  <c r="I1680" s="1"/>
  <c r="F757" i="3" s="1"/>
  <c r="F1870" i="4"/>
  <c r="C840" i="3"/>
  <c r="C841" s="1"/>
  <c r="F1859" i="4"/>
  <c r="C835" i="3"/>
  <c r="C836" s="1"/>
  <c r="C911"/>
  <c r="F1571" i="4"/>
  <c r="C695" i="3"/>
  <c r="C696" s="1"/>
  <c r="H1283" i="4"/>
  <c r="E555" i="3"/>
  <c r="E556" s="1"/>
  <c r="E581"/>
  <c r="E826"/>
  <c r="F1366" i="4"/>
  <c r="C595" i="3"/>
  <c r="C596" s="1"/>
  <c r="E622"/>
  <c r="E902"/>
  <c r="F1427" i="4"/>
  <c r="C625" i="3"/>
  <c r="C626" s="1"/>
  <c r="E619"/>
  <c r="E899"/>
  <c r="H1715" i="4"/>
  <c r="E765" i="3"/>
  <c r="E766" s="1"/>
  <c r="F1715" i="4"/>
  <c r="C765" i="3"/>
  <c r="C766" s="1"/>
  <c r="H1704" i="4"/>
  <c r="E761" i="3" s="1"/>
  <c r="H1787" i="4"/>
  <c r="E800" i="3"/>
  <c r="E801" s="1"/>
  <c r="C806"/>
  <c r="H1851" i="4"/>
  <c r="I1848"/>
  <c r="I1992"/>
  <c r="C526" i="3"/>
  <c r="F1283" i="4"/>
  <c r="C555" i="3"/>
  <c r="C556" s="1"/>
  <c r="E620"/>
  <c r="E900"/>
  <c r="C631"/>
  <c r="F1499" i="4"/>
  <c r="C660" i="3"/>
  <c r="C661" s="1"/>
  <c r="C771"/>
  <c r="H1848" i="4"/>
  <c r="F1931"/>
  <c r="C870" i="3"/>
  <c r="C871" s="1"/>
  <c r="H1992" i="4"/>
  <c r="I2001"/>
  <c r="H2000"/>
  <c r="H2003" s="1"/>
  <c r="H1968"/>
  <c r="F2014"/>
  <c r="I1968"/>
  <c r="H2005"/>
  <c r="I2006"/>
  <c r="H2011"/>
  <c r="I2012"/>
  <c r="H2008"/>
  <c r="I2009"/>
  <c r="I1965"/>
  <c r="I1894"/>
  <c r="H1893"/>
  <c r="E861" i="3" s="1"/>
  <c r="H1936" i="4"/>
  <c r="E874" i="3" s="1"/>
  <c r="I1937" i="4"/>
  <c r="I1929"/>
  <c r="H1928"/>
  <c r="F1942"/>
  <c r="H1933"/>
  <c r="E873" i="3" s="1"/>
  <c r="I1934" i="4"/>
  <c r="H1939"/>
  <c r="E875" i="3" s="1"/>
  <c r="I1940" i="4"/>
  <c r="I1897"/>
  <c r="H1896"/>
  <c r="E862" i="3" s="1"/>
  <c r="I1868" i="4"/>
  <c r="H1867"/>
  <c r="I1857"/>
  <c r="H1856"/>
  <c r="H1859" s="1"/>
  <c r="I1842"/>
  <c r="I1824"/>
  <c r="H1824"/>
  <c r="I1865"/>
  <c r="H1864"/>
  <c r="H1861"/>
  <c r="I1862"/>
  <c r="I1821"/>
  <c r="I1796"/>
  <c r="H1795"/>
  <c r="E805" i="3" s="1"/>
  <c r="I1749" i="4"/>
  <c r="F791" i="3" s="1"/>
  <c r="I1790" i="4"/>
  <c r="H1789"/>
  <c r="E803" i="3" s="1"/>
  <c r="F1798" i="4"/>
  <c r="I1784"/>
  <c r="I1776"/>
  <c r="F796" i="3" s="1"/>
  <c r="I1779" i="4"/>
  <c r="F797" i="3" s="1"/>
  <c r="I1793" i="4"/>
  <c r="H1792"/>
  <c r="E804" i="3" s="1"/>
  <c r="I1773" i="4"/>
  <c r="F795" i="3" s="1"/>
  <c r="I1752" i="4"/>
  <c r="F792" i="3" s="1"/>
  <c r="F1726" i="4"/>
  <c r="I1701"/>
  <c r="F760" i="3" s="1"/>
  <c r="I1712" i="4"/>
  <c r="I1718"/>
  <c r="H1717"/>
  <c r="E768" i="3" s="1"/>
  <c r="I1677" i="4"/>
  <c r="F756" i="3" s="1"/>
  <c r="I1704" i="4"/>
  <c r="F761" i="3" s="1"/>
  <c r="I1724" i="4"/>
  <c r="H1723"/>
  <c r="I1707"/>
  <c r="F762" i="3" s="1"/>
  <c r="I1698" i="4"/>
  <c r="F759" i="3" s="1"/>
  <c r="H1720" i="4"/>
  <c r="E769" i="3" s="1"/>
  <c r="I1721" i="4"/>
  <c r="I1632"/>
  <c r="F726" i="3" s="1"/>
  <c r="I1641" i="4"/>
  <c r="H1640"/>
  <c r="I1605"/>
  <c r="F721" i="3" s="1"/>
  <c r="I1626" i="4"/>
  <c r="F724" i="3" s="1"/>
  <c r="H1645" i="4"/>
  <c r="E733" i="3" s="1"/>
  <c r="I1646" i="4"/>
  <c r="H1651"/>
  <c r="E735" i="3" s="1"/>
  <c r="I1652" i="4"/>
  <c r="H1608"/>
  <c r="E722" i="3" s="1"/>
  <c r="I1629" i="4"/>
  <c r="F725" i="3" s="1"/>
  <c r="H1648" i="4"/>
  <c r="E734" i="3" s="1"/>
  <c r="I1649" i="4"/>
  <c r="I1608"/>
  <c r="F722" i="3" s="1"/>
  <c r="I1536" i="4"/>
  <c r="F687" i="3" s="1"/>
  <c r="I1574" i="4"/>
  <c r="H1573"/>
  <c r="E698" i="3" s="1"/>
  <c r="I1563" i="4"/>
  <c r="F692" i="3" s="1"/>
  <c r="I1560" i="4"/>
  <c r="F691" i="3" s="1"/>
  <c r="I1557" i="4"/>
  <c r="F690" i="3" s="1"/>
  <c r="I1533" i="4"/>
  <c r="F686" i="3" s="1"/>
  <c r="H1579" i="4"/>
  <c r="E700" i="3" s="1"/>
  <c r="I1580" i="4"/>
  <c r="F1582"/>
  <c r="H1576"/>
  <c r="E699" i="3" s="1"/>
  <c r="I1577" i="4"/>
  <c r="H1536"/>
  <c r="E687" i="3" s="1"/>
  <c r="H1461" i="4"/>
  <c r="E651" i="3" s="1"/>
  <c r="H1507" i="4"/>
  <c r="E665" i="3" s="1"/>
  <c r="I1508" i="4"/>
  <c r="I1461"/>
  <c r="F651" i="3" s="1"/>
  <c r="H1501" i="4"/>
  <c r="E663" i="3" s="1"/>
  <c r="I1502" i="4"/>
  <c r="I1464"/>
  <c r="F652" i="3" s="1"/>
  <c r="F1510" i="4"/>
  <c r="I1497"/>
  <c r="H1496"/>
  <c r="H1504"/>
  <c r="E664" i="3" s="1"/>
  <c r="I1505" i="4"/>
  <c r="F1473"/>
  <c r="I1413"/>
  <c r="I1410"/>
  <c r="I1389"/>
  <c r="I1425"/>
  <c r="H1424"/>
  <c r="I1419"/>
  <c r="F1438"/>
  <c r="I1430"/>
  <c r="H1429"/>
  <c r="I1392"/>
  <c r="H1435"/>
  <c r="I1436"/>
  <c r="I1416"/>
  <c r="I1433"/>
  <c r="H1432"/>
  <c r="I1317"/>
  <c r="I1358"/>
  <c r="H1357"/>
  <c r="I1364"/>
  <c r="H1363"/>
  <c r="I1361"/>
  <c r="H1360"/>
  <c r="I1347"/>
  <c r="I1338"/>
  <c r="I1320"/>
  <c r="I1352"/>
  <c r="I1292"/>
  <c r="H1291"/>
  <c r="E560" i="3" s="1"/>
  <c r="I1275" i="4"/>
  <c r="F552" i="3" s="1"/>
  <c r="F1294" i="4"/>
  <c r="I1280"/>
  <c r="I1248"/>
  <c r="F547" i="3" s="1"/>
  <c r="I1245" i="4"/>
  <c r="F546" i="3" s="1"/>
  <c r="I1272" i="4"/>
  <c r="F551" i="3" s="1"/>
  <c r="I1266" i="4"/>
  <c r="F549" i="3" s="1"/>
  <c r="I1286" i="4"/>
  <c r="H1285"/>
  <c r="E558" i="3" s="1"/>
  <c r="I1289" i="4"/>
  <c r="H1288"/>
  <c r="E559" i="3" s="1"/>
  <c r="I1269" i="4"/>
  <c r="F550" i="3" s="1"/>
  <c r="F1222" i="4"/>
  <c r="H1213"/>
  <c r="E523" i="3" s="1"/>
  <c r="I1214" i="4"/>
  <c r="I1176"/>
  <c r="F512" i="3" s="1"/>
  <c r="I1173" i="4"/>
  <c r="F511" i="3" s="1"/>
  <c r="I1209" i="4"/>
  <c r="H1208"/>
  <c r="I1194"/>
  <c r="F514" i="3" s="1"/>
  <c r="H1219" i="4"/>
  <c r="E525" i="3" s="1"/>
  <c r="I1220" i="4"/>
  <c r="H1216"/>
  <c r="E524" i="3" s="1"/>
  <c r="I1217" i="4"/>
  <c r="F1113"/>
  <c r="I1122"/>
  <c r="F479" i="3" s="1"/>
  <c r="H1101" i="4"/>
  <c r="E476" i="3" s="1"/>
  <c r="F1150" i="4"/>
  <c r="H1141"/>
  <c r="E488" i="3" s="1"/>
  <c r="I1142" i="4"/>
  <c r="I1137"/>
  <c r="H1136"/>
  <c r="I1101"/>
  <c r="F476" i="3" s="1"/>
  <c r="H1144" i="4"/>
  <c r="E489" i="3" s="1"/>
  <c r="I1145" i="4"/>
  <c r="I1104"/>
  <c r="F477" i="3" s="1"/>
  <c r="H1147" i="4"/>
  <c r="E490" i="3" s="1"/>
  <c r="I1148" i="4"/>
  <c r="I1059"/>
  <c r="F447" i="3" s="1"/>
  <c r="I1076" i="4"/>
  <c r="H1075"/>
  <c r="E455" i="3" s="1"/>
  <c r="I1050" i="4"/>
  <c r="F444" i="3" s="1"/>
  <c r="I1073" i="4"/>
  <c r="H1072"/>
  <c r="E454" i="3" s="1"/>
  <c r="I1070" i="4"/>
  <c r="H1069"/>
  <c r="E453" i="3" s="1"/>
  <c r="I1056" i="4"/>
  <c r="F446" i="3" s="1"/>
  <c r="I1029" i="4"/>
  <c r="F441" i="3" s="1"/>
  <c r="H1064" i="4"/>
  <c r="I1065"/>
  <c r="I1053"/>
  <c r="F445" i="3" s="1"/>
  <c r="I1032" i="4"/>
  <c r="F442" i="3" s="1"/>
  <c r="I992" i="4"/>
  <c r="I987"/>
  <c r="F412" i="3" s="1"/>
  <c r="I984" i="4"/>
  <c r="F411" i="3" s="1"/>
  <c r="F1006" i="4"/>
  <c r="H1003"/>
  <c r="E420" i="3" s="1"/>
  <c r="I1004" i="4"/>
  <c r="I957"/>
  <c r="F406" i="3" s="1"/>
  <c r="F969" i="4"/>
  <c r="I981"/>
  <c r="F410" i="3" s="1"/>
  <c r="I1001" i="4"/>
  <c r="H1000"/>
  <c r="E419" i="3" s="1"/>
  <c r="I978" i="4"/>
  <c r="F409" i="3" s="1"/>
  <c r="H997" i="4"/>
  <c r="E418" i="3" s="1"/>
  <c r="I998" i="4"/>
  <c r="F897"/>
  <c r="H928"/>
  <c r="E384" i="3" s="1"/>
  <c r="I929" i="4"/>
  <c r="H925"/>
  <c r="E383" i="3" s="1"/>
  <c r="I926" i="4"/>
  <c r="H931"/>
  <c r="I932"/>
  <c r="F371" i="3"/>
  <c r="E372"/>
  <c r="I921" i="4"/>
  <c r="H920"/>
  <c r="F372" i="3"/>
  <c r="H1977" i="4" l="1"/>
  <c r="I1977" s="1"/>
  <c r="F1257"/>
  <c r="H1257" s="1"/>
  <c r="I1257" s="1"/>
  <c r="F1905"/>
  <c r="F1185"/>
  <c r="H1185" s="1"/>
  <c r="I1185" s="1"/>
  <c r="F1545"/>
  <c r="H1545" s="1"/>
  <c r="I1545" s="1"/>
  <c r="H1473"/>
  <c r="I1473" s="1"/>
  <c r="H897"/>
  <c r="I897" s="1"/>
  <c r="F1401"/>
  <c r="H1689"/>
  <c r="I1689" s="1"/>
  <c r="H969"/>
  <c r="I969" s="1"/>
  <c r="F1041"/>
  <c r="F1329"/>
  <c r="H1113"/>
  <c r="I1113" s="1"/>
  <c r="F1761"/>
  <c r="F1833"/>
  <c r="E830" i="3"/>
  <c r="E616"/>
  <c r="E832"/>
  <c r="E582"/>
  <c r="E421"/>
  <c r="E806"/>
  <c r="E897"/>
  <c r="E561"/>
  <c r="E736"/>
  <c r="E456"/>
  <c r="H1139" i="4"/>
  <c r="E485" i="3"/>
  <c r="E486" s="1"/>
  <c r="H923" i="4"/>
  <c r="E380" i="3"/>
  <c r="E381" s="1"/>
  <c r="I995" i="4"/>
  <c r="F415" i="3"/>
  <c r="F416" s="1"/>
  <c r="H1211" i="4"/>
  <c r="E520" i="3"/>
  <c r="E521" s="1"/>
  <c r="F586"/>
  <c r="F831"/>
  <c r="F621"/>
  <c r="F901"/>
  <c r="F617"/>
  <c r="F897"/>
  <c r="H1726" i="4"/>
  <c r="E770" i="3"/>
  <c r="I1355" i="4"/>
  <c r="F590" i="3"/>
  <c r="F591" s="1"/>
  <c r="F835"/>
  <c r="F836" s="1"/>
  <c r="F584"/>
  <c r="F829"/>
  <c r="E595"/>
  <c r="E840"/>
  <c r="E629"/>
  <c r="E909"/>
  <c r="E630"/>
  <c r="E910"/>
  <c r="F622"/>
  <c r="F902"/>
  <c r="H1427" i="4"/>
  <c r="E625" i="3"/>
  <c r="E626" s="1"/>
  <c r="E905"/>
  <c r="E906" s="1"/>
  <c r="F620"/>
  <c r="F900"/>
  <c r="H934" i="4"/>
  <c r="E385" i="3"/>
  <c r="E386" s="1"/>
  <c r="E491"/>
  <c r="I1283" i="4"/>
  <c r="F555" i="3"/>
  <c r="F556" s="1"/>
  <c r="E594"/>
  <c r="E839"/>
  <c r="F581"/>
  <c r="F826"/>
  <c r="F585"/>
  <c r="F830"/>
  <c r="E628"/>
  <c r="E908"/>
  <c r="H1499" i="4"/>
  <c r="E660" i="3"/>
  <c r="E661" s="1"/>
  <c r="E666"/>
  <c r="E701"/>
  <c r="H1067" i="4"/>
  <c r="E450" i="3"/>
  <c r="E451" s="1"/>
  <c r="E526"/>
  <c r="F582"/>
  <c r="F827"/>
  <c r="F587"/>
  <c r="F832"/>
  <c r="E593"/>
  <c r="E838"/>
  <c r="F616"/>
  <c r="F896"/>
  <c r="F619"/>
  <c r="F899"/>
  <c r="H1643" i="4"/>
  <c r="E730" i="3"/>
  <c r="E731" s="1"/>
  <c r="E876"/>
  <c r="H1931" i="4"/>
  <c r="E870" i="3"/>
  <c r="E871" s="1"/>
  <c r="I1571" i="4"/>
  <c r="F695" i="3"/>
  <c r="F696" s="1"/>
  <c r="E771"/>
  <c r="I1715" i="4"/>
  <c r="F765" i="3"/>
  <c r="F766" s="1"/>
  <c r="I1787" i="4"/>
  <c r="F800" i="3"/>
  <c r="F801" s="1"/>
  <c r="E584"/>
  <c r="E829"/>
  <c r="I2005" i="4"/>
  <c r="I2000"/>
  <c r="I2003" s="1"/>
  <c r="I2011"/>
  <c r="I2008"/>
  <c r="H2014"/>
  <c r="H1942"/>
  <c r="I1893"/>
  <c r="F861" i="3" s="1"/>
  <c r="I1896" i="4"/>
  <c r="F862" i="3" s="1"/>
  <c r="I1928" i="4"/>
  <c r="I1939"/>
  <c r="I1933"/>
  <c r="F873" i="3" s="1"/>
  <c r="I1936" i="4"/>
  <c r="F874" i="3" s="1"/>
  <c r="H1870" i="4"/>
  <c r="I1867"/>
  <c r="I1864"/>
  <c r="I1856"/>
  <c r="I1859" s="1"/>
  <c r="I1861"/>
  <c r="H1798"/>
  <c r="I1789"/>
  <c r="F803" i="3" s="1"/>
  <c r="I1795" i="4"/>
  <c r="F805" i="3" s="1"/>
  <c r="I1792" i="4"/>
  <c r="F804" i="3" s="1"/>
  <c r="I1723" i="4"/>
  <c r="I1717"/>
  <c r="F768" i="3" s="1"/>
  <c r="I1720" i="4"/>
  <c r="F769" i="3" s="1"/>
  <c r="I1645" i="4"/>
  <c r="F733" i="3" s="1"/>
  <c r="I1640" i="4"/>
  <c r="I1648"/>
  <c r="F734" i="3" s="1"/>
  <c r="I1651" i="4"/>
  <c r="H1654"/>
  <c r="I1576"/>
  <c r="F699" i="3" s="1"/>
  <c r="I1579" i="4"/>
  <c r="F700" i="3" s="1"/>
  <c r="I1573" i="4"/>
  <c r="F698" i="3" s="1"/>
  <c r="H1582" i="4"/>
  <c r="I1501"/>
  <c r="F663" i="3" s="1"/>
  <c r="I1496" i="4"/>
  <c r="I1507"/>
  <c r="I1504"/>
  <c r="F664" i="3" s="1"/>
  <c r="H1510" i="4"/>
  <c r="I1435"/>
  <c r="I1424"/>
  <c r="H1438"/>
  <c r="I1432"/>
  <c r="I1429"/>
  <c r="I1363"/>
  <c r="I1360"/>
  <c r="I1357"/>
  <c r="H1366"/>
  <c r="I1285"/>
  <c r="F558" i="3" s="1"/>
  <c r="H1294" i="4"/>
  <c r="I1288"/>
  <c r="F559" i="3" s="1"/>
  <c r="I1291" i="4"/>
  <c r="F560" i="3" s="1"/>
  <c r="H1222" i="4"/>
  <c r="I1208"/>
  <c r="I1213"/>
  <c r="F523" i="3" s="1"/>
  <c r="I1216" i="4"/>
  <c r="F524" i="3" s="1"/>
  <c r="I1219" i="4"/>
  <c r="F525" i="3" s="1"/>
  <c r="I1147" i="4"/>
  <c r="F490" i="3" s="1"/>
  <c r="I1144" i="4"/>
  <c r="F489" i="3" s="1"/>
  <c r="H1150" i="4"/>
  <c r="I1136"/>
  <c r="I1141"/>
  <c r="F488" i="3" s="1"/>
  <c r="H1078" i="4"/>
  <c r="I1064"/>
  <c r="I1069"/>
  <c r="F453" i="3" s="1"/>
  <c r="I1072" i="4"/>
  <c r="F454" i="3" s="1"/>
  <c r="I1075" i="4"/>
  <c r="F455" i="3" s="1"/>
  <c r="I1000" i="4"/>
  <c r="F419" i="3" s="1"/>
  <c r="I1003" i="4"/>
  <c r="I997"/>
  <c r="F418" i="3" s="1"/>
  <c r="H1006" i="4"/>
  <c r="I920"/>
  <c r="I925"/>
  <c r="F383" i="3" s="1"/>
  <c r="I931" i="4"/>
  <c r="I928"/>
  <c r="F384" i="3" s="1"/>
  <c r="H10" i="6"/>
  <c r="F10" s="1"/>
  <c r="H1905" i="4" l="1"/>
  <c r="I1905" s="1"/>
  <c r="H1833"/>
  <c r="I1833" s="1"/>
  <c r="H1761"/>
  <c r="I1761" s="1"/>
  <c r="H1329"/>
  <c r="I1329" s="1"/>
  <c r="H1041"/>
  <c r="I1041" s="1"/>
  <c r="H1401"/>
  <c r="I1401" s="1"/>
  <c r="E631" i="3"/>
  <c r="I1870" i="4"/>
  <c r="E841" i="3"/>
  <c r="E596"/>
  <c r="E1616" i="4"/>
  <c r="F1616" s="1"/>
  <c r="E1976"/>
  <c r="F1976" s="1"/>
  <c r="E1760"/>
  <c r="F1760" s="1"/>
  <c r="E1328"/>
  <c r="F1328" s="1"/>
  <c r="E1472"/>
  <c r="F1472" s="1"/>
  <c r="E1400"/>
  <c r="F1400" s="1"/>
  <c r="E1832"/>
  <c r="F1832" s="1"/>
  <c r="E1688"/>
  <c r="F1688" s="1"/>
  <c r="E1256"/>
  <c r="F1256" s="1"/>
  <c r="E1904"/>
  <c r="F1904" s="1"/>
  <c r="E1544"/>
  <c r="F1544" s="1"/>
  <c r="E1112"/>
  <c r="F1112" s="1"/>
  <c r="E1040"/>
  <c r="F1040" s="1"/>
  <c r="E968"/>
  <c r="F968" s="1"/>
  <c r="E1184"/>
  <c r="F1184" s="1"/>
  <c r="E896"/>
  <c r="F896" s="1"/>
  <c r="I1067"/>
  <c r="F450" i="3"/>
  <c r="F451" s="1"/>
  <c r="F491"/>
  <c r="I1139" i="4"/>
  <c r="F485" i="3"/>
  <c r="F486" s="1"/>
  <c r="F561"/>
  <c r="F629"/>
  <c r="F909"/>
  <c r="I1427" i="4"/>
  <c r="F625" i="3"/>
  <c r="F626" s="1"/>
  <c r="F905"/>
  <c r="F906" s="1"/>
  <c r="F630"/>
  <c r="F910"/>
  <c r="I1510" i="4"/>
  <c r="F665" i="3"/>
  <c r="F666" s="1"/>
  <c r="I1499" i="4"/>
  <c r="F660" i="3"/>
  <c r="F661" s="1"/>
  <c r="F806"/>
  <c r="I1942" i="4"/>
  <c r="F875" i="3"/>
  <c r="F876" s="1"/>
  <c r="I1931" i="4"/>
  <c r="F870" i="3"/>
  <c r="F871" s="1"/>
  <c r="E911"/>
  <c r="I1211" i="4"/>
  <c r="F520" i="3"/>
  <c r="F521" s="1"/>
  <c r="F595"/>
  <c r="F840"/>
  <c r="I1726" i="4"/>
  <c r="F770" i="3"/>
  <c r="F771" s="1"/>
  <c r="F456"/>
  <c r="F526"/>
  <c r="F628"/>
  <c r="F908"/>
  <c r="I2014" i="4"/>
  <c r="I934"/>
  <c r="F385" i="3"/>
  <c r="F386" s="1"/>
  <c r="I923" i="4"/>
  <c r="F380" i="3"/>
  <c r="F381" s="1"/>
  <c r="I1006" i="4"/>
  <c r="F420" i="3"/>
  <c r="F421" s="1"/>
  <c r="F593"/>
  <c r="F838"/>
  <c r="F594"/>
  <c r="F839"/>
  <c r="F701"/>
  <c r="I1654" i="4"/>
  <c r="F735" i="3"/>
  <c r="F736" s="1"/>
  <c r="I1643" i="4"/>
  <c r="F730" i="3"/>
  <c r="F731" s="1"/>
  <c r="I1798" i="4"/>
  <c r="I1582"/>
  <c r="I1438"/>
  <c r="I1366"/>
  <c r="I1294"/>
  <c r="I1222"/>
  <c r="I1150"/>
  <c r="I1078"/>
  <c r="E324"/>
  <c r="H9" i="6"/>
  <c r="F9" s="1"/>
  <c r="F841" i="3" l="1"/>
  <c r="F631"/>
  <c r="E1471" i="4"/>
  <c r="F1471" s="1"/>
  <c r="E1399"/>
  <c r="F1399" s="1"/>
  <c r="E1903"/>
  <c r="F1903" s="1"/>
  <c r="E1831"/>
  <c r="F1831" s="1"/>
  <c r="E1687"/>
  <c r="F1687" s="1"/>
  <c r="E1543"/>
  <c r="F1543" s="1"/>
  <c r="E1615"/>
  <c r="F1615" s="1"/>
  <c r="E1255"/>
  <c r="F1255" s="1"/>
  <c r="E1327"/>
  <c r="F1327" s="1"/>
  <c r="E1039"/>
  <c r="F1039" s="1"/>
  <c r="E967"/>
  <c r="F967" s="1"/>
  <c r="E1183"/>
  <c r="F1183" s="1"/>
  <c r="E895"/>
  <c r="F895" s="1"/>
  <c r="E1759"/>
  <c r="F1759" s="1"/>
  <c r="E1975"/>
  <c r="F1975" s="1"/>
  <c r="E1111"/>
  <c r="F1111" s="1"/>
  <c r="F596" i="3"/>
  <c r="H896" i="4"/>
  <c r="I896" s="1"/>
  <c r="H1112"/>
  <c r="I1112" s="1"/>
  <c r="H1688"/>
  <c r="I1688" s="1"/>
  <c r="H1328"/>
  <c r="I1328" s="1"/>
  <c r="H1184"/>
  <c r="I1184" s="1"/>
  <c r="H1544"/>
  <c r="I1544" s="1"/>
  <c r="H1832"/>
  <c r="I1832" s="1"/>
  <c r="H1760"/>
  <c r="I1760" s="1"/>
  <c r="F911" i="3"/>
  <c r="H968" i="4"/>
  <c r="I968" s="1"/>
  <c r="H1904"/>
  <c r="I1904" s="1"/>
  <c r="H1400"/>
  <c r="I1400" s="1"/>
  <c r="H1976"/>
  <c r="I1976" s="1"/>
  <c r="H1040"/>
  <c r="I1040" s="1"/>
  <c r="H1256"/>
  <c r="I1256" s="1"/>
  <c r="H1472"/>
  <c r="I1472" s="1"/>
  <c r="H1616"/>
  <c r="I1616" s="1"/>
  <c r="E323"/>
  <c r="H1111" l="1"/>
  <c r="I1111" s="1"/>
  <c r="H1183"/>
  <c r="I1183" s="1"/>
  <c r="H1255"/>
  <c r="I1255" s="1"/>
  <c r="H1831"/>
  <c r="I1831" s="1"/>
  <c r="H1975"/>
  <c r="I1975" s="1"/>
  <c r="H967"/>
  <c r="I967" s="1"/>
  <c r="H1615"/>
  <c r="I1615" s="1"/>
  <c r="H1903"/>
  <c r="I1903" s="1"/>
  <c r="H1759"/>
  <c r="I1759" s="1"/>
  <c r="H1039"/>
  <c r="I1039" s="1"/>
  <c r="H1543"/>
  <c r="I1543" s="1"/>
  <c r="H1399"/>
  <c r="I1399" s="1"/>
  <c r="H895"/>
  <c r="I895" s="1"/>
  <c r="H1327"/>
  <c r="I1327" s="1"/>
  <c r="H1687"/>
  <c r="I1687" s="1"/>
  <c r="H1471"/>
  <c r="I1471" s="1"/>
  <c r="B28" i="10" l="1"/>
  <c r="C48" i="11" l="1"/>
  <c r="E48" i="13"/>
  <c r="C42"/>
  <c r="C37"/>
  <c r="E37" s="1"/>
  <c r="F37" s="1"/>
  <c r="B55"/>
  <c r="E47"/>
  <c r="G9"/>
  <c r="E9"/>
  <c r="D47" s="1"/>
  <c r="A4"/>
  <c r="A2"/>
  <c r="B54" i="11"/>
  <c r="E47"/>
  <c r="F47" s="1"/>
  <c r="E46"/>
  <c r="E36"/>
  <c r="F36" s="1"/>
  <c r="G9"/>
  <c r="E9"/>
  <c r="A4"/>
  <c r="B28" i="12"/>
  <c r="E13" i="9"/>
  <c r="F13" s="1"/>
  <c r="E23" i="12"/>
  <c r="F23" s="1"/>
  <c r="F21" s="1"/>
  <c r="F16"/>
  <c r="F15" s="1"/>
  <c r="C23"/>
  <c r="F14"/>
  <c r="I14" s="1"/>
  <c r="J8"/>
  <c r="H8"/>
  <c r="A3"/>
  <c r="A2"/>
  <c r="F20" i="10"/>
  <c r="F17"/>
  <c r="E15"/>
  <c r="F15" s="1"/>
  <c r="F41" i="11" s="1"/>
  <c r="J37" i="14" s="1"/>
  <c r="U37" s="1"/>
  <c r="C25" i="8"/>
  <c r="C24" s="1"/>
  <c r="C25" i="11" s="1"/>
  <c r="B27" i="9"/>
  <c r="G8" i="10"/>
  <c r="E8"/>
  <c r="A3"/>
  <c r="A2"/>
  <c r="E14" i="9"/>
  <c r="F14" s="1"/>
  <c r="E15"/>
  <c r="F15" s="1"/>
  <c r="E16"/>
  <c r="F16" s="1"/>
  <c r="E18"/>
  <c r="F18" s="1"/>
  <c r="E19"/>
  <c r="F19" s="1"/>
  <c r="E20"/>
  <c r="F20" s="1"/>
  <c r="E21"/>
  <c r="F21" s="1"/>
  <c r="E22"/>
  <c r="F22" s="1"/>
  <c r="C35" i="8"/>
  <c r="C26" i="11" s="1"/>
  <c r="C12" i="8"/>
  <c r="C23" i="13" s="1"/>
  <c r="F13" i="8"/>
  <c r="G8" i="9"/>
  <c r="E8"/>
  <c r="D14" s="1"/>
  <c r="A3"/>
  <c r="A2"/>
  <c r="B47" i="8"/>
  <c r="C14"/>
  <c r="C24" i="11" s="1"/>
  <c r="E36" i="8"/>
  <c r="F36" s="1"/>
  <c r="F35" s="1"/>
  <c r="E34"/>
  <c r="F34" s="1"/>
  <c r="E33"/>
  <c r="F33" s="1"/>
  <c r="E32"/>
  <c r="F32" s="1"/>
  <c r="F27"/>
  <c r="F28"/>
  <c r="E29"/>
  <c r="F29" s="1"/>
  <c r="E30"/>
  <c r="F30" s="1"/>
  <c r="E31"/>
  <c r="F31" s="1"/>
  <c r="E26"/>
  <c r="F26" s="1"/>
  <c r="E16"/>
  <c r="F16" s="1"/>
  <c r="E18"/>
  <c r="F18" s="1"/>
  <c r="E19"/>
  <c r="F19" s="1"/>
  <c r="E20"/>
  <c r="F20" s="1"/>
  <c r="E21"/>
  <c r="F21" s="1"/>
  <c r="F22"/>
  <c r="E23"/>
  <c r="F23" s="1"/>
  <c r="E15"/>
  <c r="F15" s="1"/>
  <c r="G8"/>
  <c r="E8"/>
  <c r="D26" s="1"/>
  <c r="A3"/>
  <c r="A2"/>
  <c r="D23" i="13" l="1"/>
  <c r="E23"/>
  <c r="F23" s="1"/>
  <c r="G23" s="1"/>
  <c r="D42"/>
  <c r="E42"/>
  <c r="C49"/>
  <c r="D47" i="11"/>
  <c r="D31"/>
  <c r="D21"/>
  <c r="D17"/>
  <c r="D18"/>
  <c r="D40"/>
  <c r="G17"/>
  <c r="G18"/>
  <c r="G40"/>
  <c r="G21"/>
  <c r="G31"/>
  <c r="I13" i="12"/>
  <c r="J13" s="1"/>
  <c r="G20"/>
  <c r="J20"/>
  <c r="G18"/>
  <c r="G19"/>
  <c r="J19"/>
  <c r="G17"/>
  <c r="J18"/>
  <c r="J17"/>
  <c r="C26" i="13"/>
  <c r="C24"/>
  <c r="C23" i="11"/>
  <c r="E48"/>
  <c r="E41"/>
  <c r="F46"/>
  <c r="F48" s="1"/>
  <c r="E49" i="13"/>
  <c r="G47" i="11"/>
  <c r="D36"/>
  <c r="F47" i="13"/>
  <c r="G47" s="1"/>
  <c r="G21" i="9"/>
  <c r="G13" i="8"/>
  <c r="G12" s="1"/>
  <c r="J14" i="12"/>
  <c r="F26" i="11"/>
  <c r="D46"/>
  <c r="D48" s="1"/>
  <c r="F42" i="13"/>
  <c r="G42" s="1"/>
  <c r="D37"/>
  <c r="G18" i="9"/>
  <c r="G36" i="11"/>
  <c r="G37" i="13"/>
  <c r="G22" i="12"/>
  <c r="H22"/>
  <c r="I22" s="1"/>
  <c r="J22" s="1"/>
  <c r="H23"/>
  <c r="I23" s="1"/>
  <c r="J23" s="1"/>
  <c r="G23"/>
  <c r="G16"/>
  <c r="H16"/>
  <c r="G13"/>
  <c r="G14"/>
  <c r="F48" i="13"/>
  <c r="G48" s="1"/>
  <c r="D48"/>
  <c r="D49" s="1"/>
  <c r="E12" i="8"/>
  <c r="D17" i="10"/>
  <c r="D20"/>
  <c r="G20"/>
  <c r="D13" i="9"/>
  <c r="D20"/>
  <c r="G15"/>
  <c r="G20"/>
  <c r="G19"/>
  <c r="F12" i="12"/>
  <c r="G15" i="10"/>
  <c r="G17"/>
  <c r="D15"/>
  <c r="G13" i="9"/>
  <c r="D21"/>
  <c r="D18"/>
  <c r="D15"/>
  <c r="G22"/>
  <c r="G16"/>
  <c r="G14"/>
  <c r="D22"/>
  <c r="D19"/>
  <c r="D16"/>
  <c r="D13" i="8"/>
  <c r="D12" s="1"/>
  <c r="E25"/>
  <c r="E24" s="1"/>
  <c r="E35"/>
  <c r="F12"/>
  <c r="F14"/>
  <c r="F24" i="11" s="1"/>
  <c r="D21" i="14" s="1"/>
  <c r="G34" i="8"/>
  <c r="D29"/>
  <c r="D33"/>
  <c r="D34"/>
  <c r="G15"/>
  <c r="D16"/>
  <c r="G30"/>
  <c r="G28"/>
  <c r="G32"/>
  <c r="D22"/>
  <c r="D31"/>
  <c r="D18"/>
  <c r="D30"/>
  <c r="D28"/>
  <c r="D32"/>
  <c r="D36"/>
  <c r="D35" s="1"/>
  <c r="D27"/>
  <c r="E14"/>
  <c r="G22"/>
  <c r="D20"/>
  <c r="G31"/>
  <c r="G29"/>
  <c r="G27"/>
  <c r="G33"/>
  <c r="G36"/>
  <c r="G35" s="1"/>
  <c r="G23"/>
  <c r="G21"/>
  <c r="G19"/>
  <c r="G17"/>
  <c r="D15"/>
  <c r="D23"/>
  <c r="D21"/>
  <c r="D19"/>
  <c r="D17"/>
  <c r="G20"/>
  <c r="G18"/>
  <c r="G16"/>
  <c r="G26"/>
  <c r="F25"/>
  <c r="F24" s="1"/>
  <c r="G15" i="12" l="1"/>
  <c r="D25" i="13"/>
  <c r="E25"/>
  <c r="F25" s="1"/>
  <c r="G25" s="1"/>
  <c r="D26"/>
  <c r="E26"/>
  <c r="F26" s="1"/>
  <c r="G26" s="1"/>
  <c r="D24"/>
  <c r="E24"/>
  <c r="F24" s="1"/>
  <c r="G24" s="1"/>
  <c r="G23" i="14"/>
  <c r="H23"/>
  <c r="F23"/>
  <c r="U23" s="1"/>
  <c r="I16" i="12"/>
  <c r="H15"/>
  <c r="U21" i="14"/>
  <c r="G46" i="11"/>
  <c r="G48" s="1"/>
  <c r="E26"/>
  <c r="G26"/>
  <c r="D26"/>
  <c r="D23"/>
  <c r="E23"/>
  <c r="F25"/>
  <c r="G23"/>
  <c r="E25"/>
  <c r="G41"/>
  <c r="F23"/>
  <c r="D41"/>
  <c r="G49" i="13"/>
  <c r="F49"/>
  <c r="C16" i="11"/>
  <c r="C16" i="13"/>
  <c r="F24" i="12"/>
  <c r="C17" i="13"/>
  <c r="D25" i="8"/>
  <c r="D24" s="1"/>
  <c r="J12" i="12"/>
  <c r="G12"/>
  <c r="H21"/>
  <c r="G21"/>
  <c r="J21"/>
  <c r="I21"/>
  <c r="I12"/>
  <c r="D14" i="8"/>
  <c r="G14"/>
  <c r="G25"/>
  <c r="G24" s="1"/>
  <c r="J16" i="12" l="1"/>
  <c r="J15" s="1"/>
  <c r="I15"/>
  <c r="E22" i="14"/>
  <c r="C22"/>
  <c r="F22"/>
  <c r="D22"/>
  <c r="C20"/>
  <c r="D20"/>
  <c r="D24" i="11"/>
  <c r="G25"/>
  <c r="D25"/>
  <c r="G24"/>
  <c r="D17" i="13"/>
  <c r="E17"/>
  <c r="D16"/>
  <c r="D16" i="11"/>
  <c r="G24" i="12"/>
  <c r="H24"/>
  <c r="E16" i="13"/>
  <c r="E16" i="11"/>
  <c r="C19" i="13"/>
  <c r="F16"/>
  <c r="F16" i="11"/>
  <c r="C13" i="14" s="1"/>
  <c r="G16" i="13"/>
  <c r="G16" i="11"/>
  <c r="C19"/>
  <c r="I24" i="12"/>
  <c r="U22" i="14" l="1"/>
  <c r="U20"/>
  <c r="S15"/>
  <c r="T15"/>
  <c r="T16" s="1"/>
  <c r="U13"/>
  <c r="C16"/>
  <c r="F17" i="13"/>
  <c r="F19" s="1"/>
  <c r="E19" i="11"/>
  <c r="D19"/>
  <c r="G19"/>
  <c r="G17" i="13"/>
  <c r="G19" s="1"/>
  <c r="J24" i="12"/>
  <c r="E19" i="13"/>
  <c r="D19"/>
  <c r="B35" i="7"/>
  <c r="B356" i="3"/>
  <c r="G9" i="7"/>
  <c r="E9"/>
  <c r="A3"/>
  <c r="A2"/>
  <c r="G330" i="3"/>
  <c r="E330"/>
  <c r="A326"/>
  <c r="A325"/>
  <c r="B321"/>
  <c r="G295"/>
  <c r="E295"/>
  <c r="A291"/>
  <c r="A290"/>
  <c r="B286"/>
  <c r="G260"/>
  <c r="E260"/>
  <c r="A255"/>
  <c r="A254"/>
  <c r="B250"/>
  <c r="G224"/>
  <c r="E224"/>
  <c r="A219"/>
  <c r="A218"/>
  <c r="B214"/>
  <c r="G188"/>
  <c r="E188"/>
  <c r="A183"/>
  <c r="A182"/>
  <c r="B178"/>
  <c r="G152"/>
  <c r="E152"/>
  <c r="A147"/>
  <c r="A146"/>
  <c r="B142"/>
  <c r="G116"/>
  <c r="E116"/>
  <c r="A111"/>
  <c r="A110"/>
  <c r="B106"/>
  <c r="G80"/>
  <c r="E80"/>
  <c r="A75"/>
  <c r="A74"/>
  <c r="B70"/>
  <c r="B34"/>
  <c r="G44"/>
  <c r="E44"/>
  <c r="A39"/>
  <c r="A38"/>
  <c r="G8"/>
  <c r="E8"/>
  <c r="A3"/>
  <c r="A2"/>
  <c r="B370" i="4"/>
  <c r="E365"/>
  <c r="F365" s="1"/>
  <c r="C365"/>
  <c r="A365"/>
  <c r="E364"/>
  <c r="F364" s="1"/>
  <c r="C364"/>
  <c r="E362"/>
  <c r="F362" s="1"/>
  <c r="C362"/>
  <c r="A362"/>
  <c r="E361"/>
  <c r="F361" s="1"/>
  <c r="C361"/>
  <c r="E359"/>
  <c r="F359" s="1"/>
  <c r="C359"/>
  <c r="A359"/>
  <c r="E358"/>
  <c r="F358" s="1"/>
  <c r="C358"/>
  <c r="E354"/>
  <c r="F354" s="1"/>
  <c r="C354"/>
  <c r="A354"/>
  <c r="E353"/>
  <c r="F353" s="1"/>
  <c r="H353" s="1"/>
  <c r="C353"/>
  <c r="E349"/>
  <c r="F349" s="1"/>
  <c r="H349" s="1"/>
  <c r="C349"/>
  <c r="A349"/>
  <c r="E348"/>
  <c r="F348" s="1"/>
  <c r="H348" s="1"/>
  <c r="I348" s="1"/>
  <c r="C348"/>
  <c r="E346"/>
  <c r="F346" s="1"/>
  <c r="H346" s="1"/>
  <c r="I346" s="1"/>
  <c r="C346"/>
  <c r="A346"/>
  <c r="E345"/>
  <c r="F345" s="1"/>
  <c r="C345"/>
  <c r="E343"/>
  <c r="F343" s="1"/>
  <c r="H343" s="1"/>
  <c r="I343" s="1"/>
  <c r="C343"/>
  <c r="A343"/>
  <c r="E342"/>
  <c r="F342" s="1"/>
  <c r="H342" s="1"/>
  <c r="C342"/>
  <c r="E340"/>
  <c r="F340" s="1"/>
  <c r="C340"/>
  <c r="A340"/>
  <c r="E339"/>
  <c r="F339" s="1"/>
  <c r="H339" s="1"/>
  <c r="C339"/>
  <c r="C334"/>
  <c r="C331"/>
  <c r="C330"/>
  <c r="C329"/>
  <c r="C328"/>
  <c r="C327"/>
  <c r="C320"/>
  <c r="E317"/>
  <c r="F317" s="1"/>
  <c r="C317"/>
  <c r="E316"/>
  <c r="F316" s="1"/>
  <c r="C316"/>
  <c r="E314"/>
  <c r="F314" s="1"/>
  <c r="H314" s="1"/>
  <c r="I314" s="1"/>
  <c r="C314"/>
  <c r="A314"/>
  <c r="E313"/>
  <c r="F313" s="1"/>
  <c r="H313" s="1"/>
  <c r="C313"/>
  <c r="C311"/>
  <c r="C310"/>
  <c r="J304"/>
  <c r="H304"/>
  <c r="A297"/>
  <c r="B293"/>
  <c r="B179"/>
  <c r="J190"/>
  <c r="J9"/>
  <c r="A183"/>
  <c r="E288"/>
  <c r="F288" s="1"/>
  <c r="C288"/>
  <c r="A288"/>
  <c r="E287"/>
  <c r="F287" s="1"/>
  <c r="C287"/>
  <c r="E285"/>
  <c r="F285" s="1"/>
  <c r="C285"/>
  <c r="A285"/>
  <c r="E284"/>
  <c r="F284" s="1"/>
  <c r="C284"/>
  <c r="E282"/>
  <c r="F282" s="1"/>
  <c r="C282"/>
  <c r="A282"/>
  <c r="E281"/>
  <c r="F281" s="1"/>
  <c r="C281"/>
  <c r="E277"/>
  <c r="F277" s="1"/>
  <c r="H277" s="1"/>
  <c r="I277" s="1"/>
  <c r="C277"/>
  <c r="A277"/>
  <c r="E276"/>
  <c r="F276" s="1"/>
  <c r="H276" s="1"/>
  <c r="C276"/>
  <c r="E272"/>
  <c r="F272" s="1"/>
  <c r="C272"/>
  <c r="A272"/>
  <c r="E271"/>
  <c r="F271" s="1"/>
  <c r="C271"/>
  <c r="E269"/>
  <c r="F269" s="1"/>
  <c r="C269"/>
  <c r="A269"/>
  <c r="E268"/>
  <c r="F268" s="1"/>
  <c r="C268"/>
  <c r="E266"/>
  <c r="F266" s="1"/>
  <c r="C266"/>
  <c r="A266"/>
  <c r="E265"/>
  <c r="F265" s="1"/>
  <c r="C265"/>
  <c r="E263"/>
  <c r="F263" s="1"/>
  <c r="C263"/>
  <c r="A263"/>
  <c r="E262"/>
  <c r="F262" s="1"/>
  <c r="C262"/>
  <c r="E257"/>
  <c r="F257" s="1"/>
  <c r="C257"/>
  <c r="E256"/>
  <c r="F256" s="1"/>
  <c r="H256" s="1"/>
  <c r="C256"/>
  <c r="H210"/>
  <c r="H209" s="1"/>
  <c r="H190"/>
  <c r="D24" i="7" l="1"/>
  <c r="D27"/>
  <c r="G24"/>
  <c r="D15"/>
  <c r="D19"/>
  <c r="D16"/>
  <c r="D20"/>
  <c r="D18"/>
  <c r="D14"/>
  <c r="D17"/>
  <c r="D21"/>
  <c r="G15"/>
  <c r="G17"/>
  <c r="G19"/>
  <c r="G21"/>
  <c r="G16"/>
  <c r="G14"/>
  <c r="G18"/>
  <c r="G20"/>
  <c r="F19" i="11"/>
  <c r="I14" i="14"/>
  <c r="J14"/>
  <c r="J16" s="1"/>
  <c r="S16"/>
  <c r="U15"/>
  <c r="F261" i="4"/>
  <c r="C53" i="3" s="1"/>
  <c r="F326" i="4"/>
  <c r="C302" i="3"/>
  <c r="C267"/>
  <c r="E267"/>
  <c r="C266"/>
  <c r="C339"/>
  <c r="C162"/>
  <c r="C206"/>
  <c r="C301"/>
  <c r="F304"/>
  <c r="C304"/>
  <c r="F306"/>
  <c r="C306"/>
  <c r="F269"/>
  <c r="C269"/>
  <c r="C271"/>
  <c r="F305"/>
  <c r="C305"/>
  <c r="F307"/>
  <c r="C307"/>
  <c r="F270"/>
  <c r="C270"/>
  <c r="C272"/>
  <c r="C341"/>
  <c r="E337"/>
  <c r="C342"/>
  <c r="C350"/>
  <c r="E336"/>
  <c r="C340"/>
  <c r="C348"/>
  <c r="C349"/>
  <c r="C336"/>
  <c r="C337"/>
  <c r="E340"/>
  <c r="C313"/>
  <c r="C314"/>
  <c r="C315"/>
  <c r="C278"/>
  <c r="C279"/>
  <c r="C280"/>
  <c r="C231"/>
  <c r="E233"/>
  <c r="C242"/>
  <c r="E236"/>
  <c r="C243"/>
  <c r="E234"/>
  <c r="C230"/>
  <c r="E235"/>
  <c r="C244"/>
  <c r="C233"/>
  <c r="C234"/>
  <c r="C235"/>
  <c r="C236"/>
  <c r="C159"/>
  <c r="C161"/>
  <c r="C208"/>
  <c r="C207"/>
  <c r="C194"/>
  <c r="C197"/>
  <c r="C195"/>
  <c r="E207"/>
  <c r="C198"/>
  <c r="E208"/>
  <c r="C200"/>
  <c r="C199"/>
  <c r="C163"/>
  <c r="C164"/>
  <c r="C170"/>
  <c r="E158"/>
  <c r="E161"/>
  <c r="C171"/>
  <c r="C158"/>
  <c r="E162"/>
  <c r="C172"/>
  <c r="C122"/>
  <c r="F315" i="4"/>
  <c r="C87" i="3" s="1"/>
  <c r="F344" i="4"/>
  <c r="C91" i="3" s="1"/>
  <c r="H354" i="4"/>
  <c r="I354" s="1"/>
  <c r="C126" i="3"/>
  <c r="C128"/>
  <c r="C125"/>
  <c r="C127"/>
  <c r="F352" i="4"/>
  <c r="F338"/>
  <c r="C89" i="3" s="1"/>
  <c r="F312" i="4"/>
  <c r="C86" i="3" s="1"/>
  <c r="F341" i="4"/>
  <c r="C90" i="3" s="1"/>
  <c r="F347" i="4"/>
  <c r="C92" i="3" s="1"/>
  <c r="C123"/>
  <c r="C134"/>
  <c r="C135"/>
  <c r="C136"/>
  <c r="I349" i="4"/>
  <c r="H347"/>
  <c r="E92" i="3" s="1"/>
  <c r="H362" i="4"/>
  <c r="I362" s="1"/>
  <c r="H312"/>
  <c r="E86" i="3" s="1"/>
  <c r="I313" i="4"/>
  <c r="H317"/>
  <c r="I317" s="1"/>
  <c r="H358"/>
  <c r="F357"/>
  <c r="C98" i="3" s="1"/>
  <c r="H365" i="4"/>
  <c r="I365" s="1"/>
  <c r="I342"/>
  <c r="H341"/>
  <c r="E90" i="3" s="1"/>
  <c r="I339" i="4"/>
  <c r="I353"/>
  <c r="H316"/>
  <c r="H340"/>
  <c r="I340" s="1"/>
  <c r="H345"/>
  <c r="H359"/>
  <c r="I359" s="1"/>
  <c r="H364"/>
  <c r="F363"/>
  <c r="C100" i="3" s="1"/>
  <c r="H361" i="4"/>
  <c r="F360"/>
  <c r="C99" i="3" s="1"/>
  <c r="H257" i="4"/>
  <c r="I257" s="1"/>
  <c r="H282"/>
  <c r="I282" s="1"/>
  <c r="H263"/>
  <c r="I263" s="1"/>
  <c r="H271"/>
  <c r="F270"/>
  <c r="C56" i="3" s="1"/>
  <c r="H281" i="4"/>
  <c r="F280"/>
  <c r="C62" i="3" s="1"/>
  <c r="H285" i="4"/>
  <c r="I285" s="1"/>
  <c r="H272"/>
  <c r="I272" s="1"/>
  <c r="H262"/>
  <c r="H266"/>
  <c r="I266" s="1"/>
  <c r="H284"/>
  <c r="F283"/>
  <c r="C63" i="3" s="1"/>
  <c r="H288" i="4"/>
  <c r="I288" s="1"/>
  <c r="H268"/>
  <c r="F267"/>
  <c r="C55" i="3" s="1"/>
  <c r="I210" i="4"/>
  <c r="I209" s="1"/>
  <c r="I256"/>
  <c r="F255"/>
  <c r="C51" i="3" s="1"/>
  <c r="H265" i="4"/>
  <c r="F264"/>
  <c r="C54" i="3" s="1"/>
  <c r="H269" i="4"/>
  <c r="I269" s="1"/>
  <c r="I276"/>
  <c r="H275"/>
  <c r="H287"/>
  <c r="F286"/>
  <c r="C64" i="3" s="1"/>
  <c r="F275" i="4"/>
  <c r="F27" i="7" l="1"/>
  <c r="G27" s="1"/>
  <c r="G22"/>
  <c r="D22"/>
  <c r="H261" i="4"/>
  <c r="I16" i="14"/>
  <c r="U14"/>
  <c r="U16" s="1"/>
  <c r="H326" i="4"/>
  <c r="I326" s="1"/>
  <c r="F323"/>
  <c r="F324"/>
  <c r="C173" i="3"/>
  <c r="C351"/>
  <c r="C316"/>
  <c r="C137"/>
  <c r="C209"/>
  <c r="C65"/>
  <c r="C101"/>
  <c r="C281"/>
  <c r="C245"/>
  <c r="E304"/>
  <c r="F267"/>
  <c r="C345"/>
  <c r="C346" s="1"/>
  <c r="C310"/>
  <c r="C311" s="1"/>
  <c r="C275"/>
  <c r="C276" s="1"/>
  <c r="C239"/>
  <c r="C240" s="1"/>
  <c r="C203"/>
  <c r="C204" s="1"/>
  <c r="F203"/>
  <c r="F204" s="1"/>
  <c r="E203"/>
  <c r="E204" s="1"/>
  <c r="C167"/>
  <c r="C168" s="1"/>
  <c r="E167"/>
  <c r="E168" s="1"/>
  <c r="C131"/>
  <c r="C132" s="1"/>
  <c r="F355" i="4"/>
  <c r="C95" i="3"/>
  <c r="C96" s="1"/>
  <c r="F278" i="4"/>
  <c r="C59" i="3"/>
  <c r="C60" s="1"/>
  <c r="H278" i="4"/>
  <c r="E59" i="3"/>
  <c r="E60" s="1"/>
  <c r="E339"/>
  <c r="E271"/>
  <c r="E307"/>
  <c r="E306"/>
  <c r="E269"/>
  <c r="E301"/>
  <c r="E270"/>
  <c r="E305"/>
  <c r="E266"/>
  <c r="E341"/>
  <c r="E159"/>
  <c r="F272"/>
  <c r="E272"/>
  <c r="F271"/>
  <c r="E302"/>
  <c r="F340"/>
  <c r="E349"/>
  <c r="E350"/>
  <c r="E348"/>
  <c r="F341"/>
  <c r="E342"/>
  <c r="F339"/>
  <c r="F337"/>
  <c r="F336"/>
  <c r="E314"/>
  <c r="E315"/>
  <c r="F302"/>
  <c r="E313"/>
  <c r="F301"/>
  <c r="E280"/>
  <c r="E279"/>
  <c r="E278"/>
  <c r="F266"/>
  <c r="E244"/>
  <c r="E242"/>
  <c r="E243"/>
  <c r="F236"/>
  <c r="F234"/>
  <c r="F233"/>
  <c r="F235"/>
  <c r="E230"/>
  <c r="E231"/>
  <c r="E195"/>
  <c r="E200"/>
  <c r="E198"/>
  <c r="F207"/>
  <c r="E197"/>
  <c r="E199"/>
  <c r="E194"/>
  <c r="F208"/>
  <c r="E172"/>
  <c r="F158"/>
  <c r="E164"/>
  <c r="F159"/>
  <c r="F161"/>
  <c r="E170"/>
  <c r="E163"/>
  <c r="E171"/>
  <c r="F162"/>
  <c r="F127"/>
  <c r="E126"/>
  <c r="F128"/>
  <c r="H352" i="4"/>
  <c r="E127" i="3"/>
  <c r="E125"/>
  <c r="F125"/>
  <c r="E128"/>
  <c r="F126"/>
  <c r="E136"/>
  <c r="E123"/>
  <c r="E134"/>
  <c r="F123"/>
  <c r="E122"/>
  <c r="E135"/>
  <c r="I352" i="4"/>
  <c r="I345"/>
  <c r="H344"/>
  <c r="E91" i="3" s="1"/>
  <c r="H338" i="4"/>
  <c r="E89" i="3" s="1"/>
  <c r="I341" i="4"/>
  <c r="F90" i="3" s="1"/>
  <c r="H363" i="4"/>
  <c r="E100" i="3" s="1"/>
  <c r="I364" i="4"/>
  <c r="I316"/>
  <c r="H315"/>
  <c r="E87" i="3" s="1"/>
  <c r="H360" i="4"/>
  <c r="E99" i="3" s="1"/>
  <c r="I361" i="4"/>
  <c r="F366"/>
  <c r="I338"/>
  <c r="F89" i="3" s="1"/>
  <c r="I347" i="4"/>
  <c r="F92" i="3" s="1"/>
  <c r="I358" i="4"/>
  <c r="H357"/>
  <c r="E98" i="3" s="1"/>
  <c r="I312" i="4"/>
  <c r="F86" i="3" s="1"/>
  <c r="H255" i="4"/>
  <c r="E51" i="3" s="1"/>
  <c r="I268" i="4"/>
  <c r="H267"/>
  <c r="E55" i="3" s="1"/>
  <c r="I262" i="4"/>
  <c r="I261" s="1"/>
  <c r="E53" i="3"/>
  <c r="F289" i="4"/>
  <c r="I275"/>
  <c r="I255"/>
  <c r="F51" i="3" s="1"/>
  <c r="I284" i="4"/>
  <c r="H283"/>
  <c r="E63" i="3" s="1"/>
  <c r="I271" i="4"/>
  <c r="H270"/>
  <c r="E56" i="3" s="1"/>
  <c r="I287" i="4"/>
  <c r="H286"/>
  <c r="E64" i="3" s="1"/>
  <c r="I265" i="4"/>
  <c r="H264"/>
  <c r="E54" i="3" s="1"/>
  <c r="I281" i="4"/>
  <c r="H280"/>
  <c r="E62" i="3" s="1"/>
  <c r="D48" i="2"/>
  <c r="D46"/>
  <c r="D45"/>
  <c r="F325" i="4" l="1"/>
  <c r="H325" s="1"/>
  <c r="I325" s="1"/>
  <c r="E65" i="3"/>
  <c r="H323" i="4"/>
  <c r="I323" s="1"/>
  <c r="H324"/>
  <c r="I324" s="1"/>
  <c r="E281" i="3"/>
  <c r="E351"/>
  <c r="E345"/>
  <c r="E346" s="1"/>
  <c r="E310"/>
  <c r="E311" s="1"/>
  <c r="E316"/>
  <c r="E275"/>
  <c r="E276" s="1"/>
  <c r="E245"/>
  <c r="E239"/>
  <c r="E240" s="1"/>
  <c r="E206"/>
  <c r="E209" s="1"/>
  <c r="E173"/>
  <c r="F167"/>
  <c r="F168" s="1"/>
  <c r="E131"/>
  <c r="E132" s="1"/>
  <c r="E137"/>
  <c r="H355" i="4"/>
  <c r="E95" i="3"/>
  <c r="E96" s="1"/>
  <c r="E101"/>
  <c r="I355" i="4"/>
  <c r="F95" i="3"/>
  <c r="F96" s="1"/>
  <c r="I278" i="4"/>
  <c r="F59" i="3"/>
  <c r="F60" s="1"/>
  <c r="F342"/>
  <c r="F350"/>
  <c r="F348"/>
  <c r="F349"/>
  <c r="F315"/>
  <c r="F313"/>
  <c r="F314"/>
  <c r="F278"/>
  <c r="F280"/>
  <c r="F279"/>
  <c r="F244"/>
  <c r="F243"/>
  <c r="F242"/>
  <c r="F231"/>
  <c r="F230"/>
  <c r="F197"/>
  <c r="F198"/>
  <c r="F195"/>
  <c r="F200"/>
  <c r="F199"/>
  <c r="F194"/>
  <c r="F172"/>
  <c r="F170"/>
  <c r="F164"/>
  <c r="F171"/>
  <c r="F163"/>
  <c r="H366" i="4"/>
  <c r="F136" i="3"/>
  <c r="F135"/>
  <c r="F122"/>
  <c r="F134"/>
  <c r="I315" i="4"/>
  <c r="F87" i="3" s="1"/>
  <c r="I360" i="4"/>
  <c r="F99" i="3" s="1"/>
  <c r="I344" i="4"/>
  <c r="F91" i="3" s="1"/>
  <c r="I357" i="4"/>
  <c r="F98" i="3" s="1"/>
  <c r="I363" i="4"/>
  <c r="F100" i="3" s="1"/>
  <c r="I264" i="4"/>
  <c r="F54" i="3" s="1"/>
  <c r="I280" i="4"/>
  <c r="F62" i="3" s="1"/>
  <c r="H289" i="4"/>
  <c r="I270"/>
  <c r="F56" i="3" s="1"/>
  <c r="F53"/>
  <c r="I286" i="4"/>
  <c r="F64" i="3" s="1"/>
  <c r="I283" i="4"/>
  <c r="F63" i="3" s="1"/>
  <c r="I267" i="4"/>
  <c r="F55" i="3" s="1"/>
  <c r="H24" i="6"/>
  <c r="F24" s="1"/>
  <c r="H23"/>
  <c r="F23" s="1"/>
  <c r="H21"/>
  <c r="F21" s="1"/>
  <c r="H20"/>
  <c r="F20" s="1"/>
  <c r="E333" i="4" s="1"/>
  <c r="F333" s="1"/>
  <c r="H333" s="1"/>
  <c r="I333" s="1"/>
  <c r="H18" i="6"/>
  <c r="F18" s="1"/>
  <c r="J17"/>
  <c r="H17" s="1"/>
  <c r="F17" s="1"/>
  <c r="H15"/>
  <c r="F15" s="1"/>
  <c r="J16"/>
  <c r="H16" s="1"/>
  <c r="F16" s="1"/>
  <c r="L14"/>
  <c r="K14"/>
  <c r="J14"/>
  <c r="E1963" i="4" l="1"/>
  <c r="F1963" s="1"/>
  <c r="E1819"/>
  <c r="F1819" s="1"/>
  <c r="E1675"/>
  <c r="F1675" s="1"/>
  <c r="E1027"/>
  <c r="F1027" s="1"/>
  <c r="E1531"/>
  <c r="F1531" s="1"/>
  <c r="E1387"/>
  <c r="F1387" s="1"/>
  <c r="E1243"/>
  <c r="F1243" s="1"/>
  <c r="E1099"/>
  <c r="F1099" s="1"/>
  <c r="E955"/>
  <c r="F955" s="1"/>
  <c r="E1459"/>
  <c r="F1459" s="1"/>
  <c r="E1315"/>
  <c r="F1315" s="1"/>
  <c r="E1891"/>
  <c r="F1891" s="1"/>
  <c r="E1747"/>
  <c r="F1747" s="1"/>
  <c r="E1603"/>
  <c r="F1603" s="1"/>
  <c r="E1171"/>
  <c r="F1171" s="1"/>
  <c r="H1171" s="1"/>
  <c r="E310"/>
  <c r="F310" s="1"/>
  <c r="E1892"/>
  <c r="F1892" s="1"/>
  <c r="H1892" s="1"/>
  <c r="I1892" s="1"/>
  <c r="E1748"/>
  <c r="F1748" s="1"/>
  <c r="H1748" s="1"/>
  <c r="I1748" s="1"/>
  <c r="E1604"/>
  <c r="F1604" s="1"/>
  <c r="H1604" s="1"/>
  <c r="I1604" s="1"/>
  <c r="E1532"/>
  <c r="F1532" s="1"/>
  <c r="H1532" s="1"/>
  <c r="I1532" s="1"/>
  <c r="E1244"/>
  <c r="F1244" s="1"/>
  <c r="H1244" s="1"/>
  <c r="I1244" s="1"/>
  <c r="E1100"/>
  <c r="F1100" s="1"/>
  <c r="H1100" s="1"/>
  <c r="I1100" s="1"/>
  <c r="E956"/>
  <c r="F956" s="1"/>
  <c r="H956" s="1"/>
  <c r="I956" s="1"/>
  <c r="E1460"/>
  <c r="F1460" s="1"/>
  <c r="H1460" s="1"/>
  <c r="I1460" s="1"/>
  <c r="E1316"/>
  <c r="F1316" s="1"/>
  <c r="H1316" s="1"/>
  <c r="I1316" s="1"/>
  <c r="E1172"/>
  <c r="F1172" s="1"/>
  <c r="E1028"/>
  <c r="F1028" s="1"/>
  <c r="H1028" s="1"/>
  <c r="I1028" s="1"/>
  <c r="E1388"/>
  <c r="F1388" s="1"/>
  <c r="H1388" s="1"/>
  <c r="I1388" s="1"/>
  <c r="E1964"/>
  <c r="F1964" s="1"/>
  <c r="H1964" s="1"/>
  <c r="I1964" s="1"/>
  <c r="E1820"/>
  <c r="F1820" s="1"/>
  <c r="H1820" s="1"/>
  <c r="I1820" s="1"/>
  <c r="E1676"/>
  <c r="F1676" s="1"/>
  <c r="H1676" s="1"/>
  <c r="I1676" s="1"/>
  <c r="E311"/>
  <c r="F311" s="1"/>
  <c r="H311" s="1"/>
  <c r="I311" s="1"/>
  <c r="E1981"/>
  <c r="F1981" s="1"/>
  <c r="H1981" s="1"/>
  <c r="I1981" s="1"/>
  <c r="E1333"/>
  <c r="F1333" s="1"/>
  <c r="H1333" s="1"/>
  <c r="I1333" s="1"/>
  <c r="E1909"/>
  <c r="F1909" s="1"/>
  <c r="H1909" s="1"/>
  <c r="I1909" s="1"/>
  <c r="E1693"/>
  <c r="F1693" s="1"/>
  <c r="H1693" s="1"/>
  <c r="I1693" s="1"/>
  <c r="E1549"/>
  <c r="F1549" s="1"/>
  <c r="H1549" s="1"/>
  <c r="I1549" s="1"/>
  <c r="E1261"/>
  <c r="F1261" s="1"/>
  <c r="H1261" s="1"/>
  <c r="I1261" s="1"/>
  <c r="E1405"/>
  <c r="F1405" s="1"/>
  <c r="H1405" s="1"/>
  <c r="I1405" s="1"/>
  <c r="E1045"/>
  <c r="F1045" s="1"/>
  <c r="H1045" s="1"/>
  <c r="I1045" s="1"/>
  <c r="E1837"/>
  <c r="F1837" s="1"/>
  <c r="H1837" s="1"/>
  <c r="I1837" s="1"/>
  <c r="E1621"/>
  <c r="F1621" s="1"/>
  <c r="H1621" s="1"/>
  <c r="I1621" s="1"/>
  <c r="E1477"/>
  <c r="F1477" s="1"/>
  <c r="H1477" s="1"/>
  <c r="I1477" s="1"/>
  <c r="E1189"/>
  <c r="F1189" s="1"/>
  <c r="H1189" s="1"/>
  <c r="I1189" s="1"/>
  <c r="E973"/>
  <c r="F973" s="1"/>
  <c r="H973" s="1"/>
  <c r="I973" s="1"/>
  <c r="E1765"/>
  <c r="F1765" s="1"/>
  <c r="H1765" s="1"/>
  <c r="I1765" s="1"/>
  <c r="E1117"/>
  <c r="F1117" s="1"/>
  <c r="H1117" s="1"/>
  <c r="I1117" s="1"/>
  <c r="E901"/>
  <c r="F901" s="1"/>
  <c r="H901" s="1"/>
  <c r="I901" s="1"/>
  <c r="E329"/>
  <c r="F329" s="1"/>
  <c r="H329" s="1"/>
  <c r="I329" s="1"/>
  <c r="E1836"/>
  <c r="F1836" s="1"/>
  <c r="H1836" s="1"/>
  <c r="I1836" s="1"/>
  <c r="E1620"/>
  <c r="F1620" s="1"/>
  <c r="H1620" s="1"/>
  <c r="I1620" s="1"/>
  <c r="E1476"/>
  <c r="F1476" s="1"/>
  <c r="H1476" s="1"/>
  <c r="I1476" s="1"/>
  <c r="E1188"/>
  <c r="F1188" s="1"/>
  <c r="H1188" s="1"/>
  <c r="I1188" s="1"/>
  <c r="E1764"/>
  <c r="F1764" s="1"/>
  <c r="H1764" s="1"/>
  <c r="I1764" s="1"/>
  <c r="E1116"/>
  <c r="F1116" s="1"/>
  <c r="H1116" s="1"/>
  <c r="I1116" s="1"/>
  <c r="E900"/>
  <c r="F900" s="1"/>
  <c r="H900" s="1"/>
  <c r="I900" s="1"/>
  <c r="E1692"/>
  <c r="F1692" s="1"/>
  <c r="H1692" s="1"/>
  <c r="I1692" s="1"/>
  <c r="E1548"/>
  <c r="F1548" s="1"/>
  <c r="H1548" s="1"/>
  <c r="I1548" s="1"/>
  <c r="E1980"/>
  <c r="F1980" s="1"/>
  <c r="H1980" s="1"/>
  <c r="I1980" s="1"/>
  <c r="E1332"/>
  <c r="F1332" s="1"/>
  <c r="H1332" s="1"/>
  <c r="I1332" s="1"/>
  <c r="E1044"/>
  <c r="F1044" s="1"/>
  <c r="H1044" s="1"/>
  <c r="I1044" s="1"/>
  <c r="E1908"/>
  <c r="F1908" s="1"/>
  <c r="H1908" s="1"/>
  <c r="I1908" s="1"/>
  <c r="E1260"/>
  <c r="F1260" s="1"/>
  <c r="H1260" s="1"/>
  <c r="I1260" s="1"/>
  <c r="E972"/>
  <c r="F972" s="1"/>
  <c r="H972" s="1"/>
  <c r="I972" s="1"/>
  <c r="E328"/>
  <c r="F328" s="1"/>
  <c r="H328" s="1"/>
  <c r="I328" s="1"/>
  <c r="E1985"/>
  <c r="F1985" s="1"/>
  <c r="H1985" s="1"/>
  <c r="I1985" s="1"/>
  <c r="E1337"/>
  <c r="F1337" s="1"/>
  <c r="H1337" s="1"/>
  <c r="I1337" s="1"/>
  <c r="E1913"/>
  <c r="F1913" s="1"/>
  <c r="H1913" s="1"/>
  <c r="I1913" s="1"/>
  <c r="E1697"/>
  <c r="F1697" s="1"/>
  <c r="H1697" s="1"/>
  <c r="I1697" s="1"/>
  <c r="E1265"/>
  <c r="F1265" s="1"/>
  <c r="H1265" s="1"/>
  <c r="I1265" s="1"/>
  <c r="E977"/>
  <c r="F977" s="1"/>
  <c r="H977" s="1"/>
  <c r="I977" s="1"/>
  <c r="E1121"/>
  <c r="F1121" s="1"/>
  <c r="H1121" s="1"/>
  <c r="I1121" s="1"/>
  <c r="E905"/>
  <c r="F905" s="1"/>
  <c r="H905" s="1"/>
  <c r="I905" s="1"/>
  <c r="E1841"/>
  <c r="F1841" s="1"/>
  <c r="H1841" s="1"/>
  <c r="I1841" s="1"/>
  <c r="E1625"/>
  <c r="F1625" s="1"/>
  <c r="H1625" s="1"/>
  <c r="I1625" s="1"/>
  <c r="E1481"/>
  <c r="F1481" s="1"/>
  <c r="H1481" s="1"/>
  <c r="I1481" s="1"/>
  <c r="E1193"/>
  <c r="F1193" s="1"/>
  <c r="H1193" s="1"/>
  <c r="I1193" s="1"/>
  <c r="E1769"/>
  <c r="F1769" s="1"/>
  <c r="H1769" s="1"/>
  <c r="I1769" s="1"/>
  <c r="E1409"/>
  <c r="F1409" s="1"/>
  <c r="H1409" s="1"/>
  <c r="I1409" s="1"/>
  <c r="E1049"/>
  <c r="F1049" s="1"/>
  <c r="H1049" s="1"/>
  <c r="I1049" s="1"/>
  <c r="E1553"/>
  <c r="F1553" s="1"/>
  <c r="H1553" s="1"/>
  <c r="I1553" s="1"/>
  <c r="E1840"/>
  <c r="F1840" s="1"/>
  <c r="H1840" s="1"/>
  <c r="I1840" s="1"/>
  <c r="E1624"/>
  <c r="F1624" s="1"/>
  <c r="H1624" s="1"/>
  <c r="I1624" s="1"/>
  <c r="E1480"/>
  <c r="F1480" s="1"/>
  <c r="H1480" s="1"/>
  <c r="I1480" s="1"/>
  <c r="E1192"/>
  <c r="F1192" s="1"/>
  <c r="H1192" s="1"/>
  <c r="I1192" s="1"/>
  <c r="E1768"/>
  <c r="F1768" s="1"/>
  <c r="H1768" s="1"/>
  <c r="I1768" s="1"/>
  <c r="E1408"/>
  <c r="F1408" s="1"/>
  <c r="H1408" s="1"/>
  <c r="I1408" s="1"/>
  <c r="E1120"/>
  <c r="F1120" s="1"/>
  <c r="H1120" s="1"/>
  <c r="I1120" s="1"/>
  <c r="E904"/>
  <c r="F904" s="1"/>
  <c r="H904" s="1"/>
  <c r="I904" s="1"/>
  <c r="E1984"/>
  <c r="F1984" s="1"/>
  <c r="H1984" s="1"/>
  <c r="I1984" s="1"/>
  <c r="E1552"/>
  <c r="F1552" s="1"/>
  <c r="H1552" s="1"/>
  <c r="I1552" s="1"/>
  <c r="E1336"/>
  <c r="F1336" s="1"/>
  <c r="H1336" s="1"/>
  <c r="I1336" s="1"/>
  <c r="E1048"/>
  <c r="F1048" s="1"/>
  <c r="H1048" s="1"/>
  <c r="I1048" s="1"/>
  <c r="E976"/>
  <c r="F976" s="1"/>
  <c r="H976" s="1"/>
  <c r="I976" s="1"/>
  <c r="E1912"/>
  <c r="F1912" s="1"/>
  <c r="H1912" s="1"/>
  <c r="I1912" s="1"/>
  <c r="E1696"/>
  <c r="F1696" s="1"/>
  <c r="H1696" s="1"/>
  <c r="I1696" s="1"/>
  <c r="E1264"/>
  <c r="F1264" s="1"/>
  <c r="H1264" s="1"/>
  <c r="I1264" s="1"/>
  <c r="F334"/>
  <c r="H334" s="1"/>
  <c r="I334" s="1"/>
  <c r="E1838"/>
  <c r="F1838" s="1"/>
  <c r="H1838" s="1"/>
  <c r="I1838" s="1"/>
  <c r="E1622"/>
  <c r="F1622" s="1"/>
  <c r="H1622" s="1"/>
  <c r="I1622" s="1"/>
  <c r="E1478"/>
  <c r="F1478" s="1"/>
  <c r="H1478" s="1"/>
  <c r="I1478" s="1"/>
  <c r="E1190"/>
  <c r="F1190" s="1"/>
  <c r="H1190" s="1"/>
  <c r="I1190" s="1"/>
  <c r="E1766"/>
  <c r="F1766" s="1"/>
  <c r="H1766" s="1"/>
  <c r="I1766" s="1"/>
  <c r="E1406"/>
  <c r="F1406" s="1"/>
  <c r="H1406" s="1"/>
  <c r="I1406" s="1"/>
  <c r="E1118"/>
  <c r="F1118" s="1"/>
  <c r="H1118" s="1"/>
  <c r="I1118" s="1"/>
  <c r="E902"/>
  <c r="F902" s="1"/>
  <c r="H902" s="1"/>
  <c r="I902" s="1"/>
  <c r="E1910"/>
  <c r="F1910" s="1"/>
  <c r="H1910" s="1"/>
  <c r="I1910" s="1"/>
  <c r="E1262"/>
  <c r="F1262" s="1"/>
  <c r="H1262" s="1"/>
  <c r="I1262" s="1"/>
  <c r="E974"/>
  <c r="F974" s="1"/>
  <c r="H974" s="1"/>
  <c r="I974" s="1"/>
  <c r="E1982"/>
  <c r="F1982" s="1"/>
  <c r="H1982" s="1"/>
  <c r="I1982" s="1"/>
  <c r="E1334"/>
  <c r="F1334" s="1"/>
  <c r="H1334" s="1"/>
  <c r="I1334" s="1"/>
  <c r="E1046"/>
  <c r="F1046" s="1"/>
  <c r="H1046" s="1"/>
  <c r="I1046" s="1"/>
  <c r="E1694"/>
  <c r="F1694" s="1"/>
  <c r="H1694" s="1"/>
  <c r="I1694" s="1"/>
  <c r="E1550"/>
  <c r="F1550" s="1"/>
  <c r="H1550" s="1"/>
  <c r="I1550" s="1"/>
  <c r="E330"/>
  <c r="F330" s="1"/>
  <c r="H330" s="1"/>
  <c r="I330" s="1"/>
  <c r="E1983"/>
  <c r="F1983" s="1"/>
  <c r="H1983" s="1"/>
  <c r="I1983" s="1"/>
  <c r="E1335"/>
  <c r="F1335" s="1"/>
  <c r="H1335" s="1"/>
  <c r="I1335" s="1"/>
  <c r="E1911"/>
  <c r="F1911" s="1"/>
  <c r="H1911" s="1"/>
  <c r="I1911" s="1"/>
  <c r="E1695"/>
  <c r="F1695" s="1"/>
  <c r="H1695" s="1"/>
  <c r="I1695" s="1"/>
  <c r="E1551"/>
  <c r="F1551" s="1"/>
  <c r="H1551" s="1"/>
  <c r="I1551" s="1"/>
  <c r="E1263"/>
  <c r="F1263" s="1"/>
  <c r="H1263" s="1"/>
  <c r="I1263" s="1"/>
  <c r="E1767"/>
  <c r="F1767" s="1"/>
  <c r="H1767" s="1"/>
  <c r="I1767" s="1"/>
  <c r="E1839"/>
  <c r="F1839" s="1"/>
  <c r="H1839" s="1"/>
  <c r="I1839" s="1"/>
  <c r="E1623"/>
  <c r="F1623" s="1"/>
  <c r="H1623" s="1"/>
  <c r="I1623" s="1"/>
  <c r="E1479"/>
  <c r="F1479" s="1"/>
  <c r="H1479" s="1"/>
  <c r="I1479" s="1"/>
  <c r="E1191"/>
  <c r="F1191" s="1"/>
  <c r="H1191" s="1"/>
  <c r="I1191" s="1"/>
  <c r="E975"/>
  <c r="F975" s="1"/>
  <c r="H975" s="1"/>
  <c r="I975" s="1"/>
  <c r="E903"/>
  <c r="F903" s="1"/>
  <c r="H903" s="1"/>
  <c r="I903" s="1"/>
  <c r="E1407"/>
  <c r="F1407" s="1"/>
  <c r="H1407" s="1"/>
  <c r="I1407" s="1"/>
  <c r="E1119"/>
  <c r="F1119" s="1"/>
  <c r="H1119" s="1"/>
  <c r="I1119" s="1"/>
  <c r="E1047"/>
  <c r="F1047" s="1"/>
  <c r="H1047" s="1"/>
  <c r="I1047" s="1"/>
  <c r="E331"/>
  <c r="F331" s="1"/>
  <c r="H331" s="1"/>
  <c r="I331" s="1"/>
  <c r="F316" i="3"/>
  <c r="F101"/>
  <c r="F351"/>
  <c r="F345"/>
  <c r="F346" s="1"/>
  <c r="F310"/>
  <c r="F311" s="1"/>
  <c r="F281"/>
  <c r="F275"/>
  <c r="F276" s="1"/>
  <c r="F239"/>
  <c r="F240" s="1"/>
  <c r="F245"/>
  <c r="F206"/>
  <c r="F209" s="1"/>
  <c r="F173"/>
  <c r="F131"/>
  <c r="F132" s="1"/>
  <c r="F137"/>
  <c r="F65"/>
  <c r="I366" i="4"/>
  <c r="I289"/>
  <c r="H14" i="6"/>
  <c r="F14" s="1"/>
  <c r="F1170" i="4" l="1"/>
  <c r="C510" i="3" s="1"/>
  <c r="H1172" i="4"/>
  <c r="I1172" s="1"/>
  <c r="C229" i="3"/>
  <c r="H310" i="4"/>
  <c r="F309"/>
  <c r="C85" i="3" s="1"/>
  <c r="H1603" i="4"/>
  <c r="F1602"/>
  <c r="C720" i="3" s="1"/>
  <c r="H1459" i="4"/>
  <c r="F1458"/>
  <c r="C650" i="3" s="1"/>
  <c r="H1387" i="4"/>
  <c r="F1386"/>
  <c r="C615" i="3" s="1"/>
  <c r="H1675" i="4"/>
  <c r="F1674"/>
  <c r="C755" i="3" s="1"/>
  <c r="C121"/>
  <c r="I1171" i="4"/>
  <c r="H1170"/>
  <c r="E510" i="3" s="1"/>
  <c r="H1243" i="4"/>
  <c r="F1242"/>
  <c r="C545" i="3" s="1"/>
  <c r="C335"/>
  <c r="C193"/>
  <c r="H1747" i="4"/>
  <c r="F1746"/>
  <c r="C790" i="3" s="1"/>
  <c r="H955" i="4"/>
  <c r="F954"/>
  <c r="C405" i="3" s="1"/>
  <c r="H1531" i="4"/>
  <c r="F1530"/>
  <c r="C685" i="3" s="1"/>
  <c r="H1819" i="4"/>
  <c r="F1818"/>
  <c r="C825" i="3" s="1"/>
  <c r="C265"/>
  <c r="H1315" i="4"/>
  <c r="F1314"/>
  <c r="C580" i="3" s="1"/>
  <c r="H1027" i="4"/>
  <c r="F1026"/>
  <c r="C440" i="3" s="1"/>
  <c r="C49"/>
  <c r="C157"/>
  <c r="C300"/>
  <c r="H1891" i="4"/>
  <c r="F1890"/>
  <c r="C860" i="3" s="1"/>
  <c r="H1099" i="4"/>
  <c r="F1098"/>
  <c r="C475" i="3" s="1"/>
  <c r="C370"/>
  <c r="H1963" i="4"/>
  <c r="F1962"/>
  <c r="C895" i="3" s="1"/>
  <c r="E1979" i="4"/>
  <c r="F1979" s="1"/>
  <c r="H1979" s="1"/>
  <c r="I1979" s="1"/>
  <c r="E1331"/>
  <c r="F1331" s="1"/>
  <c r="H1331" s="1"/>
  <c r="I1331" s="1"/>
  <c r="E1907"/>
  <c r="F1907" s="1"/>
  <c r="H1907" s="1"/>
  <c r="I1907" s="1"/>
  <c r="E1691"/>
  <c r="F1691" s="1"/>
  <c r="H1691" s="1"/>
  <c r="I1691" s="1"/>
  <c r="E1547"/>
  <c r="F1547" s="1"/>
  <c r="H1547" s="1"/>
  <c r="I1547" s="1"/>
  <c r="E1259"/>
  <c r="F1259" s="1"/>
  <c r="H1259" s="1"/>
  <c r="I1259" s="1"/>
  <c r="E1763"/>
  <c r="F1763" s="1"/>
  <c r="H1763" s="1"/>
  <c r="I1763" s="1"/>
  <c r="E1115"/>
  <c r="F1115" s="1"/>
  <c r="H1115" s="1"/>
  <c r="I1115" s="1"/>
  <c r="E899"/>
  <c r="F899" s="1"/>
  <c r="H899" s="1"/>
  <c r="I899" s="1"/>
  <c r="E1043"/>
  <c r="F1043" s="1"/>
  <c r="H1043" s="1"/>
  <c r="I1043" s="1"/>
  <c r="E1835"/>
  <c r="F1835" s="1"/>
  <c r="H1835" s="1"/>
  <c r="I1835" s="1"/>
  <c r="E1619"/>
  <c r="F1619" s="1"/>
  <c r="H1619" s="1"/>
  <c r="I1619" s="1"/>
  <c r="E1475"/>
  <c r="F1475" s="1"/>
  <c r="H1475" s="1"/>
  <c r="I1475" s="1"/>
  <c r="E1187"/>
  <c r="F1187" s="1"/>
  <c r="H1187" s="1"/>
  <c r="I1187" s="1"/>
  <c r="E971"/>
  <c r="F971" s="1"/>
  <c r="H971" s="1"/>
  <c r="I971" s="1"/>
  <c r="E327"/>
  <c r="F327" s="1"/>
  <c r="H327" s="1"/>
  <c r="I327" s="1"/>
  <c r="K6" i="6"/>
  <c r="H8"/>
  <c r="F8" s="1"/>
  <c r="H7"/>
  <c r="F7" s="1"/>
  <c r="I1170" i="4" l="1"/>
  <c r="F510" i="3" s="1"/>
  <c r="I1315" i="4"/>
  <c r="I1314" s="1"/>
  <c r="H1314"/>
  <c r="I955"/>
  <c r="I954" s="1"/>
  <c r="F405" i="3" s="1"/>
  <c r="H954" i="4"/>
  <c r="E405" i="3" s="1"/>
  <c r="E193"/>
  <c r="F193"/>
  <c r="I1243" i="4"/>
  <c r="I1242" s="1"/>
  <c r="F545" i="3" s="1"/>
  <c r="H1242" i="4"/>
  <c r="E545" i="3" s="1"/>
  <c r="F121"/>
  <c r="E121"/>
  <c r="I1891" i="4"/>
  <c r="I1890" s="1"/>
  <c r="F860" i="3" s="1"/>
  <c r="H1890" i="4"/>
  <c r="E860" i="3" s="1"/>
  <c r="I1387" i="4"/>
  <c r="I1386" s="1"/>
  <c r="H1386"/>
  <c r="I1603"/>
  <c r="I1602" s="1"/>
  <c r="F720" i="3" s="1"/>
  <c r="H1602" i="4"/>
  <c r="E720" i="3" s="1"/>
  <c r="F229"/>
  <c r="E229"/>
  <c r="I1027" i="4"/>
  <c r="I1026" s="1"/>
  <c r="F440" i="3" s="1"/>
  <c r="H1026" i="4"/>
  <c r="E440" i="3" s="1"/>
  <c r="I1531" i="4"/>
  <c r="I1530" s="1"/>
  <c r="F685" i="3" s="1"/>
  <c r="H1530" i="4"/>
  <c r="E685" i="3" s="1"/>
  <c r="I1747" i="4"/>
  <c r="I1746" s="1"/>
  <c r="F790" i="3" s="1"/>
  <c r="H1746" i="4"/>
  <c r="E790" i="3" s="1"/>
  <c r="F335"/>
  <c r="E335"/>
  <c r="I1819" i="4"/>
  <c r="I1818" s="1"/>
  <c r="H1818"/>
  <c r="F370" i="3"/>
  <c r="E370"/>
  <c r="F157"/>
  <c r="E157"/>
  <c r="F265"/>
  <c r="E265"/>
  <c r="I1963" i="4"/>
  <c r="I1962" s="1"/>
  <c r="H1962"/>
  <c r="I1099"/>
  <c r="I1098" s="1"/>
  <c r="F475" i="3" s="1"/>
  <c r="H1098" i="4"/>
  <c r="E475" i="3" s="1"/>
  <c r="F300"/>
  <c r="E300"/>
  <c r="F49"/>
  <c r="E49"/>
  <c r="I1675" i="4"/>
  <c r="I1674" s="1"/>
  <c r="F755" i="3" s="1"/>
  <c r="H1674" i="4"/>
  <c r="E755" i="3" s="1"/>
  <c r="I1459" i="4"/>
  <c r="I1458" s="1"/>
  <c r="F650" i="3" s="1"/>
  <c r="H1458" i="4"/>
  <c r="E650" i="3" s="1"/>
  <c r="I310" i="4"/>
  <c r="I309" s="1"/>
  <c r="F85" i="3" s="1"/>
  <c r="H309" i="4"/>
  <c r="E85" i="3" s="1"/>
  <c r="E1469" i="4"/>
  <c r="F1469" s="1"/>
  <c r="E1397"/>
  <c r="F1397" s="1"/>
  <c r="E1901"/>
  <c r="F1901" s="1"/>
  <c r="E1829"/>
  <c r="F1829" s="1"/>
  <c r="E1541"/>
  <c r="F1541" s="1"/>
  <c r="E1685"/>
  <c r="F1685" s="1"/>
  <c r="E1253"/>
  <c r="F1253" s="1"/>
  <c r="E1109"/>
  <c r="F1109" s="1"/>
  <c r="E1037"/>
  <c r="F1037" s="1"/>
  <c r="E1181"/>
  <c r="F1181" s="1"/>
  <c r="E965"/>
  <c r="F965" s="1"/>
  <c r="E1613"/>
  <c r="F1613" s="1"/>
  <c r="E1973"/>
  <c r="F1973" s="1"/>
  <c r="E1757"/>
  <c r="F1757" s="1"/>
  <c r="E1325"/>
  <c r="F1325" s="1"/>
  <c r="E1686"/>
  <c r="F1686" s="1"/>
  <c r="E1974"/>
  <c r="F1974" s="1"/>
  <c r="E1758"/>
  <c r="F1758" s="1"/>
  <c r="E1614"/>
  <c r="F1614" s="1"/>
  <c r="E1326"/>
  <c r="F1326" s="1"/>
  <c r="E1470"/>
  <c r="F1470" s="1"/>
  <c r="E1398"/>
  <c r="F1398" s="1"/>
  <c r="E1902"/>
  <c r="F1902" s="1"/>
  <c r="E1542"/>
  <c r="F1542" s="1"/>
  <c r="E966"/>
  <c r="F966" s="1"/>
  <c r="E1830"/>
  <c r="F1830" s="1"/>
  <c r="E1182"/>
  <c r="F1182" s="1"/>
  <c r="E894"/>
  <c r="F894" s="1"/>
  <c r="E1110"/>
  <c r="F1110" s="1"/>
  <c r="E1038"/>
  <c r="F1038" s="1"/>
  <c r="E1254"/>
  <c r="F1254" s="1"/>
  <c r="E321"/>
  <c r="F321" s="1"/>
  <c r="E322"/>
  <c r="F322" s="1"/>
  <c r="H6" i="6"/>
  <c r="F6" s="1"/>
  <c r="E615" i="3" l="1"/>
  <c r="E895"/>
  <c r="E580"/>
  <c r="E825"/>
  <c r="F895"/>
  <c r="F615"/>
  <c r="F825"/>
  <c r="F580"/>
  <c r="H1254" i="4"/>
  <c r="I1254" s="1"/>
  <c r="H1182"/>
  <c r="I1182" s="1"/>
  <c r="H1902"/>
  <c r="I1902" s="1"/>
  <c r="H1614"/>
  <c r="I1614" s="1"/>
  <c r="H1325"/>
  <c r="I1325" s="1"/>
  <c r="H1109"/>
  <c r="I1109" s="1"/>
  <c r="H1829"/>
  <c r="I1829" s="1"/>
  <c r="E1828"/>
  <c r="F1828" s="1"/>
  <c r="E1540"/>
  <c r="F1540" s="1"/>
  <c r="E1972"/>
  <c r="F1972" s="1"/>
  <c r="E1756"/>
  <c r="F1756" s="1"/>
  <c r="E1324"/>
  <c r="F1324" s="1"/>
  <c r="E1684"/>
  <c r="F1684" s="1"/>
  <c r="E1612"/>
  <c r="F1612" s="1"/>
  <c r="E1468"/>
  <c r="F1468" s="1"/>
  <c r="E1396"/>
  <c r="F1396" s="1"/>
  <c r="E1036"/>
  <c r="F1036" s="1"/>
  <c r="E1180"/>
  <c r="F1180" s="1"/>
  <c r="E1900"/>
  <c r="F1900" s="1"/>
  <c r="E1252"/>
  <c r="F1252" s="1"/>
  <c r="E1108"/>
  <c r="F1108" s="1"/>
  <c r="E964"/>
  <c r="F964" s="1"/>
  <c r="H1038"/>
  <c r="I1038" s="1"/>
  <c r="H1830"/>
  <c r="I1830" s="1"/>
  <c r="H1398"/>
  <c r="I1398" s="1"/>
  <c r="H1758"/>
  <c r="I1758" s="1"/>
  <c r="H1757"/>
  <c r="I1757" s="1"/>
  <c r="H965"/>
  <c r="I965" s="1"/>
  <c r="H1253"/>
  <c r="I1253" s="1"/>
  <c r="H1901"/>
  <c r="I1901" s="1"/>
  <c r="H1110"/>
  <c r="I1110" s="1"/>
  <c r="H966"/>
  <c r="I966" s="1"/>
  <c r="H1470"/>
  <c r="I1470" s="1"/>
  <c r="H1974"/>
  <c r="I1974" s="1"/>
  <c r="H1973"/>
  <c r="I1973" s="1"/>
  <c r="H1181"/>
  <c r="I1181" s="1"/>
  <c r="H1685"/>
  <c r="I1685" s="1"/>
  <c r="H1397"/>
  <c r="I1397" s="1"/>
  <c r="H894"/>
  <c r="I894" s="1"/>
  <c r="H1542"/>
  <c r="I1542" s="1"/>
  <c r="H1326"/>
  <c r="I1326" s="1"/>
  <c r="H1686"/>
  <c r="I1686" s="1"/>
  <c r="H1613"/>
  <c r="I1613" s="1"/>
  <c r="H1037"/>
  <c r="I1037" s="1"/>
  <c r="H1541"/>
  <c r="I1541" s="1"/>
  <c r="H1469"/>
  <c r="I1469" s="1"/>
  <c r="H322"/>
  <c r="I322" s="1"/>
  <c r="H321"/>
  <c r="I321" s="1"/>
  <c r="F258"/>
  <c r="E320"/>
  <c r="F320" s="1"/>
  <c r="F319" s="1"/>
  <c r="F318" s="1"/>
  <c r="H964" l="1"/>
  <c r="F963"/>
  <c r="H1180"/>
  <c r="F1179"/>
  <c r="H1468"/>
  <c r="F1467"/>
  <c r="H1756"/>
  <c r="F1755"/>
  <c r="H1108"/>
  <c r="F1107"/>
  <c r="F1611"/>
  <c r="H1612"/>
  <c r="H1972"/>
  <c r="F1971"/>
  <c r="H1252"/>
  <c r="F1251"/>
  <c r="H1036"/>
  <c r="F1035"/>
  <c r="H1684"/>
  <c r="F1683"/>
  <c r="H1540"/>
  <c r="F1539"/>
  <c r="H1900"/>
  <c r="F1899"/>
  <c r="H1396"/>
  <c r="F1395"/>
  <c r="H1324"/>
  <c r="F1323"/>
  <c r="H1828"/>
  <c r="F1827"/>
  <c r="C52" i="3"/>
  <c r="C338"/>
  <c r="H258" i="4"/>
  <c r="H320"/>
  <c r="H319" s="1"/>
  <c r="H318" s="1"/>
  <c r="D62" i="2"/>
  <c r="E62" s="1"/>
  <c r="D63"/>
  <c r="E63" s="1"/>
  <c r="D64"/>
  <c r="E64" s="1"/>
  <c r="D65"/>
  <c r="E65" s="1"/>
  <c r="D66"/>
  <c r="E66" s="1"/>
  <c r="D67"/>
  <c r="E67" s="1"/>
  <c r="D68"/>
  <c r="E68" s="1"/>
  <c r="D69"/>
  <c r="E69" s="1"/>
  <c r="D70"/>
  <c r="E70" s="1"/>
  <c r="D71"/>
  <c r="E71" s="1"/>
  <c r="D72"/>
  <c r="E72" s="1"/>
  <c r="D73"/>
  <c r="E73" s="1"/>
  <c r="D74"/>
  <c r="E74" s="1"/>
  <c r="D75"/>
  <c r="E75" s="1"/>
  <c r="A6" i="3"/>
  <c r="H9" i="4"/>
  <c r="J336" l="1"/>
  <c r="J335" s="1"/>
  <c r="G336"/>
  <c r="G335" s="1"/>
  <c r="J332"/>
  <c r="G332"/>
  <c r="G333"/>
  <c r="J333"/>
  <c r="G249"/>
  <c r="G253"/>
  <c r="G220"/>
  <c r="G224"/>
  <c r="G228"/>
  <c r="G251"/>
  <c r="G222"/>
  <c r="G226"/>
  <c r="G215"/>
  <c r="J230"/>
  <c r="G221"/>
  <c r="G238"/>
  <c r="G213"/>
  <c r="G217"/>
  <c r="G252"/>
  <c r="J249"/>
  <c r="G241"/>
  <c r="G247"/>
  <c r="J228"/>
  <c r="G214"/>
  <c r="G211"/>
  <c r="J220"/>
  <c r="J238"/>
  <c r="G223"/>
  <c r="G250"/>
  <c r="J224"/>
  <c r="G219"/>
  <c r="G230"/>
  <c r="J217"/>
  <c r="J247"/>
  <c r="J222"/>
  <c r="G233"/>
  <c r="J241"/>
  <c r="G227"/>
  <c r="G254"/>
  <c r="J243"/>
  <c r="G225"/>
  <c r="G243"/>
  <c r="G240"/>
  <c r="G216"/>
  <c r="G235"/>
  <c r="J211"/>
  <c r="J253"/>
  <c r="G245"/>
  <c r="J226"/>
  <c r="G212"/>
  <c r="J251"/>
  <c r="G229"/>
  <c r="G246"/>
  <c r="G237"/>
  <c r="J233"/>
  <c r="J246"/>
  <c r="J254"/>
  <c r="J215"/>
  <c r="G232"/>
  <c r="J237"/>
  <c r="J221"/>
  <c r="J252"/>
  <c r="J225"/>
  <c r="J229"/>
  <c r="J250"/>
  <c r="G236"/>
  <c r="J223"/>
  <c r="J214"/>
  <c r="J216"/>
  <c r="G234"/>
  <c r="J213"/>
  <c r="J212"/>
  <c r="G242"/>
  <c r="J235"/>
  <c r="J227"/>
  <c r="J234"/>
  <c r="J240"/>
  <c r="J242"/>
  <c r="J236"/>
  <c r="J219"/>
  <c r="J245"/>
  <c r="J232"/>
  <c r="G203"/>
  <c r="G207"/>
  <c r="G198"/>
  <c r="G205"/>
  <c r="G201"/>
  <c r="G202"/>
  <c r="J203"/>
  <c r="J199"/>
  <c r="G208"/>
  <c r="G199"/>
  <c r="G206"/>
  <c r="G200"/>
  <c r="G197"/>
  <c r="J208"/>
  <c r="J206"/>
  <c r="J202"/>
  <c r="J201"/>
  <c r="J200"/>
  <c r="J198"/>
  <c r="J207"/>
  <c r="J197"/>
  <c r="J205"/>
  <c r="G127"/>
  <c r="G120"/>
  <c r="G115"/>
  <c r="G113"/>
  <c r="G109"/>
  <c r="G136"/>
  <c r="G114"/>
  <c r="G119"/>
  <c r="G124"/>
  <c r="G128"/>
  <c r="G132"/>
  <c r="G104"/>
  <c r="G131"/>
  <c r="G125"/>
  <c r="G105"/>
  <c r="G107"/>
  <c r="G102"/>
  <c r="G110"/>
  <c r="G108"/>
  <c r="G111"/>
  <c r="G129"/>
  <c r="G123"/>
  <c r="G139"/>
  <c r="G116"/>
  <c r="G121"/>
  <c r="G126"/>
  <c r="G130"/>
  <c r="G134"/>
  <c r="G118"/>
  <c r="G133"/>
  <c r="G103"/>
  <c r="G117"/>
  <c r="G106"/>
  <c r="G112"/>
  <c r="J105"/>
  <c r="J126"/>
  <c r="J132"/>
  <c r="J117"/>
  <c r="J129"/>
  <c r="J139"/>
  <c r="J128"/>
  <c r="J112"/>
  <c r="J116"/>
  <c r="G137"/>
  <c r="J107"/>
  <c r="J134"/>
  <c r="J133"/>
  <c r="J106"/>
  <c r="J103"/>
  <c r="J102"/>
  <c r="J118"/>
  <c r="J131"/>
  <c r="J124"/>
  <c r="J130"/>
  <c r="J125"/>
  <c r="J109"/>
  <c r="J119"/>
  <c r="J136"/>
  <c r="G138"/>
  <c r="G140"/>
  <c r="J127"/>
  <c r="J111"/>
  <c r="J104"/>
  <c r="J121"/>
  <c r="J120"/>
  <c r="J108"/>
  <c r="J110"/>
  <c r="J114"/>
  <c r="J113"/>
  <c r="J115"/>
  <c r="J140"/>
  <c r="J123"/>
  <c r="J137"/>
  <c r="J138"/>
  <c r="G76"/>
  <c r="G71"/>
  <c r="G65"/>
  <c r="G61"/>
  <c r="G86"/>
  <c r="G69"/>
  <c r="G87"/>
  <c r="G80"/>
  <c r="G79"/>
  <c r="G75"/>
  <c r="J70"/>
  <c r="J79"/>
  <c r="G92"/>
  <c r="G72"/>
  <c r="G62"/>
  <c r="G67"/>
  <c r="G63"/>
  <c r="G91"/>
  <c r="G68"/>
  <c r="G90"/>
  <c r="G83"/>
  <c r="G74"/>
  <c r="G77"/>
  <c r="G89"/>
  <c r="G93"/>
  <c r="G85"/>
  <c r="J76"/>
  <c r="G88"/>
  <c r="G84"/>
  <c r="G66"/>
  <c r="G64"/>
  <c r="G73"/>
  <c r="G78"/>
  <c r="G70"/>
  <c r="G82"/>
  <c r="G95"/>
  <c r="J82"/>
  <c r="G98"/>
  <c r="J67"/>
  <c r="J74"/>
  <c r="J73"/>
  <c r="J84"/>
  <c r="J75"/>
  <c r="J80"/>
  <c r="J63"/>
  <c r="J91"/>
  <c r="J90"/>
  <c r="J85"/>
  <c r="J86"/>
  <c r="J77"/>
  <c r="J65"/>
  <c r="J93"/>
  <c r="J89"/>
  <c r="J87"/>
  <c r="J78"/>
  <c r="J62"/>
  <c r="J98"/>
  <c r="J72"/>
  <c r="J88"/>
  <c r="J66"/>
  <c r="J71"/>
  <c r="J69"/>
  <c r="J92"/>
  <c r="J64"/>
  <c r="J83"/>
  <c r="J68"/>
  <c r="G97"/>
  <c r="J95"/>
  <c r="J61"/>
  <c r="G96"/>
  <c r="G99"/>
  <c r="J97"/>
  <c r="J99"/>
  <c r="J96"/>
  <c r="G47"/>
  <c r="G31"/>
  <c r="G27"/>
  <c r="G43"/>
  <c r="G49"/>
  <c r="G38"/>
  <c r="G24"/>
  <c r="G51"/>
  <c r="G35"/>
  <c r="G29"/>
  <c r="G21"/>
  <c r="J20"/>
  <c r="G45"/>
  <c r="G34"/>
  <c r="G39"/>
  <c r="G25"/>
  <c r="G20"/>
  <c r="G58"/>
  <c r="J27"/>
  <c r="G26"/>
  <c r="G33"/>
  <c r="G28"/>
  <c r="G46"/>
  <c r="G37"/>
  <c r="J38"/>
  <c r="G56"/>
  <c r="G52"/>
  <c r="G36"/>
  <c r="G42"/>
  <c r="J41"/>
  <c r="J34"/>
  <c r="G50"/>
  <c r="J37"/>
  <c r="G57"/>
  <c r="G55"/>
  <c r="G41"/>
  <c r="G44"/>
  <c r="J23"/>
  <c r="J47"/>
  <c r="G30"/>
  <c r="J24"/>
  <c r="J51"/>
  <c r="G54"/>
  <c r="J45"/>
  <c r="J33"/>
  <c r="G22"/>
  <c r="J49"/>
  <c r="G23"/>
  <c r="J29"/>
  <c r="G48"/>
  <c r="G32"/>
  <c r="J42"/>
  <c r="J32"/>
  <c r="J28"/>
  <c r="J43"/>
  <c r="J25"/>
  <c r="J50"/>
  <c r="J56"/>
  <c r="J31"/>
  <c r="J58"/>
  <c r="J48"/>
  <c r="J36"/>
  <c r="J52"/>
  <c r="J26"/>
  <c r="J30"/>
  <c r="J39"/>
  <c r="J35"/>
  <c r="J57"/>
  <c r="J55"/>
  <c r="J21"/>
  <c r="J46"/>
  <c r="J54"/>
  <c r="J44"/>
  <c r="J22"/>
  <c r="G1978"/>
  <c r="J1978"/>
  <c r="G1977"/>
  <c r="J1977"/>
  <c r="G1906"/>
  <c r="J1906"/>
  <c r="G1905"/>
  <c r="J1905"/>
  <c r="G1546"/>
  <c r="G1618"/>
  <c r="G1762"/>
  <c r="G1474"/>
  <c r="G1690"/>
  <c r="G898"/>
  <c r="G1042"/>
  <c r="J1546"/>
  <c r="G1114"/>
  <c r="G1258"/>
  <c r="G1330"/>
  <c r="G970"/>
  <c r="G1402"/>
  <c r="J1762"/>
  <c r="J1690"/>
  <c r="J898"/>
  <c r="G1186"/>
  <c r="J1618"/>
  <c r="J1474"/>
  <c r="G1834"/>
  <c r="J1042"/>
  <c r="G1617"/>
  <c r="G1473"/>
  <c r="G1185"/>
  <c r="G1113"/>
  <c r="J1402"/>
  <c r="J1114"/>
  <c r="G1545"/>
  <c r="G1689"/>
  <c r="J970"/>
  <c r="G1257"/>
  <c r="J1834"/>
  <c r="J1330"/>
  <c r="G897"/>
  <c r="J1186"/>
  <c r="G969"/>
  <c r="J1617"/>
  <c r="J1258"/>
  <c r="J1113"/>
  <c r="J969"/>
  <c r="G1761"/>
  <c r="J1473"/>
  <c r="G1401"/>
  <c r="J1257"/>
  <c r="J1545"/>
  <c r="G1329"/>
  <c r="J897"/>
  <c r="G1041"/>
  <c r="G1833"/>
  <c r="J1185"/>
  <c r="J1689"/>
  <c r="J1761"/>
  <c r="J1041"/>
  <c r="J1329"/>
  <c r="J1833"/>
  <c r="J1401"/>
  <c r="G326"/>
  <c r="J326"/>
  <c r="G325"/>
  <c r="J325"/>
  <c r="J1542"/>
  <c r="G1404"/>
  <c r="J1404"/>
  <c r="G1403"/>
  <c r="J1403"/>
  <c r="A1089"/>
  <c r="A468" i="3"/>
  <c r="A398"/>
  <c r="A945" i="4"/>
  <c r="A433" i="3"/>
  <c r="A1017" i="4"/>
  <c r="A503" i="3"/>
  <c r="A1161" i="4"/>
  <c r="A363" i="3"/>
  <c r="F1854" i="4"/>
  <c r="C828" i="3"/>
  <c r="C833" s="1"/>
  <c r="C842" s="1"/>
  <c r="G1324" i="4"/>
  <c r="J1757"/>
  <c r="F1710"/>
  <c r="C758" i="3"/>
  <c r="C763" s="1"/>
  <c r="C772" s="1"/>
  <c r="G1252" i="4"/>
  <c r="J1469"/>
  <c r="C723" i="3"/>
  <c r="C728" s="1"/>
  <c r="C737" s="1"/>
  <c r="F1638" i="4"/>
  <c r="J1397"/>
  <c r="F990"/>
  <c r="C408" i="3"/>
  <c r="C413" s="1"/>
  <c r="C422" s="1"/>
  <c r="J1254" i="4"/>
  <c r="I1828"/>
  <c r="H1827"/>
  <c r="H1854" s="1"/>
  <c r="I1324"/>
  <c r="H1323"/>
  <c r="F1926"/>
  <c r="C863" i="3"/>
  <c r="C868" s="1"/>
  <c r="C877" s="1"/>
  <c r="J1110" i="4"/>
  <c r="F1566"/>
  <c r="C688" i="3"/>
  <c r="C693" s="1"/>
  <c r="C702" s="1"/>
  <c r="G1684" i="4"/>
  <c r="I1036"/>
  <c r="H1035"/>
  <c r="J1038"/>
  <c r="J894"/>
  <c r="J1614"/>
  <c r="C898" i="3"/>
  <c r="C903" s="1"/>
  <c r="C912" s="1"/>
  <c r="F1998" i="4"/>
  <c r="G1612"/>
  <c r="F1134"/>
  <c r="C478" i="3"/>
  <c r="C483" s="1"/>
  <c r="C492" s="1"/>
  <c r="J1758" i="4"/>
  <c r="J1037"/>
  <c r="G1756"/>
  <c r="F1206"/>
  <c r="C513" i="3"/>
  <c r="C518" s="1"/>
  <c r="C527" s="1"/>
  <c r="G964" i="4"/>
  <c r="J1181"/>
  <c r="F1422"/>
  <c r="C618" i="3"/>
  <c r="C623" s="1"/>
  <c r="C632" s="1"/>
  <c r="J1685" i="4"/>
  <c r="I1684"/>
  <c r="H1683"/>
  <c r="J1398"/>
  <c r="F918"/>
  <c r="C373" i="3"/>
  <c r="C378" s="1"/>
  <c r="C387" s="1"/>
  <c r="F1494" i="4"/>
  <c r="C653" i="3"/>
  <c r="C658" s="1"/>
  <c r="C667" s="1"/>
  <c r="I964" i="4"/>
  <c r="H963"/>
  <c r="J322"/>
  <c r="G1777"/>
  <c r="G1700"/>
  <c r="G1636"/>
  <c r="G1633"/>
  <c r="G1630"/>
  <c r="G1627"/>
  <c r="G1570"/>
  <c r="G1492"/>
  <c r="G1489"/>
  <c r="G1486"/>
  <c r="G1483"/>
  <c r="G1276"/>
  <c r="G1967"/>
  <c r="G1825"/>
  <c r="G1465"/>
  <c r="G1421"/>
  <c r="G1420"/>
  <c r="G1778"/>
  <c r="G1703"/>
  <c r="G1340"/>
  <c r="G1259"/>
  <c r="G1195"/>
  <c r="G1132"/>
  <c r="G1129"/>
  <c r="G1126"/>
  <c r="G1123"/>
  <c r="G1061"/>
  <c r="G1049"/>
  <c r="G1034"/>
  <c r="G989"/>
  <c r="G979"/>
  <c r="G1205"/>
  <c r="G1030"/>
  <c r="G985"/>
  <c r="G911"/>
  <c r="G1895"/>
  <c r="G1202"/>
  <c r="G1175"/>
  <c r="G1105"/>
  <c r="G1277"/>
  <c r="G1199"/>
  <c r="J1061"/>
  <c r="J1049"/>
  <c r="G917"/>
  <c r="G908"/>
  <c r="G1271"/>
  <c r="G1772"/>
  <c r="G1346"/>
  <c r="G1177"/>
  <c r="G1051"/>
  <c r="G982"/>
  <c r="G914"/>
  <c r="J994"/>
  <c r="G916"/>
  <c r="J899"/>
  <c r="G1099"/>
  <c r="J908"/>
  <c r="J914"/>
  <c r="J1196"/>
  <c r="G994"/>
  <c r="G1127"/>
  <c r="G1462"/>
  <c r="G1846"/>
  <c r="G1849"/>
  <c r="G1852"/>
  <c r="J1967"/>
  <c r="G1994"/>
  <c r="J1034"/>
  <c r="G1634"/>
  <c r="J1700"/>
  <c r="J1106"/>
  <c r="G1204"/>
  <c r="G1339"/>
  <c r="G1565"/>
  <c r="G1679"/>
  <c r="J1703"/>
  <c r="J1844"/>
  <c r="G1894"/>
  <c r="J1919"/>
  <c r="G1987"/>
  <c r="G1991"/>
  <c r="J1202"/>
  <c r="G1345"/>
  <c r="G1481"/>
  <c r="G1826"/>
  <c r="G1985"/>
  <c r="G1394"/>
  <c r="G1607"/>
  <c r="J1418"/>
  <c r="J1570"/>
  <c r="J1823"/>
  <c r="J1277"/>
  <c r="J1709"/>
  <c r="G2009"/>
  <c r="G1966"/>
  <c r="J1993"/>
  <c r="G2010"/>
  <c r="G1908"/>
  <c r="G1937"/>
  <c r="G1941"/>
  <c r="J1924"/>
  <c r="G1863"/>
  <c r="G1823"/>
  <c r="G1865"/>
  <c r="G1790"/>
  <c r="G1793"/>
  <c r="G1785"/>
  <c r="G1725"/>
  <c r="G1719"/>
  <c r="G1678"/>
  <c r="G899"/>
  <c r="G1649"/>
  <c r="G1646"/>
  <c r="G1606"/>
  <c r="G1619"/>
  <c r="G1534"/>
  <c r="G1548"/>
  <c r="G1558"/>
  <c r="G1575"/>
  <c r="G1503"/>
  <c r="G1415"/>
  <c r="G1425"/>
  <c r="G1364"/>
  <c r="G1337"/>
  <c r="G1358"/>
  <c r="G1353"/>
  <c r="G1265"/>
  <c r="J1205"/>
  <c r="J1199"/>
  <c r="J989"/>
  <c r="G1273"/>
  <c r="G1493"/>
  <c r="G1569"/>
  <c r="J1714"/>
  <c r="G1750"/>
  <c r="G980"/>
  <c r="G1106"/>
  <c r="G1130"/>
  <c r="G1196"/>
  <c r="G1390"/>
  <c r="G1705"/>
  <c r="G1781"/>
  <c r="G1915"/>
  <c r="G1918"/>
  <c r="G1921"/>
  <c r="G1924"/>
  <c r="G1990"/>
  <c r="J959"/>
  <c r="J1265"/>
  <c r="G1631"/>
  <c r="G1268"/>
  <c r="G1709"/>
  <c r="G1780"/>
  <c r="J1847"/>
  <c r="J1922"/>
  <c r="J1043"/>
  <c r="J1250"/>
  <c r="J1354"/>
  <c r="G1751"/>
  <c r="J1262"/>
  <c r="G1466"/>
  <c r="J1247"/>
  <c r="J1466"/>
  <c r="J1607"/>
  <c r="G1699"/>
  <c r="J1835"/>
  <c r="J1282"/>
  <c r="G1556"/>
  <c r="J1754"/>
  <c r="G1115"/>
  <c r="G2006"/>
  <c r="G1969"/>
  <c r="J1996"/>
  <c r="G2001"/>
  <c r="J1891"/>
  <c r="G1940"/>
  <c r="G1939" s="1"/>
  <c r="J1921"/>
  <c r="G1930"/>
  <c r="G1862"/>
  <c r="G1819"/>
  <c r="G1857"/>
  <c r="G1843"/>
  <c r="G1868"/>
  <c r="G1753"/>
  <c r="G1768"/>
  <c r="G1786"/>
  <c r="G1681"/>
  <c r="G1691"/>
  <c r="G1713"/>
  <c r="G971"/>
  <c r="G1652"/>
  <c r="G1609"/>
  <c r="G1641"/>
  <c r="G1642"/>
  <c r="G1578"/>
  <c r="J1531"/>
  <c r="G1561"/>
  <c r="G1574"/>
  <c r="G1475"/>
  <c r="J1459"/>
  <c r="G1502"/>
  <c r="G1506"/>
  <c r="G1436"/>
  <c r="G1393"/>
  <c r="G1434"/>
  <c r="G1411"/>
  <c r="G1318"/>
  <c r="G1331"/>
  <c r="G1354"/>
  <c r="G1290"/>
  <c r="G1293"/>
  <c r="G1246"/>
  <c r="G1286"/>
  <c r="G1281"/>
  <c r="G1218"/>
  <c r="G1210"/>
  <c r="G1142"/>
  <c r="G1143"/>
  <c r="J1132"/>
  <c r="G1137"/>
  <c r="G1146"/>
  <c r="G1121"/>
  <c r="G1048"/>
  <c r="G1031"/>
  <c r="G1065"/>
  <c r="G1074"/>
  <c r="G1073"/>
  <c r="G1076"/>
  <c r="G999"/>
  <c r="G998"/>
  <c r="G958"/>
  <c r="G959"/>
  <c r="G976"/>
  <c r="G986"/>
  <c r="J911"/>
  <c r="J917"/>
  <c r="G907"/>
  <c r="G913"/>
  <c r="G1057"/>
  <c r="J1031"/>
  <c r="G1270"/>
  <c r="G1490"/>
  <c r="G1747"/>
  <c r="G1897"/>
  <c r="G988"/>
  <c r="G1055"/>
  <c r="G1133"/>
  <c r="G1343"/>
  <c r="G1459"/>
  <c r="G1844"/>
  <c r="G1847"/>
  <c r="G1850"/>
  <c r="G1853"/>
  <c r="G977"/>
  <c r="G1484"/>
  <c r="G1628"/>
  <c r="G1706"/>
  <c r="G1997"/>
  <c r="G1243"/>
  <c r="J1331"/>
  <c r="G1349"/>
  <c r="G1538"/>
  <c r="J1850"/>
  <c r="J1908"/>
  <c r="J1925"/>
  <c r="J1052"/>
  <c r="J1175"/>
  <c r="G1274"/>
  <c r="J1475"/>
  <c r="G1774"/>
  <c r="J1892"/>
  <c r="G1988"/>
  <c r="G1315"/>
  <c r="J1415"/>
  <c r="J1259"/>
  <c r="G1559"/>
  <c r="G1898"/>
  <c r="J1340"/>
  <c r="J1559"/>
  <c r="J1772"/>
  <c r="G1835"/>
  <c r="J1990"/>
  <c r="G2002"/>
  <c r="G2007"/>
  <c r="G2012"/>
  <c r="G1913"/>
  <c r="G1935"/>
  <c r="G1891"/>
  <c r="J1915"/>
  <c r="G1766"/>
  <c r="G1769"/>
  <c r="G1722"/>
  <c r="G1724"/>
  <c r="G1714"/>
  <c r="G1624"/>
  <c r="G1531"/>
  <c r="G1647"/>
  <c r="G1623"/>
  <c r="G1537"/>
  <c r="G1577"/>
  <c r="G1532"/>
  <c r="G1552"/>
  <c r="G1564"/>
  <c r="G1580"/>
  <c r="G1508"/>
  <c r="J1489"/>
  <c r="J1486"/>
  <c r="G1505"/>
  <c r="J1492"/>
  <c r="G1497"/>
  <c r="G1498"/>
  <c r="G1433"/>
  <c r="G1412"/>
  <c r="G1417"/>
  <c r="G1319"/>
  <c r="G1321"/>
  <c r="G1359"/>
  <c r="G1365"/>
  <c r="G1289"/>
  <c r="G1247"/>
  <c r="G1282"/>
  <c r="G1217"/>
  <c r="G1209"/>
  <c r="G1215"/>
  <c r="G1103"/>
  <c r="J1126"/>
  <c r="J1129"/>
  <c r="G1138"/>
  <c r="G1071"/>
  <c r="G1033"/>
  <c r="G1070"/>
  <c r="G1027"/>
  <c r="G1058"/>
  <c r="G961"/>
  <c r="G993"/>
  <c r="G1005"/>
  <c r="J955"/>
  <c r="J1055"/>
  <c r="G910"/>
  <c r="G983"/>
  <c r="J1178"/>
  <c r="G1201"/>
  <c r="G1487"/>
  <c r="G962"/>
  <c r="G1102"/>
  <c r="G1124"/>
  <c r="G1174"/>
  <c r="G1322"/>
  <c r="J1895"/>
  <c r="G1916"/>
  <c r="G1919"/>
  <c r="G1922"/>
  <c r="G1925"/>
  <c r="G1391"/>
  <c r="J1556"/>
  <c r="G1637"/>
  <c r="G1993"/>
  <c r="J1058"/>
  <c r="G1198"/>
  <c r="G1250"/>
  <c r="G1342"/>
  <c r="J1412"/>
  <c r="J1552"/>
  <c r="G1178"/>
  <c r="G1348"/>
  <c r="G1347" s="1"/>
  <c r="G1697"/>
  <c r="J1319"/>
  <c r="G1682"/>
  <c r="J1271"/>
  <c r="G2013"/>
  <c r="G1934"/>
  <c r="G1933" s="1"/>
  <c r="D873" i="3" s="1"/>
  <c r="G1866" i="4"/>
  <c r="G1841"/>
  <c r="G1858"/>
  <c r="G1797"/>
  <c r="G1262"/>
  <c r="G1603"/>
  <c r="J1636"/>
  <c r="G1535"/>
  <c r="G1509"/>
  <c r="G1430"/>
  <c r="G1362"/>
  <c r="G1361"/>
  <c r="G1249"/>
  <c r="G1248" s="1"/>
  <c r="D547" i="3" s="1"/>
  <c r="G1220" i="4"/>
  <c r="G1171"/>
  <c r="G1148"/>
  <c r="J1099"/>
  <c r="G1060"/>
  <c r="G1077"/>
  <c r="G926"/>
  <c r="G922"/>
  <c r="J1916"/>
  <c r="G1562"/>
  <c r="J1346"/>
  <c r="G1892"/>
  <c r="J1918"/>
  <c r="G1822"/>
  <c r="G1869"/>
  <c r="G1791"/>
  <c r="G1796"/>
  <c r="G1675"/>
  <c r="G1695"/>
  <c r="G1653"/>
  <c r="J1483"/>
  <c r="G1414"/>
  <c r="G1418"/>
  <c r="G1426"/>
  <c r="G1287"/>
  <c r="G1292"/>
  <c r="G1221"/>
  <c r="J1204"/>
  <c r="J1203" s="1"/>
  <c r="G517" i="3" s="1"/>
  <c r="G1145" i="4"/>
  <c r="G1144" s="1"/>
  <c r="D489" i="3" s="1"/>
  <c r="G1052" i="4"/>
  <c r="G956"/>
  <c r="J910"/>
  <c r="G933"/>
  <c r="G921"/>
  <c r="G1043"/>
  <c r="G1066"/>
  <c r="G1054"/>
  <c r="G1004"/>
  <c r="G1002"/>
  <c r="J916"/>
  <c r="J1619"/>
  <c r="J1786"/>
  <c r="G1970"/>
  <c r="G1267"/>
  <c r="G1996"/>
  <c r="J1421"/>
  <c r="J1562"/>
  <c r="G1702"/>
  <c r="G1979"/>
  <c r="G1938"/>
  <c r="G1929"/>
  <c r="G1794"/>
  <c r="G1718"/>
  <c r="G1555"/>
  <c r="G1463"/>
  <c r="G1437"/>
  <c r="J1201"/>
  <c r="G1117"/>
  <c r="G1028"/>
  <c r="G927"/>
  <c r="G1775"/>
  <c r="J1853"/>
  <c r="G1771"/>
  <c r="G1708"/>
  <c r="G1754"/>
  <c r="G1610"/>
  <c r="J1778"/>
  <c r="G955"/>
  <c r="J1987"/>
  <c r="J1846"/>
  <c r="G1721"/>
  <c r="G1650"/>
  <c r="G1581"/>
  <c r="G1431"/>
  <c r="J1171"/>
  <c r="G1214"/>
  <c r="G1149"/>
  <c r="G1001"/>
  <c r="G972"/>
  <c r="G930"/>
  <c r="J913"/>
  <c r="G932"/>
  <c r="G929"/>
  <c r="J907"/>
  <c r="J1210"/>
  <c r="J1624"/>
  <c r="G1912"/>
  <c r="J1769"/>
  <c r="G905"/>
  <c r="J999"/>
  <c r="J1074"/>
  <c r="J1143"/>
  <c r="J1766"/>
  <c r="J1394"/>
  <c r="J1849"/>
  <c r="J1848" s="1"/>
  <c r="J1146"/>
  <c r="J1046"/>
  <c r="J1994"/>
  <c r="J1431"/>
  <c r="J1610"/>
  <c r="J1866"/>
  <c r="G1387"/>
  <c r="J1775"/>
  <c r="J980"/>
  <c r="J1071"/>
  <c r="J1215"/>
  <c r="J1722"/>
  <c r="J2002"/>
  <c r="G1547"/>
  <c r="G1187"/>
  <c r="J1988"/>
  <c r="J1706"/>
  <c r="J1490"/>
  <c r="J1696"/>
  <c r="G1553"/>
  <c r="J1979"/>
  <c r="J1133"/>
  <c r="J976"/>
  <c r="G1980"/>
  <c r="G1911"/>
  <c r="G1836"/>
  <c r="J1825"/>
  <c r="G1839"/>
  <c r="G1820"/>
  <c r="G1818" s="1"/>
  <c r="G1767"/>
  <c r="J1785"/>
  <c r="G1748"/>
  <c r="G1746" s="1"/>
  <c r="J933"/>
  <c r="J922"/>
  <c r="J1218"/>
  <c r="J1503"/>
  <c r="J1863"/>
  <c r="J1028"/>
  <c r="J1575"/>
  <c r="J972"/>
  <c r="J927"/>
  <c r="J1066"/>
  <c r="J1725"/>
  <c r="J1898"/>
  <c r="J1985"/>
  <c r="J1221"/>
  <c r="J1362"/>
  <c r="J1650"/>
  <c r="J1797"/>
  <c r="J1938"/>
  <c r="J1548"/>
  <c r="J1623"/>
  <c r="J1679"/>
  <c r="J1637"/>
  <c r="J1138"/>
  <c r="J1913"/>
  <c r="J1691"/>
  <c r="J1274"/>
  <c r="J1124"/>
  <c r="J1628"/>
  <c r="J983"/>
  <c r="J1578"/>
  <c r="J1768"/>
  <c r="G973"/>
  <c r="J1751"/>
  <c r="J1631"/>
  <c r="J1493"/>
  <c r="G1763"/>
  <c r="G1983"/>
  <c r="J1969"/>
  <c r="G1840"/>
  <c r="J1822"/>
  <c r="J1821" s="1"/>
  <c r="J1780"/>
  <c r="G1693"/>
  <c r="G1694"/>
  <c r="J1702"/>
  <c r="J1705"/>
  <c r="J1704" s="1"/>
  <c r="G761" i="3" s="1"/>
  <c r="J1708" i="4"/>
  <c r="J1707" s="1"/>
  <c r="G762" i="3" s="1"/>
  <c r="J1681" i="4"/>
  <c r="J1630"/>
  <c r="J1609"/>
  <c r="J1608" s="1"/>
  <c r="G722" i="3" s="1"/>
  <c r="J1537" i="4"/>
  <c r="J1561"/>
  <c r="J1077"/>
  <c r="J1337"/>
  <c r="G1046"/>
  <c r="J1852"/>
  <c r="J1481"/>
  <c r="J1941"/>
  <c r="J1130"/>
  <c r="J956"/>
  <c r="J1426"/>
  <c r="J1581"/>
  <c r="J1653"/>
  <c r="J973"/>
  <c r="J1794"/>
  <c r="J1858"/>
  <c r="J1826"/>
  <c r="J1970"/>
  <c r="J971"/>
  <c r="G1696"/>
  <c r="J1565"/>
  <c r="J1391"/>
  <c r="J1487"/>
  <c r="J1103"/>
  <c r="J1359"/>
  <c r="J1498"/>
  <c r="J1647"/>
  <c r="J1935"/>
  <c r="J1349"/>
  <c r="J977"/>
  <c r="J1484"/>
  <c r="J986"/>
  <c r="J1293"/>
  <c r="J1434"/>
  <c r="J1506"/>
  <c r="J1532"/>
  <c r="J1115"/>
  <c r="J1695"/>
  <c r="J1535"/>
  <c r="J1781"/>
  <c r="G1984"/>
  <c r="G1907"/>
  <c r="G1838"/>
  <c r="J1843"/>
  <c r="G1837"/>
  <c r="G1764"/>
  <c r="J1777"/>
  <c r="G1765"/>
  <c r="J1048"/>
  <c r="J1719"/>
  <c r="J930"/>
  <c r="J1002"/>
  <c r="J1538"/>
  <c r="J2010"/>
  <c r="J1991"/>
  <c r="J1634"/>
  <c r="J1149"/>
  <c r="J1287"/>
  <c r="J1437"/>
  <c r="J1509"/>
  <c r="J1642"/>
  <c r="J1682"/>
  <c r="J1791"/>
  <c r="J1869"/>
  <c r="J2013"/>
  <c r="G1963"/>
  <c r="J1697"/>
  <c r="J1127"/>
  <c r="J1121"/>
  <c r="J1005"/>
  <c r="J1365"/>
  <c r="J2007"/>
  <c r="G1625"/>
  <c r="G1409"/>
  <c r="G1193"/>
  <c r="J1997"/>
  <c r="J1343"/>
  <c r="J1290"/>
  <c r="J1463"/>
  <c r="J1187"/>
  <c r="J1930"/>
  <c r="J1841"/>
  <c r="J1117"/>
  <c r="J1268"/>
  <c r="J1322"/>
  <c r="G1982"/>
  <c r="G1981"/>
  <c r="G1964"/>
  <c r="J1966"/>
  <c r="G1910"/>
  <c r="G1909"/>
  <c r="J1750"/>
  <c r="G1692"/>
  <c r="J1699"/>
  <c r="G1622"/>
  <c r="G1621"/>
  <c r="J1555"/>
  <c r="G1550"/>
  <c r="J1564"/>
  <c r="G1549"/>
  <c r="J1774"/>
  <c r="J1753"/>
  <c r="J1678"/>
  <c r="G1604"/>
  <c r="G1551"/>
  <c r="G1479"/>
  <c r="G1406"/>
  <c r="G1333"/>
  <c r="J1342"/>
  <c r="J1318"/>
  <c r="G1335"/>
  <c r="G1316"/>
  <c r="G1334"/>
  <c r="G1263"/>
  <c r="J1281"/>
  <c r="J1273"/>
  <c r="G1244"/>
  <c r="G1264"/>
  <c r="J1198"/>
  <c r="G1172"/>
  <c r="J1174"/>
  <c r="G1120"/>
  <c r="G1118"/>
  <c r="J1033"/>
  <c r="G975"/>
  <c r="G903"/>
  <c r="J1713"/>
  <c r="G1620"/>
  <c r="J1558"/>
  <c r="J1462"/>
  <c r="J1465"/>
  <c r="G1480"/>
  <c r="J1414"/>
  <c r="J1420"/>
  <c r="G1405"/>
  <c r="G1407"/>
  <c r="J1339"/>
  <c r="J1353"/>
  <c r="J1246"/>
  <c r="J1267"/>
  <c r="J1270"/>
  <c r="G1190"/>
  <c r="G1192"/>
  <c r="G1119"/>
  <c r="G1116"/>
  <c r="G1044"/>
  <c r="J1027"/>
  <c r="J1057"/>
  <c r="G1047"/>
  <c r="G900"/>
  <c r="G1189"/>
  <c r="G1100"/>
  <c r="J1105"/>
  <c r="J1060"/>
  <c r="J1054"/>
  <c r="J985"/>
  <c r="G974"/>
  <c r="J979"/>
  <c r="G902"/>
  <c r="J1771"/>
  <c r="J1633"/>
  <c r="J1606"/>
  <c r="J1627"/>
  <c r="J1569"/>
  <c r="G1477"/>
  <c r="G1408"/>
  <c r="J1393"/>
  <c r="J1417"/>
  <c r="J1345"/>
  <c r="G1261"/>
  <c r="G1260"/>
  <c r="J1177"/>
  <c r="J993"/>
  <c r="G1676"/>
  <c r="J1534"/>
  <c r="G1460"/>
  <c r="G1478"/>
  <c r="G1476"/>
  <c r="J1411"/>
  <c r="J1390"/>
  <c r="G1388"/>
  <c r="G1336"/>
  <c r="G1332"/>
  <c r="J1348"/>
  <c r="J1321"/>
  <c r="J1276"/>
  <c r="J1249"/>
  <c r="G1188"/>
  <c r="J1102"/>
  <c r="J1051"/>
  <c r="G1045"/>
  <c r="J1030"/>
  <c r="J958"/>
  <c r="J961"/>
  <c r="J982"/>
  <c r="G904"/>
  <c r="G901"/>
  <c r="J1195"/>
  <c r="G1191"/>
  <c r="J1123"/>
  <c r="J988"/>
  <c r="J1047"/>
  <c r="J1120"/>
  <c r="J1189"/>
  <c r="J1334"/>
  <c r="J1479"/>
  <c r="J1332"/>
  <c r="J1336"/>
  <c r="J1549"/>
  <c r="J1045"/>
  <c r="J974"/>
  <c r="J1408"/>
  <c r="J1622"/>
  <c r="J1192"/>
  <c r="J1692"/>
  <c r="J1839"/>
  <c r="J1980"/>
  <c r="J1982"/>
  <c r="J1765"/>
  <c r="J1767"/>
  <c r="J1547"/>
  <c r="J1193"/>
  <c r="J2012"/>
  <c r="J1963"/>
  <c r="J1934"/>
  <c r="J1718"/>
  <c r="J1387"/>
  <c r="J1430"/>
  <c r="J1315"/>
  <c r="J1243"/>
  <c r="J1214"/>
  <c r="J1220"/>
  <c r="J1070"/>
  <c r="J1076"/>
  <c r="J1044"/>
  <c r="J1264"/>
  <c r="J1316"/>
  <c r="J1333"/>
  <c r="J1550"/>
  <c r="J904"/>
  <c r="J975"/>
  <c r="J1191"/>
  <c r="J1260"/>
  <c r="J1477"/>
  <c r="J900"/>
  <c r="J1190"/>
  <c r="J1407"/>
  <c r="J1693"/>
  <c r="J1676"/>
  <c r="J1836"/>
  <c r="J905"/>
  <c r="J1909"/>
  <c r="J1409"/>
  <c r="J1837"/>
  <c r="J1553"/>
  <c r="J1964"/>
  <c r="J1819"/>
  <c r="J1865"/>
  <c r="J1793"/>
  <c r="J1747"/>
  <c r="J1724"/>
  <c r="J1675"/>
  <c r="J1646"/>
  <c r="J1649"/>
  <c r="J1577"/>
  <c r="J1580"/>
  <c r="J1364"/>
  <c r="J1209"/>
  <c r="J998"/>
  <c r="J926"/>
  <c r="J929"/>
  <c r="J1137"/>
  <c r="J1073"/>
  <c r="J1116"/>
  <c r="J1244"/>
  <c r="J1335"/>
  <c r="J1119"/>
  <c r="J1476"/>
  <c r="J1694"/>
  <c r="J1118"/>
  <c r="J1261"/>
  <c r="J1405"/>
  <c r="J1551"/>
  <c r="J1748"/>
  <c r="J1911"/>
  <c r="J1912"/>
  <c r="J1910"/>
  <c r="J1625"/>
  <c r="J1620"/>
  <c r="J1838"/>
  <c r="J1840"/>
  <c r="J1983"/>
  <c r="J2001"/>
  <c r="J1929"/>
  <c r="J1940"/>
  <c r="J1937"/>
  <c r="J1857"/>
  <c r="J1862"/>
  <c r="J1790"/>
  <c r="J1721"/>
  <c r="J1502"/>
  <c r="J1497"/>
  <c r="J1508"/>
  <c r="J1505"/>
  <c r="J1436"/>
  <c r="J1425"/>
  <c r="J1433"/>
  <c r="J1286"/>
  <c r="J1289"/>
  <c r="J1292"/>
  <c r="J1217"/>
  <c r="J1148"/>
  <c r="J1142"/>
  <c r="J1065"/>
  <c r="J903"/>
  <c r="J1263"/>
  <c r="J1406"/>
  <c r="J1188"/>
  <c r="J1388"/>
  <c r="J1478"/>
  <c r="J901"/>
  <c r="J902"/>
  <c r="J1621"/>
  <c r="J1480"/>
  <c r="J1820"/>
  <c r="J1907"/>
  <c r="J1981"/>
  <c r="J962"/>
  <c r="J1604"/>
  <c r="J1764"/>
  <c r="J1984"/>
  <c r="J1763"/>
  <c r="J2006"/>
  <c r="J2009"/>
  <c r="J1894"/>
  <c r="J1897"/>
  <c r="J1868"/>
  <c r="J1796"/>
  <c r="J1603"/>
  <c r="J1641"/>
  <c r="J1652"/>
  <c r="J1574"/>
  <c r="J1361"/>
  <c r="J1358"/>
  <c r="J1145"/>
  <c r="J1001"/>
  <c r="J1004"/>
  <c r="J921"/>
  <c r="J932"/>
  <c r="J1460"/>
  <c r="J1172"/>
  <c r="J1100"/>
  <c r="G1112"/>
  <c r="G1760"/>
  <c r="G968"/>
  <c r="G1400"/>
  <c r="G1040"/>
  <c r="G1472"/>
  <c r="G1328"/>
  <c r="G1544"/>
  <c r="G1616"/>
  <c r="G1904"/>
  <c r="G1976"/>
  <c r="G1256"/>
  <c r="G896"/>
  <c r="G1688"/>
  <c r="G1184"/>
  <c r="G1832"/>
  <c r="J1472"/>
  <c r="G1255"/>
  <c r="J1616"/>
  <c r="J896"/>
  <c r="J1760"/>
  <c r="J1040"/>
  <c r="G1111"/>
  <c r="J1832"/>
  <c r="G1975"/>
  <c r="J1256"/>
  <c r="J1112"/>
  <c r="G1039"/>
  <c r="G1399"/>
  <c r="G895"/>
  <c r="G1687"/>
  <c r="J1400"/>
  <c r="G1183"/>
  <c r="G1831"/>
  <c r="J1184"/>
  <c r="G1615"/>
  <c r="J1976"/>
  <c r="G1543"/>
  <c r="J1544"/>
  <c r="J968"/>
  <c r="J1688"/>
  <c r="G967"/>
  <c r="G1903"/>
  <c r="J1904"/>
  <c r="G1759"/>
  <c r="J1328"/>
  <c r="G1327"/>
  <c r="G1471"/>
  <c r="J1399"/>
  <c r="J1327"/>
  <c r="J1615"/>
  <c r="J1903"/>
  <c r="J1543"/>
  <c r="J1759"/>
  <c r="J1255"/>
  <c r="J967"/>
  <c r="J1831"/>
  <c r="J1975"/>
  <c r="J895"/>
  <c r="J1111"/>
  <c r="J1687"/>
  <c r="J1183"/>
  <c r="J1471"/>
  <c r="J1039"/>
  <c r="G1902"/>
  <c r="G1038"/>
  <c r="G1398"/>
  <c r="G1253"/>
  <c r="G1254"/>
  <c r="G1325"/>
  <c r="G1109"/>
  <c r="G1757"/>
  <c r="G1110"/>
  <c r="G1973"/>
  <c r="G1685"/>
  <c r="G1326"/>
  <c r="G1613"/>
  <c r="G1181"/>
  <c r="G1542"/>
  <c r="G1182"/>
  <c r="G965"/>
  <c r="G1901"/>
  <c r="G1614"/>
  <c r="G1829"/>
  <c r="G1830"/>
  <c r="G1758"/>
  <c r="G966"/>
  <c r="G1974"/>
  <c r="G1397"/>
  <c r="G1686"/>
  <c r="G1037"/>
  <c r="G1469"/>
  <c r="G1470"/>
  <c r="G894"/>
  <c r="G1541"/>
  <c r="J1325"/>
  <c r="G1828"/>
  <c r="G1900"/>
  <c r="G1540"/>
  <c r="F1278"/>
  <c r="C548" i="3"/>
  <c r="C553" s="1"/>
  <c r="C562" s="1"/>
  <c r="J1541" i="4"/>
  <c r="I1972"/>
  <c r="H1971"/>
  <c r="H1998" s="1"/>
  <c r="G1108"/>
  <c r="J966"/>
  <c r="J1182"/>
  <c r="I1180"/>
  <c r="H1179"/>
  <c r="J1109"/>
  <c r="F1350"/>
  <c r="C583" i="3"/>
  <c r="C588" s="1"/>
  <c r="C597" s="1"/>
  <c r="I1396" i="4"/>
  <c r="H1395"/>
  <c r="I1900"/>
  <c r="H1899"/>
  <c r="J1613"/>
  <c r="I1540"/>
  <c r="H1539"/>
  <c r="C443" i="3"/>
  <c r="C448" s="1"/>
  <c r="C457" s="1"/>
  <c r="F1062" i="4"/>
  <c r="I1252"/>
  <c r="H1251"/>
  <c r="J1253"/>
  <c r="J1686"/>
  <c r="J1829"/>
  <c r="I1612"/>
  <c r="H1611"/>
  <c r="I1108"/>
  <c r="H1107"/>
  <c r="J1974"/>
  <c r="F1782"/>
  <c r="C793" i="3"/>
  <c r="C798" s="1"/>
  <c r="C807" s="1"/>
  <c r="I1468" i="4"/>
  <c r="H1467"/>
  <c r="G1180"/>
  <c r="J965"/>
  <c r="J1973"/>
  <c r="G1396"/>
  <c r="J1902"/>
  <c r="G1036"/>
  <c r="J1470"/>
  <c r="G1972"/>
  <c r="J1830"/>
  <c r="I1756"/>
  <c r="H1755"/>
  <c r="G1468"/>
  <c r="J1901"/>
  <c r="J1326"/>
  <c r="G324"/>
  <c r="G323"/>
  <c r="J324"/>
  <c r="J323"/>
  <c r="G322"/>
  <c r="G321"/>
  <c r="J321"/>
  <c r="C343" i="3"/>
  <c r="C352" s="1"/>
  <c r="C303"/>
  <c r="C308" s="1"/>
  <c r="C317" s="1"/>
  <c r="C268"/>
  <c r="C273" s="1"/>
  <c r="C282" s="1"/>
  <c r="C232"/>
  <c r="C237" s="1"/>
  <c r="C246" s="1"/>
  <c r="C196"/>
  <c r="C201" s="1"/>
  <c r="C210" s="1"/>
  <c r="C160"/>
  <c r="C165" s="1"/>
  <c r="C174" s="1"/>
  <c r="C124"/>
  <c r="C129" s="1"/>
  <c r="C138" s="1"/>
  <c r="F350" i="4"/>
  <c r="C88" i="3"/>
  <c r="E52"/>
  <c r="A258"/>
  <c r="A222"/>
  <c r="A328"/>
  <c r="A186"/>
  <c r="A187" i="4"/>
  <c r="A42" i="3"/>
  <c r="A114"/>
  <c r="A301" i="4"/>
  <c r="A78" i="3"/>
  <c r="A293"/>
  <c r="A150"/>
  <c r="D266"/>
  <c r="G340"/>
  <c r="G279"/>
  <c r="E338"/>
  <c r="I258" i="4"/>
  <c r="G348"/>
  <c r="G346"/>
  <c r="G354"/>
  <c r="J314"/>
  <c r="G314"/>
  <c r="G353"/>
  <c r="G365"/>
  <c r="J348"/>
  <c r="J343"/>
  <c r="G343"/>
  <c r="G317"/>
  <c r="G358"/>
  <c r="G342"/>
  <c r="G359"/>
  <c r="G316"/>
  <c r="G361"/>
  <c r="G349"/>
  <c r="J346"/>
  <c r="G339"/>
  <c r="G362"/>
  <c r="G340"/>
  <c r="G313"/>
  <c r="G310"/>
  <c r="G345"/>
  <c r="G327"/>
  <c r="G364"/>
  <c r="J317"/>
  <c r="J365"/>
  <c r="J340"/>
  <c r="G330"/>
  <c r="J310"/>
  <c r="J349"/>
  <c r="G311"/>
  <c r="G334"/>
  <c r="J339"/>
  <c r="J327"/>
  <c r="J359"/>
  <c r="J354"/>
  <c r="G331"/>
  <c r="J353"/>
  <c r="G329"/>
  <c r="J313"/>
  <c r="J362"/>
  <c r="J331"/>
  <c r="G328"/>
  <c r="J342"/>
  <c r="J334"/>
  <c r="J361"/>
  <c r="J329"/>
  <c r="J328"/>
  <c r="J345"/>
  <c r="J330"/>
  <c r="J316"/>
  <c r="J358"/>
  <c r="J364"/>
  <c r="J311"/>
  <c r="G320"/>
  <c r="I320"/>
  <c r="I319" s="1"/>
  <c r="I318" s="1"/>
  <c r="G281"/>
  <c r="G262"/>
  <c r="G288"/>
  <c r="G256"/>
  <c r="J277"/>
  <c r="G282"/>
  <c r="G271"/>
  <c r="G272"/>
  <c r="G284"/>
  <c r="G269"/>
  <c r="G287"/>
  <c r="G276"/>
  <c r="G285"/>
  <c r="G257"/>
  <c r="G268"/>
  <c r="G210"/>
  <c r="G265"/>
  <c r="G277"/>
  <c r="G263"/>
  <c r="G266"/>
  <c r="J266"/>
  <c r="J257"/>
  <c r="J272"/>
  <c r="J276"/>
  <c r="J256"/>
  <c r="J285"/>
  <c r="J288"/>
  <c r="J282"/>
  <c r="J263"/>
  <c r="J210"/>
  <c r="J269"/>
  <c r="J281"/>
  <c r="J271"/>
  <c r="J262"/>
  <c r="J287"/>
  <c r="J284"/>
  <c r="J265"/>
  <c r="J268"/>
  <c r="G1053" l="1"/>
  <c r="D445" i="3" s="1"/>
  <c r="J244" i="4"/>
  <c r="J239"/>
  <c r="G1000"/>
  <c r="D419" i="3" s="1"/>
  <c r="G1554" i="4"/>
  <c r="D689" i="3" s="1"/>
  <c r="G319" i="4"/>
  <c r="G318" s="1"/>
  <c r="G928"/>
  <c r="D384" i="3" s="1"/>
  <c r="G915" i="4"/>
  <c r="D377" i="3" s="1"/>
  <c r="G244" i="4"/>
  <c r="J248"/>
  <c r="G231"/>
  <c r="G248"/>
  <c r="J218"/>
  <c r="G239"/>
  <c r="G218"/>
  <c r="J231"/>
  <c r="J270"/>
  <c r="G56" i="3" s="1"/>
  <c r="G53" i="4"/>
  <c r="J204"/>
  <c r="G81"/>
  <c r="J60"/>
  <c r="G204"/>
  <c r="J196"/>
  <c r="J195" s="1"/>
  <c r="G196"/>
  <c r="J122"/>
  <c r="G135"/>
  <c r="J135"/>
  <c r="J101"/>
  <c r="G101"/>
  <c r="G122"/>
  <c r="G94"/>
  <c r="G60"/>
  <c r="J94"/>
  <c r="J81"/>
  <c r="J53"/>
  <c r="G40"/>
  <c r="J19"/>
  <c r="J40"/>
  <c r="G19"/>
  <c r="J264"/>
  <c r="G54" i="3" s="1"/>
  <c r="J261" i="4"/>
  <c r="G261"/>
  <c r="G49" i="3"/>
  <c r="G348"/>
  <c r="G258" i="4"/>
  <c r="G931"/>
  <c r="D164" i="3"/>
  <c r="G231"/>
  <c r="D300"/>
  <c r="D345"/>
  <c r="D346" s="1"/>
  <c r="G131"/>
  <c r="G132" s="1"/>
  <c r="J341" i="4"/>
  <c r="G90" i="3" s="1"/>
  <c r="G234"/>
  <c r="D236"/>
  <c r="D340"/>
  <c r="J344" i="4"/>
  <c r="G91" i="3" s="1"/>
  <c r="D122"/>
  <c r="J315" i="4"/>
  <c r="G87" i="3" s="1"/>
  <c r="D123"/>
  <c r="D135"/>
  <c r="J1104" i="4"/>
  <c r="G477" i="3" s="1"/>
  <c r="D371"/>
  <c r="G987" i="4"/>
  <c r="D412" i="3" s="1"/>
  <c r="G1698" i="4"/>
  <c r="D759" i="3" s="1"/>
  <c r="G371"/>
  <c r="G1098" i="4"/>
  <c r="D475" i="3" s="1"/>
  <c r="D203"/>
  <c r="D204" s="1"/>
  <c r="G1122" i="4"/>
  <c r="D479" i="3" s="1"/>
  <c r="G984" i="4"/>
  <c r="D411" i="3" s="1"/>
  <c r="J1557" i="4"/>
  <c r="G690" i="3" s="1"/>
  <c r="J1173" i="4"/>
  <c r="G511" i="3" s="1"/>
  <c r="G1242" i="4"/>
  <c r="D545" i="3" s="1"/>
  <c r="J1435" i="4"/>
  <c r="G630" i="3" s="1"/>
  <c r="J1075" i="4"/>
  <c r="J1896"/>
  <c r="G862" i="3" s="1"/>
  <c r="J1504" i="4"/>
  <c r="G664" i="3" s="1"/>
  <c r="J1720" i="4"/>
  <c r="G769" i="3" s="1"/>
  <c r="J1098" i="4"/>
  <c r="G475" i="3" s="1"/>
  <c r="J931" i="4"/>
  <c r="G385" i="3" s="1"/>
  <c r="J1144" i="4"/>
  <c r="G489" i="3" s="1"/>
  <c r="J1141" i="4"/>
  <c r="G488" i="3" s="1"/>
  <c r="J1856" i="4"/>
  <c r="J1859" s="1"/>
  <c r="J2000"/>
  <c r="J2003" s="1"/>
  <c r="J1363"/>
  <c r="G595" i="3" s="1"/>
  <c r="J906" i="4"/>
  <c r="G374" i="3" s="1"/>
  <c r="G909" i="4"/>
  <c r="D375" i="3" s="1"/>
  <c r="J957" i="4"/>
  <c r="G406" i="3" s="1"/>
  <c r="J1101" i="4"/>
  <c r="G476" i="3" s="1"/>
  <c r="J978" i="4"/>
  <c r="G409" i="3" s="1"/>
  <c r="J1419" i="4"/>
  <c r="G622" i="3" s="1"/>
  <c r="J1461" i="4"/>
  <c r="G651" i="3" s="1"/>
  <c r="G1602" i="4"/>
  <c r="D720" i="3" s="1"/>
  <c r="J1208" i="4"/>
  <c r="G520" i="3" s="1"/>
  <c r="G521" s="1"/>
  <c r="J1219" i="4"/>
  <c r="G525" i="3" s="1"/>
  <c r="J1026" i="4"/>
  <c r="G440" i="3" s="1"/>
  <c r="J1197" i="4"/>
  <c r="G515" i="3" s="1"/>
  <c r="J1064" i="4"/>
  <c r="G450" i="3" s="1"/>
  <c r="G451" s="1"/>
  <c r="J1291" i="4"/>
  <c r="G560" i="3" s="1"/>
  <c r="J1632" i="4"/>
  <c r="G726" i="3" s="1"/>
  <c r="J1677" i="4"/>
  <c r="G756" i="3" s="1"/>
  <c r="G1203" i="4"/>
  <c r="D517" i="3" s="1"/>
  <c r="J1965" i="4"/>
  <c r="G1461"/>
  <c r="D651" i="3" s="1"/>
  <c r="G906" i="4"/>
  <c r="D374" i="3" s="1"/>
  <c r="J1285" i="4"/>
  <c r="G558" i="3" s="1"/>
  <c r="J997" i="4"/>
  <c r="G418" i="3" s="1"/>
  <c r="J1723" i="4"/>
  <c r="G770" i="3" s="1"/>
  <c r="J1410" i="4"/>
  <c r="G899" i="3" s="1"/>
  <c r="J1392" i="4"/>
  <c r="G617" i="3" s="1"/>
  <c r="J1056" i="4"/>
  <c r="G446" i="3" s="1"/>
  <c r="G1170" i="4"/>
  <c r="D510" i="3" s="1"/>
  <c r="J1360" i="4"/>
  <c r="G594" i="3" s="1"/>
  <c r="J1216" i="4"/>
  <c r="G524" i="3" s="1"/>
  <c r="J1432" i="4"/>
  <c r="G629" i="3" s="1"/>
  <c r="J1194" i="4"/>
  <c r="G514" i="3" s="1"/>
  <c r="J1712" i="4"/>
  <c r="J1715" s="1"/>
  <c r="J360"/>
  <c r="G99" i="3" s="1"/>
  <c r="J1050" i="4"/>
  <c r="G444" i="3" s="1"/>
  <c r="J1245" i="4"/>
  <c r="G546" i="3" s="1"/>
  <c r="G1928" i="4"/>
  <c r="G1931" s="1"/>
  <c r="J992"/>
  <c r="G415" i="3" s="1"/>
  <c r="G416" s="1"/>
  <c r="J1464" i="4"/>
  <c r="G652" i="3" s="1"/>
  <c r="J1280" i="4"/>
  <c r="J1283" s="1"/>
  <c r="J1917"/>
  <c r="G865" i="3" s="1"/>
  <c r="G1059" i="4"/>
  <c r="D447" i="3" s="1"/>
  <c r="G1992" i="4"/>
  <c r="G1056"/>
  <c r="D446" i="3" s="1"/>
  <c r="G1269" i="4"/>
  <c r="D550" i="3" s="1"/>
  <c r="J1920" i="4"/>
  <c r="G866" i="3" s="1"/>
  <c r="G1568" i="4"/>
  <c r="G1571" s="1"/>
  <c r="D372" i="3"/>
  <c r="G1701" i="4"/>
  <c r="D760" i="3" s="1"/>
  <c r="G1266" i="4"/>
  <c r="D549" i="3" s="1"/>
  <c r="G1291" i="4"/>
  <c r="D560" i="3" s="1"/>
  <c r="G1821" i="4"/>
  <c r="J1424"/>
  <c r="J1427" s="1"/>
  <c r="J1648"/>
  <c r="G734" i="3" s="1"/>
  <c r="J1429" i="4"/>
  <c r="G908" i="3" s="1"/>
  <c r="G1795" i="4"/>
  <c r="D805" i="3" s="1"/>
  <c r="J1288" i="4"/>
  <c r="G559" i="3" s="1"/>
  <c r="J1501" i="4"/>
  <c r="G663" i="3" s="1"/>
  <c r="J928" i="4"/>
  <c r="G384" i="3" s="1"/>
  <c r="J1645" i="4"/>
  <c r="G733" i="3" s="1"/>
  <c r="J1792" i="4"/>
  <c r="G804" i="3" s="1"/>
  <c r="J1344" i="4"/>
  <c r="G831" i="3" s="1"/>
  <c r="J1317" i="4"/>
  <c r="G581" i="3" s="1"/>
  <c r="J909" i="4"/>
  <c r="G375" i="3" s="1"/>
  <c r="G1576" i="4"/>
  <c r="D699" i="3" s="1"/>
  <c r="G1392" i="4"/>
  <c r="D897" i="3" s="1"/>
  <c r="G978" i="4"/>
  <c r="D409" i="3" s="1"/>
  <c r="J1003" i="4"/>
  <c r="G420" i="3" s="1"/>
  <c r="J1072" i="4"/>
  <c r="G454" i="3" s="1"/>
  <c r="J1533" i="4"/>
  <c r="G686" i="3" s="1"/>
  <c r="J1626" i="4"/>
  <c r="G724" i="3" s="1"/>
  <c r="J1773" i="4"/>
  <c r="G795" i="3" s="1"/>
  <c r="J1554" i="4"/>
  <c r="G689" i="3" s="1"/>
  <c r="G1216" i="4"/>
  <c r="D524" i="3" s="1"/>
  <c r="G1573" i="4"/>
  <c r="D698" i="3" s="1"/>
  <c r="G1677" i="4"/>
  <c r="D756" i="3" s="1"/>
  <c r="J1573" i="4"/>
  <c r="G698" i="3" s="1"/>
  <c r="G342"/>
  <c r="D230"/>
  <c r="J1213" i="4"/>
  <c r="G523" i="3" s="1"/>
  <c r="J2011" i="4"/>
  <c r="J987"/>
  <c r="G412" i="3" s="1"/>
  <c r="J1320" i="4"/>
  <c r="G582" i="3" s="1"/>
  <c r="G1386" i="4"/>
  <c r="D615" i="3" s="1"/>
  <c r="J1059" i="4"/>
  <c r="G447" i="3" s="1"/>
  <c r="J1352" i="4"/>
  <c r="G590" i="3" s="1"/>
  <c r="G591" s="1"/>
  <c r="J1845" i="4"/>
  <c r="G1504"/>
  <c r="D664" i="3" s="1"/>
  <c r="D370"/>
  <c r="G1674" i="4"/>
  <c r="D755" i="3" s="1"/>
  <c r="J1053" i="4"/>
  <c r="G445" i="3" s="1"/>
  <c r="J1568" i="4"/>
  <c r="J1571" s="1"/>
  <c r="J1338"/>
  <c r="G829" i="3" s="1"/>
  <c r="J1413" i="4"/>
  <c r="G620" i="3" s="1"/>
  <c r="J1698" i="4"/>
  <c r="G759" i="3" s="1"/>
  <c r="J1200" i="4"/>
  <c r="G516" i="3" s="1"/>
  <c r="G1563" i="4"/>
  <c r="D692" i="3" s="1"/>
  <c r="J1458" i="4"/>
  <c r="G650" i="3" s="1"/>
  <c r="G372"/>
  <c r="J1000" i="4"/>
  <c r="G419" i="3" s="1"/>
  <c r="J1795" i="4"/>
  <c r="G805" i="3" s="1"/>
  <c r="J2008" i="4"/>
  <c r="J1496"/>
  <c r="J1499" s="1"/>
  <c r="J1861"/>
  <c r="J1928"/>
  <c r="J1931" s="1"/>
  <c r="J1136"/>
  <c r="G485" i="3" s="1"/>
  <c r="G486" s="1"/>
  <c r="J1275" i="4"/>
  <c r="G552" i="3" s="1"/>
  <c r="J1605" i="4"/>
  <c r="G721" i="3" s="1"/>
  <c r="G1720" i="4"/>
  <c r="D769" i="3" s="1"/>
  <c r="G1770" i="4"/>
  <c r="D794" i="3" s="1"/>
  <c r="G1341" i="4"/>
  <c r="D585" i="3" s="1"/>
  <c r="G1723" i="4"/>
  <c r="D770" i="3" s="1"/>
  <c r="J1640" i="4"/>
  <c r="J1643" s="1"/>
  <c r="J1147"/>
  <c r="G490" i="3" s="1"/>
  <c r="J925" i="4"/>
  <c r="G383" i="3" s="1"/>
  <c r="J1717" i="4"/>
  <c r="G768" i="3" s="1"/>
  <c r="J1122" i="4"/>
  <c r="G479" i="3" s="1"/>
  <c r="J1029" i="4"/>
  <c r="G441" i="3" s="1"/>
  <c r="J1770" i="4"/>
  <c r="G794" i="3" s="1"/>
  <c r="J1701" i="4"/>
  <c r="G760" i="3" s="1"/>
  <c r="J912" i="4"/>
  <c r="G376" i="3" s="1"/>
  <c r="G992" i="4"/>
  <c r="G995" s="1"/>
  <c r="J1032"/>
  <c r="G442" i="3" s="1"/>
  <c r="G1707" i="4"/>
  <c r="D762" i="3" s="1"/>
  <c r="G1962" i="4"/>
  <c r="G954"/>
  <c r="D405" i="3" s="1"/>
  <c r="J1842" i="4"/>
  <c r="J1579"/>
  <c r="J1602"/>
  <c r="G720" i="3" s="1"/>
  <c r="J1789" i="4"/>
  <c r="G803" i="3" s="1"/>
  <c r="J1939" i="4"/>
  <c r="G875" i="3" s="1"/>
  <c r="J1933" i="4"/>
  <c r="G873" i="3" s="1"/>
  <c r="J981" i="4"/>
  <c r="G410" i="3" s="1"/>
  <c r="J984" i="4"/>
  <c r="G411" i="3" s="1"/>
  <c r="J1851" i="4"/>
  <c r="J1784"/>
  <c r="J1787" s="1"/>
  <c r="G1213"/>
  <c r="D523" i="3" s="1"/>
  <c r="J915" i="4"/>
  <c r="G377" i="3" s="1"/>
  <c r="G1200" i="4"/>
  <c r="D516" i="3" s="1"/>
  <c r="G1032" i="4"/>
  <c r="D442" i="3" s="1"/>
  <c r="G912" i="4"/>
  <c r="D376" i="3" s="1"/>
  <c r="J1746" i="4"/>
  <c r="G790" i="3" s="1"/>
  <c r="G1219" i="4"/>
  <c r="D525" i="3" s="1"/>
  <c r="J1651" i="4"/>
  <c r="G735" i="3" s="1"/>
  <c r="J1867" i="4"/>
  <c r="J2005"/>
  <c r="J1563"/>
  <c r="G692" i="3" s="1"/>
  <c r="G1432" i="4"/>
  <c r="D629" i="3" s="1"/>
  <c r="G1579" i="4"/>
  <c r="D700" i="3" s="1"/>
  <c r="G1896" i="4"/>
  <c r="D862" i="3" s="1"/>
  <c r="G1632" i="4"/>
  <c r="D726" i="3" s="1"/>
  <c r="J920" i="4"/>
  <c r="J923" s="1"/>
  <c r="J1357"/>
  <c r="G838" i="3" s="1"/>
  <c r="J1936" i="4"/>
  <c r="G874" i="3" s="1"/>
  <c r="J1864" i="4"/>
  <c r="J1347"/>
  <c r="G587" i="3" s="1"/>
  <c r="J1176" i="4"/>
  <c r="G512" i="3" s="1"/>
  <c r="J1416" i="4"/>
  <c r="G621" i="3" s="1"/>
  <c r="J1269" i="4"/>
  <c r="G550" i="3" s="1"/>
  <c r="J1752" i="4"/>
  <c r="G792" i="3" s="1"/>
  <c r="J1776" i="4"/>
  <c r="G796" i="3" s="1"/>
  <c r="G1717" i="4"/>
  <c r="D768" i="3" s="1"/>
  <c r="G1989" i="4"/>
  <c r="G1965"/>
  <c r="J1893"/>
  <c r="G861" i="3" s="1"/>
  <c r="J1507" i="4"/>
  <c r="J1576"/>
  <c r="G699" i="3" s="1"/>
  <c r="J1069" i="4"/>
  <c r="G453" i="3" s="1"/>
  <c r="J1248" i="4"/>
  <c r="G547" i="3" s="1"/>
  <c r="J1266" i="4"/>
  <c r="G549" i="3" s="1"/>
  <c r="J1272" i="4"/>
  <c r="G551" i="3" s="1"/>
  <c r="J1560" i="4"/>
  <c r="G691" i="3" s="1"/>
  <c r="J1680" i="4"/>
  <c r="G757" i="3" s="1"/>
  <c r="J1824" i="4"/>
  <c r="G1413"/>
  <c r="D900" i="3" s="1"/>
  <c r="G960" i="4"/>
  <c r="D407" i="3" s="1"/>
  <c r="G1416" i="4"/>
  <c r="D621" i="3" s="1"/>
  <c r="G1496" i="4"/>
  <c r="G1499" s="1"/>
  <c r="G1773"/>
  <c r="D795" i="3" s="1"/>
  <c r="G997" i="4"/>
  <c r="D418" i="3" s="1"/>
  <c r="G1280" i="4"/>
  <c r="G1283" s="1"/>
  <c r="G1410"/>
  <c r="D619" i="3" s="1"/>
  <c r="G2000" i="4"/>
  <c r="G2003" s="1"/>
  <c r="G1629"/>
  <c r="D725" i="3" s="1"/>
  <c r="G1352" i="4"/>
  <c r="G1355" s="1"/>
  <c r="G1605"/>
  <c r="D721" i="3" s="1"/>
  <c r="G2008" i="4"/>
  <c r="G1893"/>
  <c r="D861" i="3" s="1"/>
  <c r="G1194" i="4"/>
  <c r="D514" i="3" s="1"/>
  <c r="G1824" i="4"/>
  <c r="G1899"/>
  <c r="D863" i="3" s="1"/>
  <c r="J1170" i="4"/>
  <c r="G510" i="3" s="1"/>
  <c r="G1458" i="4"/>
  <c r="D650" i="3" s="1"/>
  <c r="G1314" i="4"/>
  <c r="D825" i="3" s="1"/>
  <c r="J1756" i="4"/>
  <c r="J1755" s="1"/>
  <c r="G793" i="3" s="1"/>
  <c r="I1755" i="4"/>
  <c r="G1035"/>
  <c r="D443" i="3" s="1"/>
  <c r="J1468" i="4"/>
  <c r="J1467" s="1"/>
  <c r="G653" i="3" s="1"/>
  <c r="I1467" i="4"/>
  <c r="E478" i="3"/>
  <c r="E483" s="1"/>
  <c r="E492" s="1"/>
  <c r="H1134" i="4"/>
  <c r="J1612"/>
  <c r="J1611" s="1"/>
  <c r="G723" i="3" s="1"/>
  <c r="I1611" i="4"/>
  <c r="H1278"/>
  <c r="E548" i="3"/>
  <c r="E553" s="1"/>
  <c r="E562" s="1"/>
  <c r="H1566" i="4"/>
  <c r="E688" i="3"/>
  <c r="E693" s="1"/>
  <c r="E702" s="1"/>
  <c r="J1900" i="4"/>
  <c r="J1899" s="1"/>
  <c r="G863" i="3" s="1"/>
  <c r="I1899" i="4"/>
  <c r="J1180"/>
  <c r="J1179" s="1"/>
  <c r="G513" i="3" s="1"/>
  <c r="I1179" i="4"/>
  <c r="G1827"/>
  <c r="G1107"/>
  <c r="D478" i="3" s="1"/>
  <c r="J1674" i="4"/>
  <c r="G455" i="3"/>
  <c r="J1242" i="4"/>
  <c r="J1389"/>
  <c r="J1341"/>
  <c r="J1629"/>
  <c r="G725" i="3" s="1"/>
  <c r="D790"/>
  <c r="J1986" i="4"/>
  <c r="G1995"/>
  <c r="G1003"/>
  <c r="G920"/>
  <c r="G925"/>
  <c r="D383" i="3" s="1"/>
  <c r="G1147" i="4"/>
  <c r="G1360"/>
  <c r="G1069"/>
  <c r="D453" i="3" s="1"/>
  <c r="J1128" i="4"/>
  <c r="G481" i="3" s="1"/>
  <c r="G1208" i="4"/>
  <c r="G1288"/>
  <c r="D559" i="3" s="1"/>
  <c r="J1485" i="4"/>
  <c r="G655" i="3" s="1"/>
  <c r="G1536" i="4"/>
  <c r="D687" i="3" s="1"/>
  <c r="G957" i="4"/>
  <c r="D406" i="3" s="1"/>
  <c r="G1072" i="4"/>
  <c r="D454" i="3" s="1"/>
  <c r="J1131" i="4"/>
  <c r="G482" i="3" s="1"/>
  <c r="G1317" i="4"/>
  <c r="G1435"/>
  <c r="G1651"/>
  <c r="D735" i="3" s="1"/>
  <c r="G1680" i="4"/>
  <c r="D757" i="3" s="1"/>
  <c r="G1867" i="4"/>
  <c r="G1861"/>
  <c r="J1890"/>
  <c r="G2005"/>
  <c r="G1914"/>
  <c r="D864" i="3" s="1"/>
  <c r="G1749" i="4"/>
  <c r="D791" i="3" s="1"/>
  <c r="G1272" i="4"/>
  <c r="D551" i="3" s="1"/>
  <c r="G1363" i="4"/>
  <c r="G1784"/>
  <c r="G1936"/>
  <c r="D874" i="3" s="1"/>
  <c r="G1344" i="4"/>
  <c r="G1845"/>
  <c r="G1050"/>
  <c r="D444" i="3" s="1"/>
  <c r="G1104" i="4"/>
  <c r="D477" i="3" s="1"/>
  <c r="G1131" i="4"/>
  <c r="D482" i="3" s="1"/>
  <c r="G1464" i="4"/>
  <c r="D652" i="3" s="1"/>
  <c r="G1482" i="4"/>
  <c r="D654" i="3" s="1"/>
  <c r="G1635" i="4"/>
  <c r="D727" i="3" s="1"/>
  <c r="H990" i="4"/>
  <c r="E408" i="3"/>
  <c r="E413" s="1"/>
  <c r="E422" s="1"/>
  <c r="J1684" i="4"/>
  <c r="J1683" s="1"/>
  <c r="G758" i="3" s="1"/>
  <c r="I1683" i="4"/>
  <c r="G1755"/>
  <c r="D793" i="3" s="1"/>
  <c r="J1036" i="4"/>
  <c r="J1035" s="1"/>
  <c r="G443" i="3" s="1"/>
  <c r="I1035" i="4"/>
  <c r="J1324"/>
  <c r="J1323" s="1"/>
  <c r="I1323"/>
  <c r="H918"/>
  <c r="E373" i="3"/>
  <c r="E378" s="1"/>
  <c r="E387" s="1"/>
  <c r="J1108" i="4"/>
  <c r="J1107" s="1"/>
  <c r="I1107"/>
  <c r="J1252"/>
  <c r="J1251" s="1"/>
  <c r="G548" i="3" s="1"/>
  <c r="I1251" i="4"/>
  <c r="J1540"/>
  <c r="J1539" s="1"/>
  <c r="G688" i="3" s="1"/>
  <c r="I1539" i="4"/>
  <c r="H1422"/>
  <c r="E618" i="3"/>
  <c r="E623" s="1"/>
  <c r="E632" s="1"/>
  <c r="E898"/>
  <c r="E903" s="1"/>
  <c r="E912" s="1"/>
  <c r="J1972" i="4"/>
  <c r="J1971" s="1"/>
  <c r="I1971"/>
  <c r="I1998" s="1"/>
  <c r="D373" i="3"/>
  <c r="J1818" i="4"/>
  <c r="J1314"/>
  <c r="J1635"/>
  <c r="G727" i="3" s="1"/>
  <c r="J1125" i="4"/>
  <c r="G480" i="3" s="1"/>
  <c r="J1488" i="4"/>
  <c r="G656" i="3" s="1"/>
  <c r="J1989" i="4"/>
  <c r="G1842"/>
  <c r="G1923"/>
  <c r="D867" i="3" s="1"/>
  <c r="G1424" i="4"/>
  <c r="G1557"/>
  <c r="D690" i="3" s="1"/>
  <c r="G1792" i="4"/>
  <c r="D804" i="3" s="1"/>
  <c r="G1176" i="4"/>
  <c r="D512" i="3" s="1"/>
  <c r="G1173" i="4"/>
  <c r="D511" i="3" s="1"/>
  <c r="G1485" i="4"/>
  <c r="D655" i="3" s="1"/>
  <c r="G1626" i="4"/>
  <c r="D724" i="3" s="1"/>
  <c r="J964" i="4"/>
  <c r="J963" s="1"/>
  <c r="G408" i="3" s="1"/>
  <c r="I963" i="4"/>
  <c r="G1611"/>
  <c r="D723" i="3" s="1"/>
  <c r="G1683" i="4"/>
  <c r="D758" i="3" s="1"/>
  <c r="G373"/>
  <c r="G1251" i="4"/>
  <c r="D548" i="3" s="1"/>
  <c r="G1323" i="4"/>
  <c r="G1467"/>
  <c r="D653" i="3" s="1"/>
  <c r="G1971" i="4"/>
  <c r="G1395"/>
  <c r="G1179"/>
  <c r="D513" i="3" s="1"/>
  <c r="J1396" i="4"/>
  <c r="J1395" s="1"/>
  <c r="I1395"/>
  <c r="G1539"/>
  <c r="D688" i="3" s="1"/>
  <c r="G963" i="4"/>
  <c r="D408" i="3" s="1"/>
  <c r="J1962" i="4"/>
  <c r="J960"/>
  <c r="G407" i="3" s="1"/>
  <c r="J1749" i="4"/>
  <c r="G791" i="3" s="1"/>
  <c r="J1536" i="4"/>
  <c r="G687" i="3" s="1"/>
  <c r="J1968" i="4"/>
  <c r="D385" i="3"/>
  <c r="J1482" i="4"/>
  <c r="G654" i="3" s="1"/>
  <c r="G1429" i="4"/>
  <c r="D587" i="3"/>
  <c r="D832"/>
  <c r="J954" i="4"/>
  <c r="G1101"/>
  <c r="D476" i="3" s="1"/>
  <c r="J1491" i="4"/>
  <c r="G657" i="3" s="1"/>
  <c r="G1507" i="4"/>
  <c r="G1530"/>
  <c r="J1914"/>
  <c r="G864" i="3" s="1"/>
  <c r="G2011" i="4"/>
  <c r="G1064"/>
  <c r="G1141"/>
  <c r="D488" i="3" s="1"/>
  <c r="G1285" i="4"/>
  <c r="D558" i="3" s="1"/>
  <c r="G1501" i="4"/>
  <c r="D663" i="3" s="1"/>
  <c r="G1560" i="4"/>
  <c r="D691" i="3" s="1"/>
  <c r="G1640" i="4"/>
  <c r="G1712"/>
  <c r="G1856"/>
  <c r="G1859" s="1"/>
  <c r="J1995"/>
  <c r="G1779"/>
  <c r="D797" i="3" s="1"/>
  <c r="G1920" i="4"/>
  <c r="D866" i="3" s="1"/>
  <c r="G1704" i="4"/>
  <c r="D761" i="3" s="1"/>
  <c r="G1357" i="4"/>
  <c r="G1645"/>
  <c r="D733" i="3" s="1"/>
  <c r="G1789" i="4"/>
  <c r="J1923"/>
  <c r="G867" i="3" s="1"/>
  <c r="G1338" i="4"/>
  <c r="G1851"/>
  <c r="G1197"/>
  <c r="D515" i="3" s="1"/>
  <c r="G1029" i="4"/>
  <c r="D441" i="3" s="1"/>
  <c r="G1125" i="4"/>
  <c r="D480" i="3" s="1"/>
  <c r="G1419" i="4"/>
  <c r="G1488"/>
  <c r="D656" i="3" s="1"/>
  <c r="G1776" i="4"/>
  <c r="D796" i="3" s="1"/>
  <c r="J1828" i="4"/>
  <c r="J1827" s="1"/>
  <c r="I1827"/>
  <c r="I1854" s="1"/>
  <c r="E793" i="3"/>
  <c r="E798" s="1"/>
  <c r="E807" s="1"/>
  <c r="H1782" i="4"/>
  <c r="H1494"/>
  <c r="E653" i="3"/>
  <c r="E658" s="1"/>
  <c r="E667" s="1"/>
  <c r="E723"/>
  <c r="E728" s="1"/>
  <c r="E737" s="1"/>
  <c r="H1638" i="4"/>
  <c r="E863" i="3"/>
  <c r="E868" s="1"/>
  <c r="E877" s="1"/>
  <c r="H1926" i="4"/>
  <c r="H1206"/>
  <c r="E513" i="3"/>
  <c r="E518" s="1"/>
  <c r="E527" s="1"/>
  <c r="J1386" i="4"/>
  <c r="J1779"/>
  <c r="G797" i="3" s="1"/>
  <c r="G1026" i="4"/>
  <c r="G1320"/>
  <c r="G1890"/>
  <c r="G1075"/>
  <c r="G1136"/>
  <c r="G1245"/>
  <c r="D546" i="3" s="1"/>
  <c r="J1530" i="4"/>
  <c r="G1608"/>
  <c r="D722" i="3" s="1"/>
  <c r="G1752" i="4"/>
  <c r="D792" i="3" s="1"/>
  <c r="D875"/>
  <c r="G1968" i="4"/>
  <c r="G1917"/>
  <c r="D865" i="3" s="1"/>
  <c r="G1389" i="4"/>
  <c r="G1533"/>
  <c r="D686" i="3" s="1"/>
  <c r="G1648" i="4"/>
  <c r="G1864"/>
  <c r="J1992"/>
  <c r="G1986"/>
  <c r="G1848"/>
  <c r="G981"/>
  <c r="D410" i="3" s="1"/>
  <c r="G1128" i="4"/>
  <c r="D481" i="3" s="1"/>
  <c r="G1275" i="4"/>
  <c r="D552" i="3" s="1"/>
  <c r="G1491" i="4"/>
  <c r="D657" i="3" s="1"/>
  <c r="E758"/>
  <c r="E763" s="1"/>
  <c r="E772" s="1"/>
  <c r="H1710" i="4"/>
  <c r="H1062"/>
  <c r="E443" i="3"/>
  <c r="E448" s="1"/>
  <c r="E457" s="1"/>
  <c r="H1350" i="4"/>
  <c r="E583" i="3"/>
  <c r="E588" s="1"/>
  <c r="E597" s="1"/>
  <c r="E828"/>
  <c r="E833" s="1"/>
  <c r="E842" s="1"/>
  <c r="G171"/>
  <c r="J275" i="4"/>
  <c r="G59" i="3" s="1"/>
  <c r="G60" s="1"/>
  <c r="J255" i="4"/>
  <c r="G51" i="3" s="1"/>
  <c r="C93"/>
  <c r="C102" s="1"/>
  <c r="D304"/>
  <c r="G194"/>
  <c r="G242"/>
  <c r="G236"/>
  <c r="G306"/>
  <c r="D337"/>
  <c r="G347" i="4"/>
  <c r="D92" i="3" s="1"/>
  <c r="D305"/>
  <c r="G312" i="4"/>
  <c r="D86" i="3" s="1"/>
  <c r="G206"/>
  <c r="G243"/>
  <c r="G313"/>
  <c r="G345"/>
  <c r="G346" s="1"/>
  <c r="E343"/>
  <c r="E352" s="1"/>
  <c r="E303"/>
  <c r="E308" s="1"/>
  <c r="E317" s="1"/>
  <c r="G275"/>
  <c r="G276" s="1"/>
  <c r="E268"/>
  <c r="E273" s="1"/>
  <c r="E282" s="1"/>
  <c r="E232"/>
  <c r="E237" s="1"/>
  <c r="E246" s="1"/>
  <c r="F196"/>
  <c r="F201" s="1"/>
  <c r="F210" s="1"/>
  <c r="E196"/>
  <c r="E201" s="1"/>
  <c r="E210" s="1"/>
  <c r="E160"/>
  <c r="E165" s="1"/>
  <c r="E174" s="1"/>
  <c r="F160"/>
  <c r="F165" s="1"/>
  <c r="F174" s="1"/>
  <c r="E124"/>
  <c r="E129" s="1"/>
  <c r="E138" s="1"/>
  <c r="H350" i="4"/>
  <c r="E88" i="3"/>
  <c r="G315" i="4"/>
  <c r="D87" i="3" s="1"/>
  <c r="G267" i="4"/>
  <c r="D55" i="3" s="1"/>
  <c r="F52"/>
  <c r="G230"/>
  <c r="G122"/>
  <c r="G172"/>
  <c r="G162"/>
  <c r="G267"/>
  <c r="D307"/>
  <c r="D313"/>
  <c r="D306"/>
  <c r="J258" i="4"/>
  <c r="G305" i="3"/>
  <c r="G163"/>
  <c r="G193"/>
  <c r="G158"/>
  <c r="G315"/>
  <c r="G350"/>
  <c r="G337"/>
  <c r="G265"/>
  <c r="G339"/>
  <c r="J267" i="4"/>
  <c r="G55" i="3" s="1"/>
  <c r="J309" i="4"/>
  <c r="G85" i="3" s="1"/>
  <c r="G197"/>
  <c r="G164"/>
  <c r="G349"/>
  <c r="J280" i="4"/>
  <c r="G62" i="3" s="1"/>
  <c r="G135"/>
  <c r="G136"/>
  <c r="D126"/>
  <c r="G200"/>
  <c r="D195"/>
  <c r="G278"/>
  <c r="D302"/>
  <c r="D315"/>
  <c r="D342"/>
  <c r="G270" i="4"/>
  <c r="D56" i="3" s="1"/>
  <c r="G280" i="4"/>
  <c r="D62" i="3" s="1"/>
  <c r="J352" i="4"/>
  <c r="D127" i="3"/>
  <c r="G352" i="4"/>
  <c r="G208" i="3"/>
  <c r="D338"/>
  <c r="G341" i="4"/>
  <c r="D90" i="3" s="1"/>
  <c r="D136"/>
  <c r="D206"/>
  <c r="D199"/>
  <c r="D279"/>
  <c r="D350"/>
  <c r="D235"/>
  <c r="G272"/>
  <c r="D314"/>
  <c r="D349"/>
  <c r="D336"/>
  <c r="D269"/>
  <c r="D301"/>
  <c r="G338"/>
  <c r="F338"/>
  <c r="G229"/>
  <c r="G300"/>
  <c r="D278"/>
  <c r="D348"/>
  <c r="D231"/>
  <c r="G304"/>
  <c r="D280"/>
  <c r="D341"/>
  <c r="D272"/>
  <c r="G303"/>
  <c r="G335"/>
  <c r="D242"/>
  <c r="D303"/>
  <c r="D121"/>
  <c r="G309" i="4"/>
  <c r="D85" i="3" s="1"/>
  <c r="D128"/>
  <c r="G195"/>
  <c r="D193"/>
  <c r="G235"/>
  <c r="G301"/>
  <c r="D233"/>
  <c r="D234"/>
  <c r="D244"/>
  <c r="G269"/>
  <c r="D270"/>
  <c r="D267"/>
  <c r="G268"/>
  <c r="J357" i="4"/>
  <c r="G98" i="3" s="1"/>
  <c r="G233"/>
  <c r="G266"/>
  <c r="G302"/>
  <c r="G336"/>
  <c r="G341"/>
  <c r="G271"/>
  <c r="G307"/>
  <c r="D339"/>
  <c r="D243"/>
  <c r="G270"/>
  <c r="D335"/>
  <c r="D271"/>
  <c r="G344" i="4"/>
  <c r="D91" i="3" s="1"/>
  <c r="G170"/>
  <c r="G161"/>
  <c r="D163"/>
  <c r="D171"/>
  <c r="D172"/>
  <c r="D170"/>
  <c r="D208"/>
  <c r="D158"/>
  <c r="D198"/>
  <c r="D159"/>
  <c r="G363" i="4"/>
  <c r="D100" i="3" s="1"/>
  <c r="G198"/>
  <c r="G157"/>
  <c r="G199"/>
  <c r="D157"/>
  <c r="G159"/>
  <c r="D194"/>
  <c r="D161"/>
  <c r="D207"/>
  <c r="D197"/>
  <c r="D162"/>
  <c r="D160"/>
  <c r="D196"/>
  <c r="D200"/>
  <c r="G357" i="4"/>
  <c r="D98" i="3" s="1"/>
  <c r="G360" i="4"/>
  <c r="D99" i="3" s="1"/>
  <c r="G128"/>
  <c r="J283" i="4"/>
  <c r="G63" i="3" s="1"/>
  <c r="J320" i="4"/>
  <c r="J319" s="1"/>
  <c r="J318" s="1"/>
  <c r="J363"/>
  <c r="G100" i="3" s="1"/>
  <c r="G125"/>
  <c r="G127"/>
  <c r="J312" i="4"/>
  <c r="G86" i="3" s="1"/>
  <c r="G123"/>
  <c r="J338" i="4"/>
  <c r="G89" i="3" s="1"/>
  <c r="G121"/>
  <c r="G126"/>
  <c r="G338" i="4"/>
  <c r="D89" i="3" s="1"/>
  <c r="J347" i="4"/>
  <c r="G92" i="3" s="1"/>
  <c r="D125"/>
  <c r="D88"/>
  <c r="D124"/>
  <c r="G283" i="4"/>
  <c r="D63" i="3" s="1"/>
  <c r="D52"/>
  <c r="J286" i="4"/>
  <c r="G64" i="3" s="1"/>
  <c r="G275" i="4"/>
  <c r="D53" i="3"/>
  <c r="G53"/>
  <c r="G286" i="4"/>
  <c r="D64" i="3" s="1"/>
  <c r="G264" i="4"/>
  <c r="D54" i="3" s="1"/>
  <c r="G255" i="4"/>
  <c r="D51" i="3" s="1"/>
  <c r="A2" i="4"/>
  <c r="C15"/>
  <c r="C16"/>
  <c r="C142"/>
  <c r="E142"/>
  <c r="F142" s="1"/>
  <c r="H142" s="1"/>
  <c r="C143"/>
  <c r="E143"/>
  <c r="F143" s="1"/>
  <c r="C148"/>
  <c r="E148"/>
  <c r="F148" s="1"/>
  <c r="A149"/>
  <c r="C149"/>
  <c r="E149"/>
  <c r="F149" s="1"/>
  <c r="C151"/>
  <c r="E151"/>
  <c r="F151" s="1"/>
  <c r="A152"/>
  <c r="C152"/>
  <c r="E152"/>
  <c r="F152" s="1"/>
  <c r="C154"/>
  <c r="E154"/>
  <c r="F154" s="1"/>
  <c r="H154" s="1"/>
  <c r="A155"/>
  <c r="C155"/>
  <c r="E155"/>
  <c r="F155" s="1"/>
  <c r="C157"/>
  <c r="E157"/>
  <c r="F157" s="1"/>
  <c r="A158"/>
  <c r="C158"/>
  <c r="E158"/>
  <c r="F158" s="1"/>
  <c r="C162"/>
  <c r="E162"/>
  <c r="F162" s="1"/>
  <c r="H162" s="1"/>
  <c r="A163"/>
  <c r="C163"/>
  <c r="E163"/>
  <c r="F163" s="1"/>
  <c r="C167"/>
  <c r="E167"/>
  <c r="F167" s="1"/>
  <c r="H167" s="1"/>
  <c r="A168"/>
  <c r="C168"/>
  <c r="E168"/>
  <c r="F168" s="1"/>
  <c r="H168" s="1"/>
  <c r="C170"/>
  <c r="E170"/>
  <c r="F170" s="1"/>
  <c r="H170" s="1"/>
  <c r="A171"/>
  <c r="C171"/>
  <c r="E171"/>
  <c r="F171" s="1"/>
  <c r="H171" s="1"/>
  <c r="C173"/>
  <c r="E173"/>
  <c r="F173" s="1"/>
  <c r="H173" s="1"/>
  <c r="A174"/>
  <c r="C174"/>
  <c r="E174"/>
  <c r="F174" s="1"/>
  <c r="H174" s="1"/>
  <c r="H4" i="6"/>
  <c r="F4" s="1"/>
  <c r="A6" i="4"/>
  <c r="J209" l="1"/>
  <c r="G50" i="3" s="1"/>
  <c r="G209" i="4"/>
  <c r="D50" i="3" s="1"/>
  <c r="D57" s="1"/>
  <c r="G195" i="4"/>
  <c r="D49" i="3" s="1"/>
  <c r="J100" i="4"/>
  <c r="G100"/>
  <c r="G59"/>
  <c r="J59"/>
  <c r="G18"/>
  <c r="H149"/>
  <c r="J18"/>
  <c r="G232" i="3"/>
  <c r="G237" s="1"/>
  <c r="G160"/>
  <c r="G165" s="1"/>
  <c r="G124"/>
  <c r="G129" s="1"/>
  <c r="G88"/>
  <c r="G93" s="1"/>
  <c r="G52"/>
  <c r="G909"/>
  <c r="G902"/>
  <c r="G910"/>
  <c r="G840"/>
  <c r="J1510" i="4"/>
  <c r="D695" i="3"/>
  <c r="D696" s="1"/>
  <c r="J1211" i="4"/>
  <c r="G491" i="3"/>
  <c r="J1067" i="4"/>
  <c r="G765" i="3"/>
  <c r="G766" s="1"/>
  <c r="G826"/>
  <c r="G827"/>
  <c r="G628"/>
  <c r="G631" s="1"/>
  <c r="J1438" i="4"/>
  <c r="G555" i="3"/>
  <c r="G556" s="1"/>
  <c r="G839"/>
  <c r="G619"/>
  <c r="G897"/>
  <c r="G584"/>
  <c r="J2014" i="4"/>
  <c r="G1582"/>
  <c r="G625" i="3"/>
  <c r="G626" s="1"/>
  <c r="J1294" i="4"/>
  <c r="G835" i="3"/>
  <c r="G836" s="1"/>
  <c r="D835"/>
  <c r="D836" s="1"/>
  <c r="J995" i="4"/>
  <c r="D870" i="3"/>
  <c r="D871" s="1"/>
  <c r="G561"/>
  <c r="J1355" i="4"/>
  <c r="D617" i="3"/>
  <c r="G586"/>
  <c r="G905"/>
  <c r="G906" s="1"/>
  <c r="D899"/>
  <c r="J1139" i="4"/>
  <c r="G900" i="3"/>
  <c r="G421"/>
  <c r="G736"/>
  <c r="G695"/>
  <c r="G696" s="1"/>
  <c r="D895"/>
  <c r="G526"/>
  <c r="G800"/>
  <c r="G801" s="1"/>
  <c r="J1006" i="4"/>
  <c r="J1726"/>
  <c r="D909" i="3"/>
  <c r="J1222" i="4"/>
  <c r="G771" i="3"/>
  <c r="G832"/>
  <c r="J1366" i="4"/>
  <c r="D590" i="3"/>
  <c r="D591" s="1"/>
  <c r="G730"/>
  <c r="G731" s="1"/>
  <c r="G870"/>
  <c r="G871" s="1"/>
  <c r="D555"/>
  <c r="D556" s="1"/>
  <c r="D901"/>
  <c r="D526"/>
  <c r="D701"/>
  <c r="G593"/>
  <c r="G596" s="1"/>
  <c r="J1150" i="4"/>
  <c r="G918"/>
  <c r="D415" i="3"/>
  <c r="D416" s="1"/>
  <c r="J934" i="4"/>
  <c r="J1798"/>
  <c r="G665" i="3"/>
  <c r="G666" s="1"/>
  <c r="G386"/>
  <c r="D620"/>
  <c r="D830"/>
  <c r="J1062" i="4"/>
  <c r="G1222"/>
  <c r="G660" i="3"/>
  <c r="G661" s="1"/>
  <c r="D17" i="9"/>
  <c r="D23" s="1"/>
  <c r="C23"/>
  <c r="E17"/>
  <c r="G456" i="3"/>
  <c r="J1582" i="4"/>
  <c r="J1654"/>
  <c r="G380" i="3"/>
  <c r="G381" s="1"/>
  <c r="D561"/>
  <c r="G700"/>
  <c r="G701" s="1"/>
  <c r="G934" i="4"/>
  <c r="J1078"/>
  <c r="J1854"/>
  <c r="G806" i="3"/>
  <c r="D580"/>
  <c r="G876"/>
  <c r="D876"/>
  <c r="G1726" i="4"/>
  <c r="D660" i="3"/>
  <c r="D661" s="1"/>
  <c r="J1942" i="4"/>
  <c r="G901" i="3"/>
  <c r="G1942" i="4"/>
  <c r="D771" i="3"/>
  <c r="G478"/>
  <c r="G483" s="1"/>
  <c r="J1134" i="4"/>
  <c r="J278"/>
  <c r="J1870"/>
  <c r="G1998"/>
  <c r="G2014"/>
  <c r="G1350"/>
  <c r="G685" i="3"/>
  <c r="G693" s="1"/>
  <c r="J1566" i="4"/>
  <c r="G1139"/>
  <c r="D485" i="3"/>
  <c r="D486" s="1"/>
  <c r="D440"/>
  <c r="D448" s="1"/>
  <c r="G1062" i="4"/>
  <c r="G1798"/>
  <c r="D803" i="3"/>
  <c r="D806" s="1"/>
  <c r="G1067" i="4"/>
  <c r="D450" i="3"/>
  <c r="D451" s="1"/>
  <c r="J1782" i="4"/>
  <c r="G370" i="3"/>
  <c r="G378" s="1"/>
  <c r="J918" i="4"/>
  <c r="F373" i="3"/>
  <c r="F378" s="1"/>
  <c r="F387" s="1"/>
  <c r="I918" i="4"/>
  <c r="G448" i="3"/>
  <c r="J1494" i="4"/>
  <c r="I1278"/>
  <c r="F548" i="3"/>
  <c r="F553" s="1"/>
  <c r="F562" s="1"/>
  <c r="F758"/>
  <c r="F763" s="1"/>
  <c r="F772" s="1"/>
  <c r="I1710" i="4"/>
  <c r="D630" i="3"/>
  <c r="D910"/>
  <c r="G1438" i="4"/>
  <c r="G1211"/>
  <c r="D520" i="3"/>
  <c r="D521" s="1"/>
  <c r="D386"/>
  <c r="G1494" i="4"/>
  <c r="G518" i="3"/>
  <c r="D616"/>
  <c r="D896"/>
  <c r="G1078" i="4"/>
  <c r="D455" i="3"/>
  <c r="D456" s="1"/>
  <c r="G1422" i="4"/>
  <c r="D622" i="3"/>
  <c r="D902"/>
  <c r="D685"/>
  <c r="D693" s="1"/>
  <c r="G1566" i="4"/>
  <c r="G405" i="3"/>
  <c r="G413" s="1"/>
  <c r="J990" i="4"/>
  <c r="D413" i="3"/>
  <c r="D658"/>
  <c r="F408"/>
  <c r="F413" s="1"/>
  <c r="F422" s="1"/>
  <c r="I990" i="4"/>
  <c r="G1427"/>
  <c r="D625" i="3"/>
  <c r="D626" s="1"/>
  <c r="D905"/>
  <c r="D906" s="1"/>
  <c r="G990" i="4"/>
  <c r="G1206"/>
  <c r="G825" i="3"/>
  <c r="G580"/>
  <c r="J1350" i="4"/>
  <c r="G658" i="3"/>
  <c r="J1998" i="4"/>
  <c r="I1350"/>
  <c r="F583" i="3"/>
  <c r="F588" s="1"/>
  <c r="F597" s="1"/>
  <c r="F828"/>
  <c r="F833" s="1"/>
  <c r="F842" s="1"/>
  <c r="G728"/>
  <c r="G1787" i="4"/>
  <c r="D800" i="3"/>
  <c r="D801" s="1"/>
  <c r="G1870" i="4"/>
  <c r="D581" i="3"/>
  <c r="D826"/>
  <c r="G923" i="4"/>
  <c r="D380" i="3"/>
  <c r="D381" s="1"/>
  <c r="G585"/>
  <c r="G830"/>
  <c r="G755"/>
  <c r="G763" s="1"/>
  <c r="J1710" i="4"/>
  <c r="D483" i="3"/>
  <c r="I1926" i="4"/>
  <c r="F863" i="3"/>
  <c r="F868" s="1"/>
  <c r="F877" s="1"/>
  <c r="D860"/>
  <c r="D868" s="1"/>
  <c r="G1926" i="4"/>
  <c r="D584" i="3"/>
  <c r="D829"/>
  <c r="D593"/>
  <c r="D838"/>
  <c r="G1715" i="4"/>
  <c r="D765" i="3"/>
  <c r="D766" s="1"/>
  <c r="G1510" i="4"/>
  <c r="D665" i="3"/>
  <c r="D666" s="1"/>
  <c r="D628"/>
  <c r="D908"/>
  <c r="G1638" i="4"/>
  <c r="G1710"/>
  <c r="D518" i="3"/>
  <c r="D828"/>
  <c r="D583"/>
  <c r="J1638" i="4"/>
  <c r="D378" i="3"/>
  <c r="F688"/>
  <c r="F693" s="1"/>
  <c r="F702" s="1"/>
  <c r="I1566" i="4"/>
  <c r="G798" i="3"/>
  <c r="D798"/>
  <c r="G1366" i="4"/>
  <c r="D595" i="3"/>
  <c r="D840"/>
  <c r="D594"/>
  <c r="D839"/>
  <c r="G1006" i="4"/>
  <c r="D420" i="3"/>
  <c r="D421" s="1"/>
  <c r="G1782" i="4"/>
  <c r="G1278"/>
  <c r="G616" i="3"/>
  <c r="G896"/>
  <c r="G545"/>
  <c r="G553" s="1"/>
  <c r="J1278" i="4"/>
  <c r="G1854"/>
  <c r="I1782"/>
  <c r="F793" i="3"/>
  <c r="F798" s="1"/>
  <c r="F807" s="1"/>
  <c r="G618"/>
  <c r="G898"/>
  <c r="G1654" i="4"/>
  <c r="D734" i="3"/>
  <c r="D736" s="1"/>
  <c r="D582"/>
  <c r="D827"/>
  <c r="G895"/>
  <c r="G615"/>
  <c r="J1422" i="4"/>
  <c r="G1643"/>
  <c r="D730" i="3"/>
  <c r="D731" s="1"/>
  <c r="D763"/>
  <c r="I1422" i="4"/>
  <c r="F618" i="3"/>
  <c r="F623" s="1"/>
  <c r="F632" s="1"/>
  <c r="F898"/>
  <c r="F903" s="1"/>
  <c r="F912" s="1"/>
  <c r="D618"/>
  <c r="D898"/>
  <c r="D553"/>
  <c r="D728"/>
  <c r="G1294" i="4"/>
  <c r="G1134"/>
  <c r="G828" i="3"/>
  <c r="G583"/>
  <c r="I1134" i="4"/>
  <c r="F478" i="3"/>
  <c r="F483" s="1"/>
  <c r="F492" s="1"/>
  <c r="I1062" i="4"/>
  <c r="F443" i="3"/>
  <c r="F448" s="1"/>
  <c r="F457" s="1"/>
  <c r="D586"/>
  <c r="D831"/>
  <c r="G860"/>
  <c r="G868" s="1"/>
  <c r="J1926" i="4"/>
  <c r="G1150"/>
  <c r="D490" i="3"/>
  <c r="D491" s="1"/>
  <c r="J1206" i="4"/>
  <c r="F513" i="3"/>
  <c r="F518" s="1"/>
  <c r="F527" s="1"/>
  <c r="I1206" i="4"/>
  <c r="I1638"/>
  <c r="F723" i="3"/>
  <c r="F728" s="1"/>
  <c r="F737" s="1"/>
  <c r="F653"/>
  <c r="F658" s="1"/>
  <c r="F667" s="1"/>
  <c r="I1494" i="4"/>
  <c r="D268" i="3"/>
  <c r="D265"/>
  <c r="D232"/>
  <c r="D229"/>
  <c r="E93"/>
  <c r="E102" s="1"/>
  <c r="G351"/>
  <c r="D351"/>
  <c r="D308"/>
  <c r="D281"/>
  <c r="F343"/>
  <c r="F352" s="1"/>
  <c r="D343"/>
  <c r="G343"/>
  <c r="G314"/>
  <c r="G316" s="1"/>
  <c r="D316"/>
  <c r="G310"/>
  <c r="G311" s="1"/>
  <c r="G308"/>
  <c r="F303"/>
  <c r="F308" s="1"/>
  <c r="F317" s="1"/>
  <c r="D310"/>
  <c r="D311" s="1"/>
  <c r="D275"/>
  <c r="D276" s="1"/>
  <c r="G280"/>
  <c r="G281" s="1"/>
  <c r="F268"/>
  <c r="F273" s="1"/>
  <c r="F282" s="1"/>
  <c r="G273"/>
  <c r="G244"/>
  <c r="G245" s="1"/>
  <c r="D239"/>
  <c r="D240" s="1"/>
  <c r="D245"/>
  <c r="G239"/>
  <c r="G240" s="1"/>
  <c r="F232"/>
  <c r="F237" s="1"/>
  <c r="F246" s="1"/>
  <c r="D201"/>
  <c r="D209"/>
  <c r="G207"/>
  <c r="G209" s="1"/>
  <c r="G203"/>
  <c r="G204" s="1"/>
  <c r="D165"/>
  <c r="D173"/>
  <c r="D167"/>
  <c r="D168" s="1"/>
  <c r="G167"/>
  <c r="G168" s="1"/>
  <c r="G173"/>
  <c r="D134"/>
  <c r="D137" s="1"/>
  <c r="G134"/>
  <c r="G137" s="1"/>
  <c r="D131"/>
  <c r="D132" s="1"/>
  <c r="F124"/>
  <c r="F129" s="1"/>
  <c r="F138" s="1"/>
  <c r="D129"/>
  <c r="I350" i="4"/>
  <c r="F88" i="3"/>
  <c r="D101"/>
  <c r="G355" i="4"/>
  <c r="D95" i="3"/>
  <c r="D96" s="1"/>
  <c r="D93"/>
  <c r="G101"/>
  <c r="J355" i="4"/>
  <c r="G95" i="3"/>
  <c r="G96" s="1"/>
  <c r="G278" i="4"/>
  <c r="D59" i="3"/>
  <c r="D60" s="1"/>
  <c r="G65"/>
  <c r="D65"/>
  <c r="J289" i="4"/>
  <c r="G350"/>
  <c r="G366"/>
  <c r="G289"/>
  <c r="J366"/>
  <c r="J273"/>
  <c r="J350"/>
  <c r="G273"/>
  <c r="H163"/>
  <c r="I163" s="1"/>
  <c r="J163" s="1"/>
  <c r="F156"/>
  <c r="C20" i="3" s="1"/>
  <c r="H157" i="4"/>
  <c r="H155"/>
  <c r="I155" s="1"/>
  <c r="J155" s="1"/>
  <c r="F150"/>
  <c r="C18" i="3" s="1"/>
  <c r="H151" i="4"/>
  <c r="I151" s="1"/>
  <c r="H158"/>
  <c r="I158" s="1"/>
  <c r="J158" s="1"/>
  <c r="H152"/>
  <c r="I152" s="1"/>
  <c r="J152" s="1"/>
  <c r="H148"/>
  <c r="F147"/>
  <c r="C17" i="3" s="1"/>
  <c r="H143" i="4"/>
  <c r="I143" s="1"/>
  <c r="J143" s="1"/>
  <c r="E15"/>
  <c r="F15" s="1"/>
  <c r="H15" s="1"/>
  <c r="E16"/>
  <c r="F16" s="1"/>
  <c r="H16" s="1"/>
  <c r="I16" s="1"/>
  <c r="F153"/>
  <c r="C19" i="3" s="1"/>
  <c r="I162" i="4"/>
  <c r="F161"/>
  <c r="F164" s="1"/>
  <c r="G157"/>
  <c r="G158"/>
  <c r="G162"/>
  <c r="G163"/>
  <c r="G154"/>
  <c r="G155"/>
  <c r="G143"/>
  <c r="F166"/>
  <c r="C26" i="3" s="1"/>
  <c r="G167" i="4"/>
  <c r="F172"/>
  <c r="G173"/>
  <c r="G149"/>
  <c r="I149"/>
  <c r="G171"/>
  <c r="I171"/>
  <c r="J171" s="1"/>
  <c r="I154"/>
  <c r="G152"/>
  <c r="G151"/>
  <c r="G148"/>
  <c r="F141"/>
  <c r="C15" i="3" s="1"/>
  <c r="G142" i="4"/>
  <c r="F169"/>
  <c r="C27" i="3" s="1"/>
  <c r="C28" i="7" s="1"/>
  <c r="G170" i="4"/>
  <c r="G174"/>
  <c r="I174"/>
  <c r="J174" s="1"/>
  <c r="G168"/>
  <c r="I168"/>
  <c r="J168" s="1"/>
  <c r="G57" i="3" l="1"/>
  <c r="G66" s="1"/>
  <c r="J17" i="4"/>
  <c r="G17"/>
  <c r="J149"/>
  <c r="F144"/>
  <c r="G196" i="3"/>
  <c r="G201" s="1"/>
  <c r="G210" s="1"/>
  <c r="G841"/>
  <c r="G911"/>
  <c r="G492"/>
  <c r="G562"/>
  <c r="G422"/>
  <c r="G772"/>
  <c r="G387"/>
  <c r="D562"/>
  <c r="G527"/>
  <c r="G737"/>
  <c r="D702"/>
  <c r="G457"/>
  <c r="D877"/>
  <c r="G667"/>
  <c r="G877"/>
  <c r="C21" i="13"/>
  <c r="D21"/>
  <c r="F17" i="9"/>
  <c r="E23"/>
  <c r="G807" i="3"/>
  <c r="G833"/>
  <c r="D623"/>
  <c r="D387"/>
  <c r="D911"/>
  <c r="G702"/>
  <c r="D588"/>
  <c r="D841"/>
  <c r="D772"/>
  <c r="G588"/>
  <c r="G597" s="1"/>
  <c r="D422"/>
  <c r="D903"/>
  <c r="G903"/>
  <c r="D807"/>
  <c r="D596"/>
  <c r="G623"/>
  <c r="G632" s="1"/>
  <c r="D527"/>
  <c r="D492"/>
  <c r="D833"/>
  <c r="D737"/>
  <c r="D631"/>
  <c r="D457"/>
  <c r="D667"/>
  <c r="C34" i="11"/>
  <c r="C35" i="13"/>
  <c r="D237" i="3"/>
  <c r="D246" s="1"/>
  <c r="C33" i="11"/>
  <c r="D273" i="3"/>
  <c r="D282" s="1"/>
  <c r="F93"/>
  <c r="F102" s="1"/>
  <c r="G352"/>
  <c r="D352"/>
  <c r="D317"/>
  <c r="D138"/>
  <c r="D210"/>
  <c r="D66"/>
  <c r="D102"/>
  <c r="G317"/>
  <c r="G282"/>
  <c r="G246"/>
  <c r="G174"/>
  <c r="D174"/>
  <c r="G138"/>
  <c r="G102"/>
  <c r="H156" i="4"/>
  <c r="E20" i="3" s="1"/>
  <c r="H150" i="4"/>
  <c r="E18" i="3" s="1"/>
  <c r="H153" i="4"/>
  <c r="E19" i="3" s="1"/>
  <c r="G15" i="4"/>
  <c r="F14"/>
  <c r="C13" i="3" s="1"/>
  <c r="J16" i="4"/>
  <c r="G16"/>
  <c r="H161"/>
  <c r="H164" s="1"/>
  <c r="I157"/>
  <c r="I156" s="1"/>
  <c r="G169"/>
  <c r="D27" i="3" s="1"/>
  <c r="D28" i="7" s="1"/>
  <c r="G153" i="4"/>
  <c r="D19" i="3" s="1"/>
  <c r="H147" i="4"/>
  <c r="E17" i="3" s="1"/>
  <c r="I148" i="4"/>
  <c r="I147" s="1"/>
  <c r="I150"/>
  <c r="F18" i="3" s="1"/>
  <c r="J151" i="4"/>
  <c r="J150" s="1"/>
  <c r="G18" i="3" s="1"/>
  <c r="H169" i="4"/>
  <c r="E27" i="3" s="1"/>
  <c r="E28" i="7" s="1"/>
  <c r="I170" i="4"/>
  <c r="H141"/>
  <c r="E15" i="3" s="1"/>
  <c r="I142" i="4"/>
  <c r="G147"/>
  <c r="D17" i="3" s="1"/>
  <c r="H172" i="4"/>
  <c r="E28" i="3" s="1"/>
  <c r="E29" i="7" s="1"/>
  <c r="I173" i="4"/>
  <c r="I161"/>
  <c r="I164" s="1"/>
  <c r="J162"/>
  <c r="J161" s="1"/>
  <c r="J164" s="1"/>
  <c r="G141"/>
  <c r="D15" i="3" s="1"/>
  <c r="G150" i="4"/>
  <c r="D18" i="3" s="1"/>
  <c r="G172" i="4"/>
  <c r="H166"/>
  <c r="E26" i="3" s="1"/>
  <c r="I167" i="4"/>
  <c r="G156"/>
  <c r="D20" i="3" s="1"/>
  <c r="I153" i="4"/>
  <c r="F19" i="3" s="1"/>
  <c r="J154" i="4"/>
  <c r="J153" s="1"/>
  <c r="G19" i="3" s="1"/>
  <c r="F175" i="4"/>
  <c r="G166"/>
  <c r="D26" i="3" s="1"/>
  <c r="G161" i="4"/>
  <c r="G164" s="1"/>
  <c r="C28" i="3"/>
  <c r="C29" i="7" s="1"/>
  <c r="C23" i="3"/>
  <c r="G912" l="1"/>
  <c r="G842"/>
  <c r="G144" i="4"/>
  <c r="I144"/>
  <c r="F16" i="3" s="1"/>
  <c r="H144" i="4"/>
  <c r="D842" i="3"/>
  <c r="D912"/>
  <c r="E21" i="13"/>
  <c r="G17" i="9"/>
  <c r="G23" s="1"/>
  <c r="F23"/>
  <c r="D632" i="3"/>
  <c r="D597"/>
  <c r="D33" i="11"/>
  <c r="E35"/>
  <c r="E36" i="13"/>
  <c r="D35"/>
  <c r="D34" i="11"/>
  <c r="E33"/>
  <c r="E35" i="13"/>
  <c r="E34" i="11"/>
  <c r="E30" i="7"/>
  <c r="C24" i="3"/>
  <c r="C25" i="7"/>
  <c r="C29" i="3"/>
  <c r="G14" i="4"/>
  <c r="D13" i="3" s="1"/>
  <c r="H14" i="4"/>
  <c r="E13" i="3" s="1"/>
  <c r="I15" i="4"/>
  <c r="J15" s="1"/>
  <c r="J14" s="1"/>
  <c r="J157"/>
  <c r="J156" s="1"/>
  <c r="G20" i="3" s="1"/>
  <c r="D23"/>
  <c r="C16"/>
  <c r="E29"/>
  <c r="I172" i="4"/>
  <c r="J173"/>
  <c r="J172" s="1"/>
  <c r="G28" i="3" s="1"/>
  <c r="G29" i="7" s="1"/>
  <c r="F17" i="3"/>
  <c r="J148" i="4"/>
  <c r="J147" s="1"/>
  <c r="G17" i="3" s="1"/>
  <c r="I141" i="4"/>
  <c r="F15" i="3" s="1"/>
  <c r="J142" i="4"/>
  <c r="J141" s="1"/>
  <c r="G15" i="3" s="1"/>
  <c r="H175" i="4"/>
  <c r="I169"/>
  <c r="F27" i="3" s="1"/>
  <c r="F28" i="7" s="1"/>
  <c r="J170" i="4"/>
  <c r="J169" s="1"/>
  <c r="G27" i="3" s="1"/>
  <c r="G28" i="7" s="1"/>
  <c r="I166" i="4"/>
  <c r="F26" i="3" s="1"/>
  <c r="J167" i="4"/>
  <c r="J166" s="1"/>
  <c r="G26" i="3" s="1"/>
  <c r="G175" i="4"/>
  <c r="D28" i="3"/>
  <c r="D29" i="7" s="1"/>
  <c r="F20" i="3"/>
  <c r="E23"/>
  <c r="J144" i="4" l="1"/>
  <c r="G16" i="3" s="1"/>
  <c r="I17" i="14"/>
  <c r="F21" i="13"/>
  <c r="G21"/>
  <c r="G33" i="11"/>
  <c r="C30" i="7"/>
  <c r="C36" i="13"/>
  <c r="C35" i="11"/>
  <c r="F33"/>
  <c r="G34"/>
  <c r="G35" i="13"/>
  <c r="F35"/>
  <c r="F34" i="11"/>
  <c r="G36" i="13"/>
  <c r="G35" i="11"/>
  <c r="D33" i="13"/>
  <c r="C32" i="11"/>
  <c r="D29" i="3"/>
  <c r="E24"/>
  <c r="E25" i="7"/>
  <c r="G30"/>
  <c r="D24" i="3"/>
  <c r="D25" i="7"/>
  <c r="I14" i="4"/>
  <c r="F13" i="3" s="1"/>
  <c r="E16"/>
  <c r="D16"/>
  <c r="G29"/>
  <c r="I175" i="4"/>
  <c r="F28" i="3"/>
  <c r="F29" i="7" s="1"/>
  <c r="J175" i="4"/>
  <c r="F23" i="3"/>
  <c r="G13"/>
  <c r="G23"/>
  <c r="I18" i="14" l="1"/>
  <c r="U17"/>
  <c r="U18" s="1"/>
  <c r="D30" i="7"/>
  <c r="D36" i="13"/>
  <c r="D35" i="11"/>
  <c r="D32"/>
  <c r="E32"/>
  <c r="G24" i="3"/>
  <c r="G25" i="7"/>
  <c r="F24" i="3"/>
  <c r="F25" i="7"/>
  <c r="F29" i="3"/>
  <c r="F30" i="7" l="1"/>
  <c r="F35" i="11"/>
  <c r="F36" i="13"/>
  <c r="G32" i="11"/>
  <c r="F32"/>
  <c r="G159" i="4"/>
  <c r="H159"/>
  <c r="I159"/>
  <c r="J159"/>
  <c r="C14" i="3"/>
  <c r="F14" l="1"/>
  <c r="C21"/>
  <c r="C30" s="1"/>
  <c r="D14"/>
  <c r="F159" i="4"/>
  <c r="G14" i="3"/>
  <c r="E14"/>
  <c r="F21" l="1"/>
  <c r="F30" s="1"/>
  <c r="E21"/>
  <c r="E30" s="1"/>
  <c r="G21"/>
  <c r="G30" s="1"/>
  <c r="D21"/>
  <c r="D30" s="1"/>
  <c r="G31" i="7" l="1"/>
  <c r="D31"/>
  <c r="D37" i="11" l="1"/>
  <c r="G37"/>
  <c r="G38" i="13"/>
  <c r="F50" i="3" l="1"/>
  <c r="H273" i="4"/>
  <c r="F57" i="3" l="1"/>
  <c r="F66" s="1"/>
  <c r="I273" i="4"/>
  <c r="E50" i="3"/>
  <c r="F31" i="7" l="1"/>
  <c r="E57" i="3"/>
  <c r="E66" s="1"/>
  <c r="E31" i="7" l="1"/>
  <c r="F38" i="13"/>
  <c r="F37" i="11"/>
  <c r="E38" i="13" l="1"/>
  <c r="E37" i="11"/>
  <c r="C50" i="3"/>
  <c r="C57" l="1"/>
  <c r="C66" s="1"/>
  <c r="F273" i="4"/>
  <c r="D38" i="13" l="1"/>
  <c r="C31" i="7"/>
  <c r="C37" i="11" l="1"/>
  <c r="C40" i="13"/>
  <c r="E40" s="1"/>
  <c r="C38"/>
  <c r="C13" i="10" l="1"/>
  <c r="D14"/>
  <c r="E14"/>
  <c r="E39" i="8" l="1"/>
  <c r="F39" s="1"/>
  <c r="G39" s="1"/>
  <c r="D39"/>
  <c r="E41"/>
  <c r="C40"/>
  <c r="D41"/>
  <c r="E42"/>
  <c r="F42" s="1"/>
  <c r="G42" s="1"/>
  <c r="D42"/>
  <c r="C37"/>
  <c r="E38"/>
  <c r="D38"/>
  <c r="D37" s="1"/>
  <c r="E13" i="10"/>
  <c r="D13"/>
  <c r="C39" i="11"/>
  <c r="C50"/>
  <c r="F14" i="10"/>
  <c r="C51" i="13"/>
  <c r="C22" i="10" l="1"/>
  <c r="E22" s="1"/>
  <c r="C18"/>
  <c r="E18" s="1"/>
  <c r="C19"/>
  <c r="E19" s="1"/>
  <c r="D40" i="8"/>
  <c r="D28" i="11" s="1"/>
  <c r="C27"/>
  <c r="C43" i="8"/>
  <c r="C28" i="11"/>
  <c r="F41" i="8"/>
  <c r="E40"/>
  <c r="D27" i="11"/>
  <c r="F38" i="8"/>
  <c r="E37"/>
  <c r="E51" i="13"/>
  <c r="F51" s="1"/>
  <c r="G51" s="1"/>
  <c r="G14" i="10"/>
  <c r="F41" i="13"/>
  <c r="G41" s="1"/>
  <c r="I36" i="14"/>
  <c r="U36" s="1"/>
  <c r="F13" i="10"/>
  <c r="D40" i="13"/>
  <c r="D51"/>
  <c r="D50" i="11"/>
  <c r="D39"/>
  <c r="E50"/>
  <c r="E39"/>
  <c r="D29" i="13" l="1"/>
  <c r="E29"/>
  <c r="F29" s="1"/>
  <c r="G29" s="1"/>
  <c r="D27"/>
  <c r="D30" s="1"/>
  <c r="E27"/>
  <c r="F27" s="1"/>
  <c r="G27" s="1"/>
  <c r="F22" i="10"/>
  <c r="G22" s="1"/>
  <c r="D43" i="8"/>
  <c r="D22" i="10"/>
  <c r="C29" i="11"/>
  <c r="C23" i="10" s="1"/>
  <c r="G41" i="8"/>
  <c r="G40" s="1"/>
  <c r="F40"/>
  <c r="C30" i="13"/>
  <c r="E27" i="11"/>
  <c r="E43" i="8"/>
  <c r="D29" i="11"/>
  <c r="F37" i="8"/>
  <c r="G38"/>
  <c r="G37" s="1"/>
  <c r="E28" i="11"/>
  <c r="F39"/>
  <c r="F50"/>
  <c r="D21" i="10"/>
  <c r="F21"/>
  <c r="G21" s="1"/>
  <c r="F40" i="13"/>
  <c r="G40" s="1"/>
  <c r="F19" i="10"/>
  <c r="G19" s="1"/>
  <c r="D19"/>
  <c r="G13"/>
  <c r="C16"/>
  <c r="D18"/>
  <c r="G43" i="8" l="1"/>
  <c r="G27" i="11"/>
  <c r="F43" i="8"/>
  <c r="F27" i="11"/>
  <c r="E30" i="13"/>
  <c r="F28" i="11"/>
  <c r="E29"/>
  <c r="G28"/>
  <c r="E16" i="10"/>
  <c r="D16"/>
  <c r="D42" i="11" s="1"/>
  <c r="F18" i="10"/>
  <c r="G50" i="11"/>
  <c r="G39"/>
  <c r="C24" i="10"/>
  <c r="E42" i="11" l="1"/>
  <c r="E24" i="14"/>
  <c r="E26" s="1"/>
  <c r="E45" s="1"/>
  <c r="I24"/>
  <c r="M24"/>
  <c r="Q24"/>
  <c r="S24"/>
  <c r="F24"/>
  <c r="F26" s="1"/>
  <c r="F45" s="1"/>
  <c r="J24"/>
  <c r="N24"/>
  <c r="R24"/>
  <c r="T24"/>
  <c r="G24"/>
  <c r="G26" s="1"/>
  <c r="G45" s="1"/>
  <c r="K24"/>
  <c r="O24"/>
  <c r="C24"/>
  <c r="D24"/>
  <c r="D26" s="1"/>
  <c r="D45" s="1"/>
  <c r="H24"/>
  <c r="H26" s="1"/>
  <c r="H45" s="1"/>
  <c r="L24"/>
  <c r="P24"/>
  <c r="E23" i="10"/>
  <c r="E43" i="11" s="1"/>
  <c r="E44" s="1"/>
  <c r="E49" s="1"/>
  <c r="D23" i="10"/>
  <c r="D24" s="1"/>
  <c r="C45" i="13"/>
  <c r="C50" s="1"/>
  <c r="C44" i="11"/>
  <c r="C49" s="1"/>
  <c r="F29"/>
  <c r="G29"/>
  <c r="L25" i="14"/>
  <c r="L26" s="1"/>
  <c r="P25"/>
  <c r="P26" s="1"/>
  <c r="T25"/>
  <c r="N25"/>
  <c r="N26" s="1"/>
  <c r="O25"/>
  <c r="O26" s="1"/>
  <c r="I25"/>
  <c r="M25"/>
  <c r="M26" s="1"/>
  <c r="Q25"/>
  <c r="Q26" s="1"/>
  <c r="J25"/>
  <c r="R25"/>
  <c r="K25"/>
  <c r="K26" s="1"/>
  <c r="S25"/>
  <c r="F30" i="13"/>
  <c r="G30"/>
  <c r="G18" i="10"/>
  <c r="G16" s="1"/>
  <c r="F16"/>
  <c r="J26" i="14" l="1"/>
  <c r="T26"/>
  <c r="S26"/>
  <c r="R26"/>
  <c r="U24"/>
  <c r="C26"/>
  <c r="C45" s="1"/>
  <c r="E24" i="10"/>
  <c r="E45" i="13"/>
  <c r="F23" i="10"/>
  <c r="G23" s="1"/>
  <c r="G43" i="11" s="1"/>
  <c r="D45" i="13"/>
  <c r="D50" s="1"/>
  <c r="D43" i="11"/>
  <c r="D44" s="1"/>
  <c r="D49" s="1"/>
  <c r="I26" i="14"/>
  <c r="U25"/>
  <c r="U26" s="1"/>
  <c r="G42" i="11"/>
  <c r="F42"/>
  <c r="E50" i="13" l="1"/>
  <c r="F45"/>
  <c r="G24" i="10"/>
  <c r="F44" i="13"/>
  <c r="G44" s="1"/>
  <c r="G45" s="1"/>
  <c r="F24" i="10"/>
  <c r="F43" i="11"/>
  <c r="P39" i="14" s="1"/>
  <c r="J38"/>
  <c r="N38"/>
  <c r="N40" s="1"/>
  <c r="N45" s="1"/>
  <c r="R38"/>
  <c r="K38"/>
  <c r="K40" s="1"/>
  <c r="K45" s="1"/>
  <c r="O38"/>
  <c r="S38"/>
  <c r="L38"/>
  <c r="L40" s="1"/>
  <c r="L45" s="1"/>
  <c r="P38"/>
  <c r="T38"/>
  <c r="I38"/>
  <c r="I40" s="1"/>
  <c r="I45" s="1"/>
  <c r="M38"/>
  <c r="M40" s="1"/>
  <c r="M45" s="1"/>
  <c r="Q38"/>
  <c r="G44" i="11"/>
  <c r="G49" s="1"/>
  <c r="F50" i="13" l="1"/>
  <c r="G50" s="1"/>
  <c r="F44" i="11"/>
  <c r="F49" s="1"/>
  <c r="S39" i="14"/>
  <c r="S40" s="1"/>
  <c r="S45" s="1"/>
  <c r="R39"/>
  <c r="R40" s="1"/>
  <c r="R45" s="1"/>
  <c r="T39"/>
  <c r="T40" s="1"/>
  <c r="T45" s="1"/>
  <c r="P40"/>
  <c r="P45" s="1"/>
  <c r="O39"/>
  <c r="O40" s="1"/>
  <c r="O45" s="1"/>
  <c r="Q39"/>
  <c r="Q40" s="1"/>
  <c r="Q45" s="1"/>
  <c r="U38"/>
  <c r="J40"/>
  <c r="J45" s="1"/>
  <c r="C47" s="1"/>
  <c r="E47" s="1"/>
  <c r="U39" l="1"/>
  <c r="U40" s="1"/>
  <c r="U45" s="1"/>
</calcChain>
</file>

<file path=xl/comments1.xml><?xml version="1.0" encoding="utf-8"?>
<comments xmlns="http://schemas.openxmlformats.org/spreadsheetml/2006/main">
  <authors>
    <author>Author</author>
  </authors>
  <commentList>
    <comment ref="D4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=lungime pe interiorul stalpului + lungime prin consola rutiera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=lungime pe interiorul stalpului + lungime prin consola pietonala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9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20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31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38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45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52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59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67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73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81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88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95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02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09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17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24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31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38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45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53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60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67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74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81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89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96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manopera instalare+fundatia propriu zisa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cuprinde:
  -folia: 0.5 RON/ml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cuprinde:
  -sapatura sant / 1ml (0.5*0.9*1 [mc])=22 ron
  -compactare sant / 1ml (0.5*0.9*1 [mc])=5 ron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cuprinde:
   -incarcare / 1ml ( (0.5*0.5*1 [mc])*1.6 [t])= 3 ron
   -transport / 1ml ( (0.5*0.5*1 [mc])*1.6 [t])= 10 ron
   -descarcare / 1ml ( (0.5*0.5*1 [mc])*1.6 [t])= 2.5 ron</t>
        </r>
      </text>
    </comment>
  </commentList>
</comments>
</file>

<file path=xl/sharedStrings.xml><?xml version="1.0" encoding="utf-8"?>
<sst xmlns="http://schemas.openxmlformats.org/spreadsheetml/2006/main" count="2683" uniqueCount="453">
  <si>
    <t>Actiune 2</t>
  </si>
  <si>
    <t>T.V.A.</t>
  </si>
  <si>
    <t xml:space="preserve">1 Euro = </t>
  </si>
  <si>
    <t>Lei la data de:</t>
  </si>
  <si>
    <t>Nr. crt.</t>
  </si>
  <si>
    <t>Denumire lucrare</t>
  </si>
  <si>
    <t>Valoare (fara TVA)</t>
  </si>
  <si>
    <t>TVA</t>
  </si>
  <si>
    <t>Valoare (inclusiv TVA)</t>
  </si>
  <si>
    <t>RON</t>
  </si>
  <si>
    <t>Euro</t>
  </si>
  <si>
    <t>I - LUCRARI DE CONSTRUCTII SI INSTALATII</t>
  </si>
  <si>
    <t>1.</t>
  </si>
  <si>
    <t>Terasamente</t>
  </si>
  <si>
    <t>2.</t>
  </si>
  <si>
    <t>Constructii: Rezistentă și Arhitectură</t>
  </si>
  <si>
    <t>3.</t>
  </si>
  <si>
    <t>Izolații</t>
  </si>
  <si>
    <t>4.</t>
  </si>
  <si>
    <t>Instalații Electrice</t>
  </si>
  <si>
    <t>5.</t>
  </si>
  <si>
    <t>Instalații Sanitare</t>
  </si>
  <si>
    <t>6.</t>
  </si>
  <si>
    <t>Instalații de Încalzire, Ventilare, Climatizare, PSI, Radio-TV, IntranetNET</t>
  </si>
  <si>
    <t>7.</t>
  </si>
  <si>
    <t>Instalații de Alimentare cu Gaze Naturale</t>
  </si>
  <si>
    <t>Instalații de Telecomunicații</t>
  </si>
  <si>
    <t>TOTAL I</t>
  </si>
  <si>
    <t>II - MONTAJ</t>
  </si>
  <si>
    <t>Montaj utilaje si echipamente tehnologice</t>
  </si>
  <si>
    <t>TOTAL II</t>
  </si>
  <si>
    <t>III - PROCURARE</t>
  </si>
  <si>
    <t>Utilaje si echipamente tehnologice</t>
  </si>
  <si>
    <t>Utilaje si echipamente de transport</t>
  </si>
  <si>
    <t>Dotari</t>
  </si>
  <si>
    <t>TOTAL III</t>
  </si>
  <si>
    <t>TOTAL GENERAL</t>
  </si>
  <si>
    <t xml:space="preserve">Proiectant: </t>
  </si>
  <si>
    <t>Deviz Obiecte - Evaluari</t>
  </si>
  <si>
    <t>UM</t>
  </si>
  <si>
    <t>Cantitate</t>
  </si>
  <si>
    <t>1. Terasamente</t>
  </si>
  <si>
    <t>Spargere suprafata carosabila/trotuare</t>
  </si>
  <si>
    <t>Refacere suprafata carosabila/trotuare</t>
  </si>
  <si>
    <t>2. Constructii: Rezistentă și Arhitectură</t>
  </si>
  <si>
    <t>3. Izolații</t>
  </si>
  <si>
    <t>4. Instalații Electrice</t>
  </si>
  <si>
    <t>Nisip</t>
  </si>
  <si>
    <t>Priza de pamant</t>
  </si>
  <si>
    <t>Camine de tragere</t>
  </si>
  <si>
    <t>5. Instalații Sanitare</t>
  </si>
  <si>
    <t>6. Instalații de Încalzire, Ventilare, Climatizare, PSI, Radio-TV, Intranet</t>
  </si>
  <si>
    <t>7. Instalații de Alimentare cu Gaze Naturale</t>
  </si>
  <si>
    <t>8. Instalații de Telecomunicații</t>
  </si>
  <si>
    <t>mc</t>
  </si>
  <si>
    <t>buc</t>
  </si>
  <si>
    <t>Nr Crt.</t>
  </si>
  <si>
    <t>Categorie/ Observatii</t>
  </si>
  <si>
    <t>Cod Articol deviz</t>
  </si>
  <si>
    <t>Denumire Articol</t>
  </si>
  <si>
    <t>Pret Deviz RON</t>
  </si>
  <si>
    <t>Coeficient</t>
  </si>
  <si>
    <t>Cost lista</t>
  </si>
  <si>
    <t>Cost achizitie</t>
  </si>
  <si>
    <t>Cost lista material / obiect</t>
  </si>
  <si>
    <t>Cost Transport</t>
  </si>
  <si>
    <t>Furnizor</t>
  </si>
  <si>
    <t>m</t>
  </si>
  <si>
    <t>Devizul  Centralizator al Obiectelor</t>
  </si>
  <si>
    <t>Beneficiar:</t>
  </si>
  <si>
    <t>Denumire Proiect:</t>
  </si>
  <si>
    <t>Proiectant:</t>
  </si>
  <si>
    <t>Investitor:</t>
  </si>
  <si>
    <t>Date generale de identificare</t>
  </si>
  <si>
    <t>Curs valutar</t>
  </si>
  <si>
    <t>Moneda</t>
  </si>
  <si>
    <t>Valoare RON</t>
  </si>
  <si>
    <t>Data curs valutar</t>
  </si>
  <si>
    <t>EURO</t>
  </si>
  <si>
    <t>Obiecte</t>
  </si>
  <si>
    <t>Denumire Strada</t>
  </si>
  <si>
    <t>Lungime</t>
  </si>
  <si>
    <t>Strazi</t>
  </si>
  <si>
    <t>Procent din luncime strada, are spargeri</t>
  </si>
  <si>
    <t>Philips LED</t>
  </si>
  <si>
    <t>Cost manopera / utilaj</t>
  </si>
  <si>
    <t>Tub protectie riflat HDPE</t>
  </si>
  <si>
    <t>Cablu LES jT</t>
  </si>
  <si>
    <t>CYY 4x16</t>
  </si>
  <si>
    <t>C3</t>
  </si>
  <si>
    <t>Punct de Aprindere</t>
  </si>
  <si>
    <t>Lungimi Profil</t>
  </si>
  <si>
    <t>Mc nisip / 1ml profil</t>
  </si>
  <si>
    <t>Coeficienti &amp; Valori intrare</t>
  </si>
  <si>
    <t>Procent profil 2M</t>
  </si>
  <si>
    <t>Cablu de la sant --&gt; stalp si retur</t>
  </si>
  <si>
    <t>Teava HDPE de la sant --&gt; stalp si retur</t>
  </si>
  <si>
    <t>L [metri]
(distanta intre stalpi)</t>
  </si>
  <si>
    <t>S.C. Tehno Consoulting Solutions S.R.L.</t>
  </si>
  <si>
    <t>8.</t>
  </si>
  <si>
    <t>Obiect 001:</t>
  </si>
  <si>
    <t xml:space="preserve"> </t>
  </si>
  <si>
    <t>Obiect 002:</t>
  </si>
  <si>
    <t>Obiect 003:</t>
  </si>
  <si>
    <t>Obiect 004:</t>
  </si>
  <si>
    <t>Obiect 005:</t>
  </si>
  <si>
    <t>Obiect 006:</t>
  </si>
  <si>
    <t>Obiect 007:</t>
  </si>
  <si>
    <t>Obiect 008:</t>
  </si>
  <si>
    <t>Obiect 009:</t>
  </si>
  <si>
    <t>Obiect 010:</t>
  </si>
  <si>
    <t>Obiect 011:</t>
  </si>
  <si>
    <t>Obiect 012:</t>
  </si>
  <si>
    <t>Obiect 013:</t>
  </si>
  <si>
    <t>Obiect 014:</t>
  </si>
  <si>
    <t>Obiect 015:</t>
  </si>
  <si>
    <t>Denumire capitole de cheltuieli</t>
  </si>
  <si>
    <t>Cheltuieli pentru studii de teren (geotehnice, geologice, hidrologice, hidritehnice, fotogrammetrice, topografice si de stabilitate a terenului pe care se amplaseaza obiectivul de investitie)</t>
  </si>
  <si>
    <t>Cheltuieli pentru obtinere de avize, acorduri si autorizatii - total, din care</t>
  </si>
  <si>
    <t>Proiectare si inginerie - total, din care:</t>
  </si>
  <si>
    <t>1. Cheltuieli pentru elaborarea tuturor fazelor de proiectare - total, din care:</t>
  </si>
  <si>
    <t>2. Documentatii necesare pentru obtinerea acordurilor, avizelor si autorizatiilor aferente obiectivului de investitii</t>
  </si>
  <si>
    <t>3. Cheltuielile pentru expertiza tehnica efectuata pentru constructii incepute si neterminate sau care urmeaza a fi modificate prin proiect (modernizari, consolidari, etc.)</t>
  </si>
  <si>
    <t>4. Cheltuielile pentru efectuarea auditului energetic</t>
  </si>
  <si>
    <t>Organizarea procedurilor de achizitie</t>
  </si>
  <si>
    <t>Cheltuieli pentru consultanta - total, din care</t>
  </si>
  <si>
    <t>Cheltuieli pentru asistenta tehnica - total, din care:</t>
  </si>
  <si>
    <t>1. Obtinerea/prelungirea valabilitatii certificatului de urbanism</t>
  </si>
  <si>
    <t>2. Obtinerea/prelungirea valabilitatii autorizatiei de construire/desfiintare, obtinere autorizatii de scoatere din circuitul agricol</t>
  </si>
  <si>
    <t>3. Obtinerea avizelor si acordurilor pentru racorduri si bransamente la retelele publice de apa, canalizare, gaze, termoficare, energie electrica, telefonie, etc.</t>
  </si>
  <si>
    <t>4. Obtinere aviz sanitar, sanitar-veterinar si fitosanitar</t>
  </si>
  <si>
    <t>5. Obtinerea certificatului de nomenclatura stradala si adresa</t>
  </si>
  <si>
    <t>6. Intocmirea documentatiei, obtinerea numarului Cadastral provizoriu si inregistrarea terenului in Cartea Funciara</t>
  </si>
  <si>
    <t>7. Obtinerea avizului PSI</t>
  </si>
  <si>
    <t>8. Obtinerea acordului de mediu</t>
  </si>
  <si>
    <t>9. Alte avize, acorduri si autorizatii solicitate prin lege</t>
  </si>
  <si>
    <t>Nr. Crt.</t>
  </si>
  <si>
    <t xml:space="preserve">    a. Studiu de Prefezabilitate</t>
  </si>
  <si>
    <t xml:space="preserve">    b. Studiu de Fezabilitate </t>
  </si>
  <si>
    <t xml:space="preserve">    c. Proiect Tehnic</t>
  </si>
  <si>
    <t xml:space="preserve">    d. Detalii de Executie</t>
  </si>
  <si>
    <t xml:space="preserve">    f. Elaborarea certificatului de performanta energetica a cladirii</t>
  </si>
  <si>
    <t xml:space="preserve">    e. Verificarea tehnica a proiectarii</t>
  </si>
  <si>
    <t>1. Plata serviciilor de consultanta la elaborarea memoriului justificativ, studiilor de piata, de evaluare, la intocmirea cererii de finantare</t>
  </si>
  <si>
    <t>2. Plata serviciilor de consultanta in domeniul managementului investitiei sau administrarea contractului de executie</t>
  </si>
  <si>
    <t>1. Asistenta tehnica din partea proiectantului in cazul cand aceasta nu intra in tarifarea proiectarii</t>
  </si>
  <si>
    <t>2. Plata dirigintilor de santier desemnati de autoritatea contractanta, autorizati conform prevederilor legale pentru verificarea executiei lucrarilor de constructii si instalatii</t>
  </si>
  <si>
    <t>Deviz Capitolul 3 - Cheltuieli pentru Proiectare și Asistenta Tehnică</t>
  </si>
  <si>
    <t>Deviz Capitolul 2 - Cheltuieli pentru asigurarea utilitaților necesare obiectivului</t>
  </si>
  <si>
    <t>Cheltuieli pentru asigurarea utilitatilor necesare obiectivului  - total, din care:</t>
  </si>
  <si>
    <t>1.Alimentare cu apa</t>
  </si>
  <si>
    <t>2.Canalizare</t>
  </si>
  <si>
    <t>3.Alimentare cu gaze naturale</t>
  </si>
  <si>
    <t>4.Alimentare cu agent termic</t>
  </si>
  <si>
    <t>6.Telecomunicatii (telefonie, radio-tv,etc)</t>
  </si>
  <si>
    <t>7.Alte tipuri de retele exterioare</t>
  </si>
  <si>
    <t>8.Drumuri de acces</t>
  </si>
  <si>
    <t>9.Cai ferate industriale</t>
  </si>
  <si>
    <t>10.Cheltuieli aferente racordarii la retele de utilitati</t>
  </si>
  <si>
    <t>Valoare ( inclusiv TVA )</t>
  </si>
  <si>
    <t>Valoare ( fara TVA )</t>
  </si>
  <si>
    <t>Deviz Capitolul 5 - Alte cheltuieli</t>
  </si>
  <si>
    <t>Alte Cheltuieli - total, din care:</t>
  </si>
  <si>
    <t>1. Organizare de santier</t>
  </si>
  <si>
    <t xml:space="preserve">    a. Lucrari de constructii si instalatii aferente organizarii de santier</t>
  </si>
  <si>
    <t xml:space="preserve">    b. Cheltuieli conexe organizarii  de santier</t>
  </si>
  <si>
    <t>2. Comisioane, taxe</t>
  </si>
  <si>
    <t xml:space="preserve">    b. Cota aferentă Inspectoratului de Stat in Constructii pentru controlul calităţii lucrărilor de construcţii</t>
  </si>
  <si>
    <t xml:space="preserve">    a. Ccomisionul băncii finanţatoare</t>
  </si>
  <si>
    <t xml:space="preserve">    c. Cota pentru controlul statului în amenajarea teritoriului, urbanism, şi pentru  autorizarea lucrărilor de construcţii</t>
  </si>
  <si>
    <t xml:space="preserve">    d. Prime de asigurare din sarcina autorităţii contractante</t>
  </si>
  <si>
    <t xml:space="preserve">    e. Alte cheltuieli de aceeaşi natură, stabilite în condiţiile legii</t>
  </si>
  <si>
    <t xml:space="preserve">    f. Cota aferentă Casei Sociale a Constructorilor</t>
  </si>
  <si>
    <t>5. Alimentare cu Energie Electrica</t>
  </si>
  <si>
    <t>5. Alimentare cu energie electrica</t>
  </si>
  <si>
    <t>Denumirea Capitolelor de Cheltuieli</t>
  </si>
  <si>
    <t>Valoare LEI / EURO</t>
  </si>
  <si>
    <t>Capitolul 1 - Cheltuieli pentru obtinerea si amenajarea terenului</t>
  </si>
  <si>
    <t xml:space="preserve"> 1.1</t>
  </si>
  <si>
    <t xml:space="preserve"> 1.2</t>
  </si>
  <si>
    <t>Amenajarea terenului</t>
  </si>
  <si>
    <t xml:space="preserve"> 1.3</t>
  </si>
  <si>
    <t>Total Capitolul 1</t>
  </si>
  <si>
    <t>Capitolul 2 - Cheltuieli pentru asigurarea utilitatilor necesare obiectivului</t>
  </si>
  <si>
    <t>Total Capitolul 2</t>
  </si>
  <si>
    <t>Capitolul 3 - Cheltuieli pentru proiectare si asistenta tehnica</t>
  </si>
  <si>
    <t xml:space="preserve"> 3.1</t>
  </si>
  <si>
    <t>Studii de teren, geologice, hidrologice si topografice</t>
  </si>
  <si>
    <t xml:space="preserve"> 3.2</t>
  </si>
  <si>
    <t>Taxe pentru obtinerea de avize, acorduri, autorizatii</t>
  </si>
  <si>
    <t xml:space="preserve"> 3.3</t>
  </si>
  <si>
    <t>Proiectare si inginerie</t>
  </si>
  <si>
    <t xml:space="preserve"> 3.4</t>
  </si>
  <si>
    <t>Organizarea procedurilor de achizitie publica</t>
  </si>
  <si>
    <t xml:space="preserve"> 3.5</t>
  </si>
  <si>
    <t>Consultanta</t>
  </si>
  <si>
    <t xml:space="preserve"> 3.6</t>
  </si>
  <si>
    <t>Asistenta tehnica</t>
  </si>
  <si>
    <t>Total Capitolul 3</t>
  </si>
  <si>
    <t xml:space="preserve"> 4.1</t>
  </si>
  <si>
    <t>Constructii si instalatii</t>
  </si>
  <si>
    <t xml:space="preserve"> 4.2</t>
  </si>
  <si>
    <t>Montaj utilaj tehnologic</t>
  </si>
  <si>
    <t xml:space="preserve"> 4.3</t>
  </si>
  <si>
    <t>Utilaje, echipamente tehnologice si functionale cu montaj</t>
  </si>
  <si>
    <t xml:space="preserve"> 4.4</t>
  </si>
  <si>
    <t>Utilaje fara montaj si echipamente de transport</t>
  </si>
  <si>
    <t xml:space="preserve"> 4.5</t>
  </si>
  <si>
    <t>Active necorporale</t>
  </si>
  <si>
    <t>Total Capitolul 4</t>
  </si>
  <si>
    <t>Capitolul 5 - Alte cheltuieli</t>
  </si>
  <si>
    <t xml:space="preserve">Organizare de santier </t>
  </si>
  <si>
    <t xml:space="preserve"> 5.2</t>
  </si>
  <si>
    <t>Comisioane, cote, taxe, costul creditului, ISC, Casa Constructorilor</t>
  </si>
  <si>
    <t xml:space="preserve"> 5.3</t>
  </si>
  <si>
    <t xml:space="preserve">Cheltuieli diverse si neprevazute </t>
  </si>
  <si>
    <t>Total Capitolul 5</t>
  </si>
  <si>
    <t xml:space="preserve"> 6.1</t>
  </si>
  <si>
    <t>Pregatirea personalului de exploatare</t>
  </si>
  <si>
    <t xml:space="preserve"> 6.2</t>
  </si>
  <si>
    <t>Probe tehnologice si teste</t>
  </si>
  <si>
    <t>Total Capitolul 6</t>
  </si>
  <si>
    <t>Deviz Capitolul 1 - Cheltuieli pentru Obtinerea si Amenajarea Terenului</t>
  </si>
  <si>
    <t>Deviz Capitolul 4 - Cheltuieli pentru investitii de baza</t>
  </si>
  <si>
    <t>1. OBTINEREA TERENULUI</t>
  </si>
  <si>
    <t>2. AMENAJAREA TERENULUI</t>
  </si>
  <si>
    <t>3. AMENAJARI PENTRU PROTECTIA MEDIULUI</t>
  </si>
  <si>
    <t>Pret unitar ( fara TVA )</t>
  </si>
  <si>
    <t>Pret unitar 
( fara TVA )</t>
  </si>
  <si>
    <t>Deviz General 
privind cheltuielile necesare</t>
  </si>
  <si>
    <t>Valoare ( fără TVA )</t>
  </si>
  <si>
    <t>Obtinerea terenului</t>
  </si>
  <si>
    <t>Amenajări pentru protecția mediului si aducerea la starea inițială</t>
  </si>
  <si>
    <t>Capitolul 4 - Cheltuieli pentru investitia de bază</t>
  </si>
  <si>
    <t>Dotări</t>
  </si>
  <si>
    <t>5.1.1. Lucrari de constructii</t>
  </si>
  <si>
    <t>5.1.2. Cheltuieli conexe organizarii santierului</t>
  </si>
  <si>
    <t>Capitolul 6 - Cheltuieli pentru probe tehnologice și teste și predare la beneficiar</t>
  </si>
  <si>
    <t>Din care C+M ( 1.2 + 1.3 + 2 + 4.1 + 4.2 +5.1.1 )</t>
  </si>
  <si>
    <t>Mii RON</t>
  </si>
  <si>
    <t>Mii Euro</t>
  </si>
  <si>
    <t>Corp de Iluminat tip LED - il. rutier</t>
  </si>
  <si>
    <t>Consola - il. pietonal</t>
  </si>
  <si>
    <t>Corp de Iluminat tip LED - il. pietonal</t>
  </si>
  <si>
    <t>Obiect 016:</t>
  </si>
  <si>
    <t>Obiect 017:</t>
  </si>
  <si>
    <t>Obiect 018:</t>
  </si>
  <si>
    <t>Obiect 019:</t>
  </si>
  <si>
    <t>Obiect 020:</t>
  </si>
  <si>
    <t>Obiect 021:</t>
  </si>
  <si>
    <t>Obiect 022:</t>
  </si>
  <si>
    <t>Obiect 023:</t>
  </si>
  <si>
    <t>Obiect 024:</t>
  </si>
  <si>
    <t>Obiect 025:</t>
  </si>
  <si>
    <t>Obiect 026:</t>
  </si>
  <si>
    <t>Cablu alimentare corp iluminat</t>
  </si>
  <si>
    <t>Cablu alimentare CIL rutier pe interiorul stalpului</t>
  </si>
  <si>
    <t>Cablu alimentare CIL pietonal pe interiorul stalpului</t>
  </si>
  <si>
    <t>Siguranta protectie</t>
  </si>
  <si>
    <t>vezi schrack.ro</t>
  </si>
  <si>
    <t>CYY 3X1.5</t>
  </si>
  <si>
    <t>Arteră de legătură între B-dul Nicolae Bălcescu și B-dul Tineretului, inclusiv rampele aferente Pasajului Suprateran</t>
  </si>
  <si>
    <t>Denumire Obiect:</t>
  </si>
  <si>
    <t>Bretea S1C</t>
  </si>
  <si>
    <t>Stalp de iluminat h=10m</t>
  </si>
  <si>
    <t>Consola il. rutier</t>
  </si>
  <si>
    <t>LES jT</t>
  </si>
  <si>
    <t>Bretea S1U</t>
  </si>
  <si>
    <t>Platbanda OlZn</t>
  </si>
  <si>
    <t>OlZn 40x4mm</t>
  </si>
  <si>
    <t>Lucrari de pasaje pe bretele de acces</t>
  </si>
  <si>
    <t>Lucrari de drum</t>
  </si>
  <si>
    <t>Instalatii electrice</t>
  </si>
  <si>
    <t>2.1.</t>
  </si>
  <si>
    <t>2.1.1.</t>
  </si>
  <si>
    <t>Infrasstructura</t>
  </si>
  <si>
    <t>Forare piloti forati d=1080mm, inclusiv pregatirea capetelor coloanelor</t>
  </si>
  <si>
    <t>Forare piloti forati d=1500mm, inclusiv pregatirea capetelor coloanelor</t>
  </si>
  <si>
    <t>Beton C25/30 in piloti forati</t>
  </si>
  <si>
    <t>Armatura in piloti forati</t>
  </si>
  <si>
    <t>t</t>
  </si>
  <si>
    <t>Tevi pentru control US in piloti forati</t>
  </si>
  <si>
    <t>Sapatura h&lt;4.00m, fara sprijiniri</t>
  </si>
  <si>
    <t>Beton C8/10 in strat de egalizare</t>
  </si>
  <si>
    <t>Cofraje la fundatii</t>
  </si>
  <si>
    <t>mp</t>
  </si>
  <si>
    <t>Beton clasa C25/30 in radiere</t>
  </si>
  <si>
    <t>Armatura in radiere</t>
  </si>
  <si>
    <t>Cofraje plane la elevatii</t>
  </si>
  <si>
    <t>Cofraje curbe la elevatii</t>
  </si>
  <si>
    <t>Beton clasa C30/37</t>
  </si>
  <si>
    <t>Armatura in elevatii</t>
  </si>
  <si>
    <t>Hidroizolatii din bitum filerizat</t>
  </si>
  <si>
    <t>Dren din piatra bruta</t>
  </si>
  <si>
    <t>Umpluturi de pamant la fundatii</t>
  </si>
  <si>
    <t>Protectia suprafetelor de beton (hidroprotectie)</t>
  </si>
  <si>
    <t>Aparate de reazem din neopren armat</t>
  </si>
  <si>
    <t>Placi de racordare L=6.0m</t>
  </si>
  <si>
    <t>2.1.2.</t>
  </si>
  <si>
    <t>Suprastructura</t>
  </si>
  <si>
    <t>Tabliere metalice sudate</t>
  </si>
  <si>
    <t>Predale prefabricate - beton C40/50</t>
  </si>
  <si>
    <t>Cofraje la suprastructura</t>
  </si>
  <si>
    <t>Armatura</t>
  </si>
  <si>
    <t>Hidroizolatie</t>
  </si>
  <si>
    <t>Cale pe pod</t>
  </si>
  <si>
    <t>Borduri prefabricate 15x25cm L=0.50m/buc</t>
  </si>
  <si>
    <t>Rosturi de dilatatie cu suflu de 50mm</t>
  </si>
  <si>
    <t>Parapet de protectie tip H4b metalic zincat</t>
  </si>
  <si>
    <t>Dispozitive antiseismice, inclusiv neopren 150x300x19mm</t>
  </si>
  <si>
    <t>2.1.3</t>
  </si>
  <si>
    <t>Palei provizorii</t>
  </si>
  <si>
    <t>Palei metalice</t>
  </si>
  <si>
    <t>Demolare beton armat in radiere</t>
  </si>
  <si>
    <t>2.2.</t>
  </si>
  <si>
    <t>2.2.1.</t>
  </si>
  <si>
    <t>2.2.2.</t>
  </si>
  <si>
    <t>2.2.3</t>
  </si>
  <si>
    <t>2.3.3</t>
  </si>
  <si>
    <t>2.3.2.</t>
  </si>
  <si>
    <t>2.3.1.</t>
  </si>
  <si>
    <t>2.3.</t>
  </si>
  <si>
    <t>Bretele N1C si N1U</t>
  </si>
  <si>
    <t>Drum</t>
  </si>
  <si>
    <t>Pichetare de detaliu pentru drumuri</t>
  </si>
  <si>
    <t>km</t>
  </si>
  <si>
    <t>Decapare sistem rutier elastic existent</t>
  </si>
  <si>
    <t>Spargerea dalelor din sistemul rutier existent</t>
  </si>
  <si>
    <t>Desfacere borduri existente</t>
  </si>
  <si>
    <t>Sapatura in caseta</t>
  </si>
  <si>
    <t>Frezare imbracaminti existente</t>
  </si>
  <si>
    <t>Nivelarea si compactarea patului drumului</t>
  </si>
  <si>
    <t>Trotuare</t>
  </si>
  <si>
    <t>Pichetare de detaliu pentru trotuare</t>
  </si>
  <si>
    <t>Decapare sistem rutier pietonal, inclusiv borduri</t>
  </si>
  <si>
    <t>Sistem rutier  strazi</t>
  </si>
  <si>
    <t>Strat de forma conform STAS 12253/84</t>
  </si>
  <si>
    <t>Fundatie din balast</t>
  </si>
  <si>
    <t>Strat din agregate nat.stab. cu ciment</t>
  </si>
  <si>
    <t>Strat de baza din AB31.5</t>
  </si>
  <si>
    <t>to</t>
  </si>
  <si>
    <t xml:space="preserve">Strat din BA20leg 50/70 </t>
  </si>
  <si>
    <t>Strat din BA16 rul 50/70</t>
  </si>
  <si>
    <t>Borduri noi, inclusiv fundatia</t>
  </si>
  <si>
    <t>Sistem rutier sens giratoriu</t>
  </si>
  <si>
    <t>Strat de fundatie din beton C20/25-10cm grosime</t>
  </si>
  <si>
    <t>Strat de poza din nisip</t>
  </si>
  <si>
    <t>Pavele autoblocante 8cm grosime culoare rosie sui alba</t>
  </si>
  <si>
    <t xml:space="preserve">Geotextil </t>
  </si>
  <si>
    <t>Umplutura de pamant</t>
  </si>
  <si>
    <t>Sistem rutier pe rampe de acces</t>
  </si>
  <si>
    <t>Borduri noi inclusiv fundatia</t>
  </si>
  <si>
    <t>Strat din balast</t>
  </si>
  <si>
    <t>Strat din beton C16/20</t>
  </si>
  <si>
    <t>Strat din beton asfaltica BA8</t>
  </si>
  <si>
    <t>Bordura noua, inclusiv fundatia</t>
  </si>
  <si>
    <t>Rampe din pamant armat</t>
  </si>
  <si>
    <t>Rampa bretea S1C</t>
  </si>
  <si>
    <t>Rampa Bretea S1U</t>
  </si>
  <si>
    <t>Rampe N1C+N1U</t>
  </si>
  <si>
    <t>Siguranta circulatiei</t>
  </si>
  <si>
    <t>2.6.1</t>
  </si>
  <si>
    <t>Semnalizare rutiera pe timpul executiei</t>
  </si>
  <si>
    <t>ps</t>
  </si>
  <si>
    <t>2.6.2</t>
  </si>
  <si>
    <t>Indicatoare rutiere</t>
  </si>
  <si>
    <t>2.6.3</t>
  </si>
  <si>
    <t>Marcaje longitudinale</t>
  </si>
  <si>
    <t>2.6.4</t>
  </si>
  <si>
    <t>Marcaje transversale ( linii de oprire, linii de cedeaza, treceri de pietoni)</t>
  </si>
  <si>
    <t>2.6.5</t>
  </si>
  <si>
    <t>Marcaje diverse (linii de ghidare, spatii interzise etc)</t>
  </si>
  <si>
    <t>2.6.6</t>
  </si>
  <si>
    <t>Marcaje diverse preformate (sageti, inscriptii)</t>
  </si>
  <si>
    <t>Punct de aprindere</t>
  </si>
  <si>
    <t>4.1.</t>
  </si>
  <si>
    <t>Curenti tari</t>
  </si>
  <si>
    <t>Curenti slabi - relocari</t>
  </si>
  <si>
    <t>Relocare retele de curenti slabi</t>
  </si>
  <si>
    <t>ans</t>
  </si>
  <si>
    <t>Exproprieri</t>
  </si>
  <si>
    <t>Demolare cladiri</t>
  </si>
  <si>
    <t>Deviere canalizare</t>
  </si>
  <si>
    <t>Deviere retea termoficare</t>
  </si>
  <si>
    <t>Deviere retea gaze naturale</t>
  </si>
  <si>
    <t>Amenajare spatii verzi</t>
  </si>
  <si>
    <t>Esalonarea costurilor coroborate cu graficul de realizare a investitiei</t>
  </si>
  <si>
    <t>T.V.A. inclus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</si>
  <si>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</si>
  <si>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</si>
  <si>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</si>
  <si>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</si>
  <si>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</si>
  <si>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</si>
  <si>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</si>
  <si>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</si>
  <si>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</si>
  <si>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</si>
  <si>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</si>
  <si>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</si>
  <si>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Luna 13</t>
  </si>
  <si>
    <t>Luna 14</t>
  </si>
  <si>
    <t>Luna 15</t>
  </si>
  <si>
    <t>Luna 16</t>
  </si>
  <si>
    <t>Total</t>
  </si>
  <si>
    <t>PARTEA I</t>
  </si>
  <si>
    <t>Obtinerea ternului</t>
  </si>
  <si>
    <t>Amenajari pentru protectia mediului, inclusiv refacerea cadrului natural dupa finalizare lucrarilor</t>
  </si>
  <si>
    <t>Asistenta tehnica (inclusiv verificarea proiectului)</t>
  </si>
  <si>
    <t>Capitolul 4 - Cheltuieli pentru investitii de baza</t>
  </si>
  <si>
    <t xml:space="preserve"> 5.1.1</t>
  </si>
  <si>
    <t>Lucrari de constructii</t>
  </si>
  <si>
    <t xml:space="preserve"> 5.1.2</t>
  </si>
  <si>
    <t>Cheltuieli conexe organizarii santierului</t>
  </si>
  <si>
    <t>Comisioane, cote, taxe, costul creditului</t>
  </si>
  <si>
    <t>Cheltuieli diverse si neprevazute</t>
  </si>
  <si>
    <t>Capitolul 6 - Cheltuieli pentru probe tehnologice si teste si predare la beneficiar</t>
  </si>
  <si>
    <t>Total GENERAL</t>
  </si>
  <si>
    <t>Proiectant,</t>
  </si>
  <si>
    <t>Luna 17</t>
  </si>
  <si>
    <t>-</t>
  </si>
  <si>
    <t>Luna 18</t>
  </si>
  <si>
    <t>Graficul fizic de realizare a investitiei</t>
  </si>
  <si>
    <t>Deviere instalatii curenti slabi</t>
  </si>
  <si>
    <t>Documentatii in vederea exproprierii</t>
  </si>
  <si>
    <t xml:space="preserve">3. Cheltuieli diverse si neprevazute - </t>
  </si>
  <si>
    <t>Cheltuieli pentru studii de teren (geotehnice, geologice, hidrologice, hidrotehnice, fotogrammetrice, topografice si de stabilitate a terenului pe care se amplaseaza obiectivul de investitie)</t>
  </si>
  <si>
    <t>Obtinere  avize, acorduri si autorizatii</t>
  </si>
  <si>
    <t>Judetu Arges Deviz actualizat 25.07.2018</t>
  </si>
  <si>
    <t>Suprastructura drum</t>
  </si>
  <si>
    <t>Santuri pereate stg-dr</t>
  </si>
  <si>
    <t>Santuri pamant stg-dr</t>
  </si>
  <si>
    <t>Podete tubulare 6 buc</t>
  </si>
  <si>
    <t>Drumuri laterale</t>
  </si>
  <si>
    <t>Accese proprietati</t>
  </si>
  <si>
    <t>Marcaje si semnalizari</t>
  </si>
  <si>
    <t>Montaj utilaje si echipamente tehnologice (Statie autobuz)</t>
  </si>
  <si>
    <t xml:space="preserve">Judetul Arges </t>
  </si>
  <si>
    <t>ing. Liliana LIXANDRU</t>
  </si>
  <si>
    <t>21,06,2019</t>
  </si>
  <si>
    <t xml:space="preserve"> 3.6.1</t>
  </si>
  <si>
    <t>pe marcajul galben am facut actualizari astazi</t>
  </si>
  <si>
    <t>Liliana</t>
  </si>
  <si>
    <t xml:space="preserve"> 3.6.2</t>
  </si>
  <si>
    <t>Dirigentie de santier</t>
  </si>
  <si>
    <t>INTRA  SI VERIF TEHNICA 6874,63 LEI</t>
  </si>
  <si>
    <t>si intra si PT 35020 LEI</t>
  </si>
  <si>
    <t xml:space="preserve">DALI, </t>
  </si>
  <si>
    <t xml:space="preserve">la cap 3.3 am decontat 41 736,21 lei :expertiza, </t>
  </si>
  <si>
    <t>AM MODIFICAT VALOAREA  ISC - 64 596,51 SI CSC - 53 830,53</t>
  </si>
  <si>
    <t>CONSULTANTA  = 0  LEI</t>
  </si>
  <si>
    <t>Deviz actualizat 21.06.2019</t>
  </si>
  <si>
    <t>Modernizare DJ 703B Serbanesti (DJ659) - Silistea, km 70+410 - 77+826, 7.416km, in comunele Rociu si Cateasca</t>
  </si>
</sst>
</file>

<file path=xl/styles.xml><?xml version="1.0" encoding="utf-8"?>
<styleSheet xmlns="http://schemas.openxmlformats.org/spreadsheetml/2006/main">
  <numFmts count="11">
    <numFmt numFmtId="43" formatCode="_-* #,##0.00\ _l_e_i_-;\-* #,##0.00\ _l_e_i_-;_-* &quot;-&quot;??\ _l_e_i_-;_-@_-"/>
    <numFmt numFmtId="164" formatCode="_(* #,##0_);_(* \(#,##0\);_(* &quot;-&quot;_);_(@_)"/>
    <numFmt numFmtId="165" formatCode="_(* #,##0.00_);_(* \(#,##0.00\);_(* &quot;-&quot;??_);_(@_)"/>
    <numFmt numFmtId="166" formatCode="_-* #,##0.00_-;\-* #,##0.00_-;_-* &quot;-&quot;??_-;_-@_-"/>
    <numFmt numFmtId="167" formatCode="_(* #,##0.0000_);_(* \(#,##0.0000\);_(* &quot;-&quot;??_);_(@_)"/>
    <numFmt numFmtId="168" formatCode="_(* #,##0_);_(* \(#,##0\);_(* \-??_);_(@_)"/>
    <numFmt numFmtId="169" formatCode="_([$RON]\ * #,##0.0000_);_([$RON]\ * \(#,##0.0000\);_([$RON]\ * &quot;-&quot;??_);_(@_)"/>
    <numFmt numFmtId="170" formatCode="_(* #,##0.000_);_(* \(#,##0.000\);_(* &quot;-&quot;??_);_(@_)"/>
    <numFmt numFmtId="171" formatCode="_-* #,##0.0000\ _l_e_i_-;\-* #,##0.0000\ _l_e_i_-;_-* &quot;-&quot;??\ _l_e_i_-;_-@_-"/>
    <numFmt numFmtId="172" formatCode="_-* #,##0.000\ _l_e_i_-;\-* #,##0.000\ _l_e_i_-;_-* &quot;-&quot;??\ _l_e_i_-;_-@_-"/>
    <numFmt numFmtId="173" formatCode="0_);\(0\)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0" tint="-0.1499984740745262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Times New Roman"/>
      <family val="1"/>
      <charset val="238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rgb="FF7030A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697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3" fontId="7" fillId="5" borderId="2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Fill="1"/>
    <xf numFmtId="0" fontId="17" fillId="6" borderId="0" xfId="0" applyFont="1" applyFill="1"/>
    <xf numFmtId="0" fontId="16" fillId="6" borderId="0" xfId="0" applyFont="1" applyFill="1"/>
    <xf numFmtId="0" fontId="15" fillId="6" borderId="0" xfId="0" applyFont="1" applyFill="1"/>
    <xf numFmtId="0" fontId="18" fillId="0" borderId="0" xfId="0" applyFont="1"/>
    <xf numFmtId="0" fontId="16" fillId="0" borderId="0" xfId="0" applyFont="1" applyAlignment="1">
      <alignment horizontal="center"/>
    </xf>
    <xf numFmtId="0" fontId="19" fillId="0" borderId="0" xfId="0" applyFont="1"/>
    <xf numFmtId="43" fontId="7" fillId="0" borderId="2" xfId="1" applyFont="1" applyFill="1" applyBorder="1" applyAlignment="1">
      <alignment horizontal="right" vertical="center" wrapText="1"/>
    </xf>
    <xf numFmtId="43" fontId="7" fillId="4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15" fillId="6" borderId="0" xfId="0" applyFont="1" applyFill="1" applyAlignment="1">
      <alignment horizontal="center"/>
    </xf>
    <xf numFmtId="0" fontId="15" fillId="0" borderId="0" xfId="0" applyFont="1" applyFill="1"/>
    <xf numFmtId="0" fontId="17" fillId="0" borderId="7" xfId="0" applyFont="1" applyBorder="1"/>
    <xf numFmtId="0" fontId="15" fillId="0" borderId="7" xfId="0" applyFont="1" applyBorder="1"/>
    <xf numFmtId="0" fontId="15" fillId="0" borderId="7" xfId="0" applyFont="1" applyBorder="1" applyAlignment="1">
      <alignment horizontal="center"/>
    </xf>
    <xf numFmtId="10" fontId="15" fillId="0" borderId="7" xfId="0" applyNumberFormat="1" applyFont="1" applyBorder="1"/>
    <xf numFmtId="169" fontId="16" fillId="0" borderId="7" xfId="0" applyNumberFormat="1" applyFont="1" applyBorder="1"/>
    <xf numFmtId="0" fontId="16" fillId="0" borderId="7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left" vertical="center" wrapText="1"/>
    </xf>
    <xf numFmtId="165" fontId="7" fillId="0" borderId="8" xfId="1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167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7" fillId="0" borderId="7" xfId="1" applyNumberFormat="1" applyFont="1" applyFill="1" applyBorder="1" applyAlignment="1">
      <alignment vertical="center" wrapText="1"/>
    </xf>
    <xf numFmtId="165" fontId="7" fillId="0" borderId="8" xfId="1" applyNumberFormat="1" applyFont="1" applyFill="1" applyBorder="1" applyAlignment="1">
      <alignment vertical="center" wrapText="1"/>
    </xf>
    <xf numFmtId="165" fontId="7" fillId="0" borderId="7" xfId="1" applyNumberFormat="1" applyFont="1" applyFill="1" applyBorder="1" applyAlignment="1" applyProtection="1">
      <alignment vertical="center" wrapText="1"/>
    </xf>
    <xf numFmtId="165" fontId="7" fillId="0" borderId="8" xfId="1" applyNumberFormat="1" applyFont="1" applyFill="1" applyBorder="1" applyAlignment="1" applyProtection="1">
      <alignment vertical="center" wrapText="1"/>
    </xf>
    <xf numFmtId="165" fontId="7" fillId="2" borderId="7" xfId="1" applyNumberFormat="1" applyFont="1" applyFill="1" applyBorder="1" applyAlignment="1">
      <alignment vertical="center" wrapText="1"/>
    </xf>
    <xf numFmtId="165" fontId="7" fillId="2" borderId="8" xfId="1" applyNumberFormat="1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5" fontId="7" fillId="0" borderId="7" xfId="1" applyNumberFormat="1" applyFont="1" applyBorder="1" applyAlignment="1">
      <alignment vertical="center" wrapText="1"/>
    </xf>
    <xf numFmtId="165" fontId="7" fillId="0" borderId="8" xfId="1" applyNumberFormat="1" applyFont="1" applyBorder="1" applyAlignment="1">
      <alignment vertical="center" wrapText="1"/>
    </xf>
    <xf numFmtId="165" fontId="7" fillId="2" borderId="13" xfId="1" applyNumberFormat="1" applyFont="1" applyFill="1" applyBorder="1" applyAlignment="1" applyProtection="1">
      <alignment vertical="center" wrapText="1"/>
    </xf>
    <xf numFmtId="165" fontId="7" fillId="2" borderId="14" xfId="1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165" fontId="3" fillId="0" borderId="7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Border="1" applyAlignment="1">
      <alignment vertical="center" wrapText="1"/>
    </xf>
    <xf numFmtId="165" fontId="3" fillId="0" borderId="8" xfId="1" applyNumberFormat="1" applyFont="1" applyFill="1" applyBorder="1" applyAlignment="1" applyProtection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165" fontId="7" fillId="2" borderId="13" xfId="1" applyNumberFormat="1" applyFont="1" applyFill="1" applyBorder="1" applyAlignment="1">
      <alignment vertical="center" wrapText="1"/>
    </xf>
    <xf numFmtId="165" fontId="7" fillId="2" borderId="14" xfId="1" applyNumberFormat="1" applyFont="1" applyFill="1" applyBorder="1" applyAlignment="1">
      <alignment vertical="center" wrapText="1"/>
    </xf>
    <xf numFmtId="0" fontId="4" fillId="3" borderId="0" xfId="0" applyFont="1" applyFill="1" applyAlignment="1">
      <alignment vertical="center"/>
    </xf>
    <xf numFmtId="165" fontId="3" fillId="2" borderId="13" xfId="1" applyNumberFormat="1" applyFont="1" applyFill="1" applyBorder="1" applyAlignment="1" applyProtection="1">
      <alignment vertical="center" wrapText="1"/>
    </xf>
    <xf numFmtId="165" fontId="3" fillId="2" borderId="14" xfId="1" applyNumberFormat="1" applyFont="1" applyFill="1" applyBorder="1" applyAlignment="1" applyProtection="1">
      <alignment vertical="center" wrapText="1"/>
    </xf>
    <xf numFmtId="0" fontId="7" fillId="3" borderId="6" xfId="0" applyFont="1" applyFill="1" applyBorder="1" applyAlignment="1">
      <alignment vertical="center" wrapText="1"/>
    </xf>
    <xf numFmtId="165" fontId="7" fillId="3" borderId="7" xfId="1" applyNumberFormat="1" applyFont="1" applyFill="1" applyBorder="1" applyAlignment="1">
      <alignment vertical="center" wrapText="1"/>
    </xf>
    <xf numFmtId="165" fontId="7" fillId="3" borderId="8" xfId="1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3" fontId="3" fillId="0" borderId="0" xfId="1" applyFont="1" applyFill="1" applyBorder="1" applyAlignment="1" applyProtection="1">
      <alignment vertical="center" wrapText="1"/>
    </xf>
    <xf numFmtId="43" fontId="3" fillId="0" borderId="0" xfId="1" applyFont="1" applyFill="1" applyBorder="1" applyAlignment="1">
      <alignment vertical="center" wrapText="1"/>
    </xf>
    <xf numFmtId="43" fontId="7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43" fontId="12" fillId="5" borderId="0" xfId="1" applyFont="1" applyFill="1" applyAlignment="1">
      <alignment vertical="center"/>
    </xf>
    <xf numFmtId="43" fontId="12" fillId="0" borderId="0" xfId="1" applyFont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165" fontId="12" fillId="5" borderId="17" xfId="1" applyNumberFormat="1" applyFont="1" applyFill="1" applyBorder="1" applyAlignment="1">
      <alignment vertical="center"/>
    </xf>
    <xf numFmtId="165" fontId="12" fillId="0" borderId="17" xfId="1" applyNumberFormat="1" applyFont="1" applyBorder="1" applyAlignment="1">
      <alignment vertical="center"/>
    </xf>
    <xf numFmtId="165" fontId="12" fillId="0" borderId="1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165" fontId="12" fillId="0" borderId="0" xfId="1" applyNumberFormat="1" applyFont="1" applyBorder="1" applyAlignment="1">
      <alignment vertical="center"/>
    </xf>
    <xf numFmtId="165" fontId="12" fillId="0" borderId="0" xfId="0" applyNumberFormat="1" applyFont="1" applyBorder="1" applyAlignment="1">
      <alignment vertical="center"/>
    </xf>
    <xf numFmtId="165" fontId="12" fillId="5" borderId="0" xfId="1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43" fontId="12" fillId="0" borderId="0" xfId="0" applyNumberFormat="1" applyFont="1" applyAlignment="1">
      <alignment vertical="center"/>
    </xf>
    <xf numFmtId="43" fontId="12" fillId="3" borderId="0" xfId="1" applyFont="1" applyFill="1" applyAlignment="1">
      <alignment vertical="center"/>
    </xf>
    <xf numFmtId="0" fontId="7" fillId="0" borderId="4" xfId="0" applyFont="1" applyFill="1" applyBorder="1" applyAlignment="1">
      <alignment vertical="center" wrapText="1"/>
    </xf>
    <xf numFmtId="165" fontId="7" fillId="0" borderId="4" xfId="1" applyNumberFormat="1" applyFont="1" applyFill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 wrapText="1"/>
    </xf>
    <xf numFmtId="168" fontId="7" fillId="2" borderId="13" xfId="0" applyNumberFormat="1" applyFont="1" applyFill="1" applyBorder="1" applyAlignment="1">
      <alignment horizontal="center" vertical="center" wrapText="1"/>
    </xf>
    <xf numFmtId="168" fontId="7" fillId="2" borderId="14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165" fontId="7" fillId="0" borderId="10" xfId="1" applyNumberFormat="1" applyFont="1" applyFill="1" applyBorder="1" applyAlignment="1">
      <alignment vertical="center" wrapText="1"/>
    </xf>
    <xf numFmtId="165" fontId="7" fillId="0" borderId="11" xfId="1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65" fontId="7" fillId="0" borderId="13" xfId="1" applyNumberFormat="1" applyFont="1" applyFill="1" applyBorder="1" applyAlignment="1" applyProtection="1">
      <alignment vertical="center" wrapText="1"/>
    </xf>
    <xf numFmtId="165" fontId="7" fillId="0" borderId="14" xfId="1" applyNumberFormat="1" applyFont="1" applyFill="1" applyBorder="1" applyAlignment="1" applyProtection="1">
      <alignment vertical="center" wrapText="1"/>
    </xf>
    <xf numFmtId="165" fontId="7" fillId="0" borderId="4" xfId="1" applyNumberFormat="1" applyFont="1" applyBorder="1" applyAlignment="1">
      <alignment vertical="center" wrapText="1"/>
    </xf>
    <xf numFmtId="165" fontId="7" fillId="0" borderId="5" xfId="1" applyNumberFormat="1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165" fontId="7" fillId="0" borderId="10" xfId="1" applyNumberFormat="1" applyFont="1" applyBorder="1" applyAlignment="1">
      <alignment vertical="center" wrapText="1"/>
    </xf>
    <xf numFmtId="165" fontId="7" fillId="0" borderId="11" xfId="1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5" fontId="7" fillId="2" borderId="19" xfId="1" applyNumberFormat="1" applyFont="1" applyFill="1" applyBorder="1" applyAlignment="1">
      <alignment vertical="center" wrapText="1"/>
    </xf>
    <xf numFmtId="165" fontId="7" fillId="2" borderId="20" xfId="1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165" fontId="3" fillId="0" borderId="22" xfId="1" applyNumberFormat="1" applyFont="1" applyFill="1" applyBorder="1" applyAlignment="1" applyProtection="1">
      <alignment vertical="center" wrapText="1"/>
    </xf>
    <xf numFmtId="165" fontId="3" fillId="0" borderId="22" xfId="1" applyNumberFormat="1" applyFont="1" applyBorder="1" applyAlignment="1">
      <alignment vertical="center" wrapText="1"/>
    </xf>
    <xf numFmtId="165" fontId="3" fillId="0" borderId="23" xfId="1" applyNumberFormat="1" applyFont="1" applyFill="1" applyBorder="1" applyAlignment="1" applyProtection="1">
      <alignment vertical="center" wrapText="1"/>
    </xf>
    <xf numFmtId="0" fontId="7" fillId="3" borderId="18" xfId="0" applyFont="1" applyFill="1" applyBorder="1" applyAlignment="1">
      <alignment vertical="center" wrapText="1"/>
    </xf>
    <xf numFmtId="165" fontId="7" fillId="3" borderId="19" xfId="1" applyNumberFormat="1" applyFont="1" applyFill="1" applyBorder="1" applyAlignment="1" applyProtection="1">
      <alignment vertical="center" wrapText="1"/>
    </xf>
    <xf numFmtId="165" fontId="7" fillId="3" borderId="20" xfId="1" applyNumberFormat="1" applyFont="1" applyFill="1" applyBorder="1" applyAlignment="1" applyProtection="1">
      <alignment vertical="center" wrapText="1"/>
    </xf>
    <xf numFmtId="165" fontId="3" fillId="3" borderId="19" xfId="1" applyNumberFormat="1" applyFont="1" applyFill="1" applyBorder="1" applyAlignment="1">
      <alignment vertical="center" wrapText="1"/>
    </xf>
    <xf numFmtId="165" fontId="3" fillId="3" borderId="20" xfId="1" applyNumberFormat="1" applyFont="1" applyFill="1" applyBorder="1" applyAlignment="1">
      <alignment vertical="center" wrapText="1"/>
    </xf>
    <xf numFmtId="165" fontId="23" fillId="0" borderId="7" xfId="1" applyNumberFormat="1" applyFont="1" applyBorder="1" applyAlignment="1">
      <alignment horizontal="right" vertical="center" wrapText="1"/>
    </xf>
    <xf numFmtId="165" fontId="24" fillId="2" borderId="7" xfId="1" applyNumberFormat="1" applyFont="1" applyFill="1" applyBorder="1" applyAlignment="1" applyProtection="1">
      <alignment horizontal="right" vertical="center"/>
    </xf>
    <xf numFmtId="165" fontId="24" fillId="2" borderId="8" xfId="1" applyNumberFormat="1" applyFont="1" applyFill="1" applyBorder="1" applyAlignment="1" applyProtection="1">
      <alignment horizontal="right" vertical="center"/>
    </xf>
    <xf numFmtId="165" fontId="23" fillId="0" borderId="7" xfId="1" applyNumberFormat="1" applyFont="1" applyBorder="1" applyAlignment="1">
      <alignment horizontal="right" vertical="center"/>
    </xf>
    <xf numFmtId="165" fontId="23" fillId="0" borderId="8" xfId="1" applyNumberFormat="1" applyFont="1" applyBorder="1" applyAlignment="1">
      <alignment horizontal="right" vertical="center"/>
    </xf>
    <xf numFmtId="165" fontId="23" fillId="0" borderId="22" xfId="1" applyNumberFormat="1" applyFont="1" applyBorder="1" applyAlignment="1">
      <alignment horizontal="right" vertical="center"/>
    </xf>
    <xf numFmtId="165" fontId="23" fillId="0" borderId="22" xfId="1" applyNumberFormat="1" applyFont="1" applyBorder="1" applyAlignment="1">
      <alignment horizontal="right" vertical="center" wrapText="1"/>
    </xf>
    <xf numFmtId="165" fontId="23" fillId="0" borderId="23" xfId="1" applyNumberFormat="1" applyFont="1" applyBorder="1" applyAlignment="1">
      <alignment horizontal="right" vertical="center"/>
    </xf>
    <xf numFmtId="0" fontId="23" fillId="0" borderId="4" xfId="3" applyFont="1" applyFill="1" applyBorder="1" applyAlignment="1" applyProtection="1">
      <alignment horizontal="left" vertical="center" wrapText="1"/>
    </xf>
    <xf numFmtId="0" fontId="23" fillId="0" borderId="7" xfId="3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24" fillId="0" borderId="0" xfId="1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165" fontId="24" fillId="0" borderId="7" xfId="1" applyNumberFormat="1" applyFont="1" applyFill="1" applyBorder="1" applyAlignment="1">
      <alignment horizontal="right" vertical="center"/>
    </xf>
    <xf numFmtId="165" fontId="24" fillId="0" borderId="8" xfId="1" applyNumberFormat="1" applyFont="1" applyFill="1" applyBorder="1" applyAlignment="1">
      <alignment horizontal="right" vertical="center"/>
    </xf>
    <xf numFmtId="0" fontId="23" fillId="0" borderId="7" xfId="3" applyFont="1" applyBorder="1" applyAlignment="1">
      <alignment vertical="center" wrapText="1"/>
    </xf>
    <xf numFmtId="0" fontId="23" fillId="0" borderId="22" xfId="3" applyFont="1" applyBorder="1" applyAlignment="1">
      <alignment vertical="center" wrapText="1"/>
    </xf>
    <xf numFmtId="165" fontId="24" fillId="0" borderId="22" xfId="1" applyNumberFormat="1" applyFont="1" applyFill="1" applyBorder="1" applyAlignment="1">
      <alignment vertical="center"/>
    </xf>
    <xf numFmtId="165" fontId="24" fillId="0" borderId="23" xfId="1" applyNumberFormat="1" applyFont="1" applyFill="1" applyBorder="1" applyAlignment="1">
      <alignment vertical="center"/>
    </xf>
    <xf numFmtId="0" fontId="24" fillId="0" borderId="7" xfId="3" applyFont="1" applyBorder="1" applyAlignment="1">
      <alignment vertical="center" wrapText="1"/>
    </xf>
    <xf numFmtId="165" fontId="24" fillId="0" borderId="7" xfId="1" applyNumberFormat="1" applyFont="1" applyBorder="1" applyAlignment="1">
      <alignment vertical="center"/>
    </xf>
    <xf numFmtId="165" fontId="24" fillId="0" borderId="7" xfId="1" applyNumberFormat="1" applyFont="1" applyFill="1" applyBorder="1" applyAlignment="1">
      <alignment vertical="center"/>
    </xf>
    <xf numFmtId="165" fontId="24" fillId="0" borderId="8" xfId="1" applyNumberFormat="1" applyFont="1" applyFill="1" applyBorder="1" applyAlignment="1">
      <alignment vertical="center"/>
    </xf>
    <xf numFmtId="0" fontId="24" fillId="0" borderId="22" xfId="3" applyFont="1" applyBorder="1" applyAlignment="1">
      <alignment vertical="center" wrapText="1"/>
    </xf>
    <xf numFmtId="165" fontId="23" fillId="0" borderId="22" xfId="1" applyNumberFormat="1" applyFont="1" applyFill="1" applyBorder="1" applyAlignment="1">
      <alignment vertical="center"/>
    </xf>
    <xf numFmtId="165" fontId="23" fillId="0" borderId="7" xfId="1" applyNumberFormat="1" applyFont="1" applyFill="1" applyBorder="1" applyAlignment="1">
      <alignment vertical="center"/>
    </xf>
    <xf numFmtId="165" fontId="24" fillId="0" borderId="8" xfId="1" applyNumberFormat="1" applyFont="1" applyBorder="1" applyAlignment="1">
      <alignment vertical="center"/>
    </xf>
    <xf numFmtId="165" fontId="23" fillId="2" borderId="19" xfId="3" applyNumberFormat="1" applyFont="1" applyFill="1" applyBorder="1" applyAlignment="1">
      <alignment vertical="center"/>
    </xf>
    <xf numFmtId="165" fontId="23" fillId="2" borderId="20" xfId="3" applyNumberFormat="1" applyFont="1" applyFill="1" applyBorder="1" applyAlignment="1">
      <alignment vertical="center"/>
    </xf>
    <xf numFmtId="0" fontId="23" fillId="0" borderId="2" xfId="3" applyFont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/>
    </xf>
    <xf numFmtId="0" fontId="26" fillId="0" borderId="0" xfId="0" applyFont="1" applyFill="1" applyBorder="1"/>
    <xf numFmtId="0" fontId="27" fillId="0" borderId="0" xfId="0" applyFont="1"/>
    <xf numFmtId="43" fontId="27" fillId="0" borderId="0" xfId="1" applyFont="1"/>
    <xf numFmtId="0" fontId="28" fillId="0" borderId="0" xfId="0" applyFont="1"/>
    <xf numFmtId="0" fontId="29" fillId="0" borderId="0" xfId="0" applyFont="1" applyAlignme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left" wrapText="1"/>
    </xf>
    <xf numFmtId="0" fontId="33" fillId="0" borderId="0" xfId="0" applyFont="1" applyBorder="1" applyAlignment="1">
      <alignment wrapText="1"/>
    </xf>
    <xf numFmtId="0" fontId="33" fillId="0" borderId="0" xfId="0" applyFont="1" applyBorder="1" applyAlignment="1">
      <alignment horizontal="right"/>
    </xf>
    <xf numFmtId="167" fontId="3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/>
    </xf>
    <xf numFmtId="168" fontId="33" fillId="2" borderId="13" xfId="0" applyNumberFormat="1" applyFont="1" applyFill="1" applyBorder="1" applyAlignment="1">
      <alignment horizontal="center" vertical="top" wrapText="1"/>
    </xf>
    <xf numFmtId="168" fontId="33" fillId="2" borderId="14" xfId="0" applyNumberFormat="1" applyFont="1" applyFill="1" applyBorder="1" applyAlignment="1">
      <alignment horizontal="center" vertical="top" wrapText="1"/>
    </xf>
    <xf numFmtId="0" fontId="33" fillId="0" borderId="18" xfId="0" applyFont="1" applyFill="1" applyBorder="1" applyAlignment="1">
      <alignment horizontal="center" vertical="top" wrapText="1"/>
    </xf>
    <xf numFmtId="0" fontId="33" fillId="0" borderId="19" xfId="0" applyFont="1" applyFill="1" applyBorder="1" applyAlignment="1">
      <alignment vertical="top" wrapText="1"/>
    </xf>
    <xf numFmtId="165" fontId="33" fillId="0" borderId="19" xfId="1" applyNumberFormat="1" applyFont="1" applyFill="1" applyBorder="1" applyAlignment="1">
      <alignment vertical="top" wrapText="1"/>
    </xf>
    <xf numFmtId="165" fontId="33" fillId="0" borderId="20" xfId="1" applyNumberFormat="1" applyFont="1" applyFill="1" applyBorder="1" applyAlignment="1">
      <alignment vertical="top" wrapText="1"/>
    </xf>
    <xf numFmtId="165" fontId="28" fillId="0" borderId="0" xfId="0" applyNumberFormat="1" applyFont="1"/>
    <xf numFmtId="0" fontId="33" fillId="0" borderId="6" xfId="0" applyFont="1" applyFill="1" applyBorder="1" applyAlignment="1">
      <alignment horizontal="center" vertical="top" wrapText="1"/>
    </xf>
    <xf numFmtId="0" fontId="33" fillId="0" borderId="7" xfId="0" applyFont="1" applyFill="1" applyBorder="1" applyAlignment="1">
      <alignment vertical="top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vertical="center" wrapText="1"/>
    </xf>
    <xf numFmtId="49" fontId="33" fillId="0" borderId="21" xfId="0" applyNumberFormat="1" applyFont="1" applyFill="1" applyBorder="1" applyAlignment="1">
      <alignment horizontal="center" vertical="top" wrapText="1"/>
    </xf>
    <xf numFmtId="0" fontId="33" fillId="0" borderId="22" xfId="0" applyFont="1" applyFill="1" applyBorder="1" applyAlignment="1">
      <alignment vertical="top" wrapText="1"/>
    </xf>
    <xf numFmtId="165" fontId="33" fillId="2" borderId="13" xfId="1" applyNumberFormat="1" applyFont="1" applyFill="1" applyBorder="1" applyAlignment="1">
      <alignment vertical="top" wrapText="1"/>
    </xf>
    <xf numFmtId="165" fontId="33" fillId="2" borderId="14" xfId="1" applyNumberFormat="1" applyFont="1" applyFill="1" applyBorder="1" applyAlignment="1">
      <alignment vertical="top" wrapText="1"/>
    </xf>
    <xf numFmtId="0" fontId="33" fillId="0" borderId="15" xfId="0" applyFont="1" applyBorder="1" applyAlignment="1">
      <alignment vertical="top" wrapText="1"/>
    </xf>
    <xf numFmtId="0" fontId="33" fillId="0" borderId="16" xfId="0" applyFont="1" applyBorder="1" applyAlignment="1">
      <alignment vertical="top" wrapText="1"/>
    </xf>
    <xf numFmtId="165" fontId="33" fillId="2" borderId="13" xfId="1" applyNumberFormat="1" applyFont="1" applyFill="1" applyBorder="1" applyAlignment="1" applyProtection="1">
      <alignment vertical="top" wrapText="1"/>
    </xf>
    <xf numFmtId="165" fontId="33" fillId="2" borderId="14" xfId="1" applyNumberFormat="1" applyFont="1" applyFill="1" applyBorder="1" applyAlignment="1" applyProtection="1">
      <alignment vertical="top" wrapText="1"/>
    </xf>
    <xf numFmtId="0" fontId="33" fillId="0" borderId="18" xfId="0" applyFont="1" applyBorder="1" applyAlignment="1">
      <alignment vertical="top" wrapText="1"/>
    </xf>
    <xf numFmtId="0" fontId="33" fillId="0" borderId="19" xfId="0" applyFont="1" applyBorder="1" applyAlignment="1">
      <alignment vertical="top" wrapText="1"/>
    </xf>
    <xf numFmtId="165" fontId="33" fillId="0" borderId="19" xfId="1" applyNumberFormat="1" applyFont="1" applyBorder="1" applyAlignment="1">
      <alignment vertical="top" wrapText="1"/>
    </xf>
    <xf numFmtId="165" fontId="33" fillId="0" borderId="20" xfId="1" applyNumberFormat="1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0" fontId="33" fillId="0" borderId="7" xfId="0" applyFont="1" applyBorder="1" applyAlignment="1">
      <alignment vertical="top" wrapText="1"/>
    </xf>
    <xf numFmtId="165" fontId="33" fillId="0" borderId="7" xfId="1" applyNumberFormat="1" applyFont="1" applyBorder="1" applyAlignment="1">
      <alignment vertical="top" wrapText="1"/>
    </xf>
    <xf numFmtId="165" fontId="33" fillId="0" borderId="8" xfId="1" applyNumberFormat="1" applyFont="1" applyBorder="1" applyAlignment="1">
      <alignment vertical="top" wrapText="1"/>
    </xf>
    <xf numFmtId="0" fontId="33" fillId="0" borderId="21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165" fontId="33" fillId="0" borderId="22" xfId="1" applyNumberFormat="1" applyFont="1" applyBorder="1" applyAlignment="1">
      <alignment vertical="top" wrapText="1"/>
    </xf>
    <xf numFmtId="165" fontId="33" fillId="0" borderId="23" xfId="1" applyNumberFormat="1" applyFont="1" applyBorder="1" applyAlignment="1">
      <alignment vertical="top" wrapText="1"/>
    </xf>
    <xf numFmtId="0" fontId="30" fillId="0" borderId="0" xfId="0" applyFont="1" applyFill="1"/>
    <xf numFmtId="0" fontId="31" fillId="0" borderId="0" xfId="0" applyFont="1" applyAlignment="1">
      <alignment horizontal="center"/>
    </xf>
    <xf numFmtId="165" fontId="27" fillId="0" borderId="0" xfId="0" applyNumberFormat="1" applyFont="1" applyFill="1"/>
    <xf numFmtId="165" fontId="27" fillId="0" borderId="0" xfId="0" applyNumberFormat="1" applyFont="1"/>
    <xf numFmtId="43" fontId="28" fillId="0" borderId="0" xfId="0" applyNumberFormat="1" applyFont="1"/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31" fillId="0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right" vertical="center"/>
    </xf>
    <xf numFmtId="0" fontId="24" fillId="2" borderId="19" xfId="3" applyFont="1" applyFill="1" applyBorder="1" applyAlignment="1">
      <alignment vertical="center"/>
    </xf>
    <xf numFmtId="0" fontId="23" fillId="0" borderId="7" xfId="3" applyFont="1" applyFill="1" applyBorder="1" applyAlignment="1">
      <alignment vertical="center" wrapText="1"/>
    </xf>
    <xf numFmtId="165" fontId="23" fillId="0" borderId="8" xfId="1" applyNumberFormat="1" applyFont="1" applyFill="1" applyBorder="1" applyAlignment="1">
      <alignment vertical="center"/>
    </xf>
    <xf numFmtId="0" fontId="24" fillId="2" borderId="27" xfId="3" applyFont="1" applyFill="1" applyBorder="1" applyAlignment="1">
      <alignment horizontal="center" vertical="center"/>
    </xf>
    <xf numFmtId="0" fontId="24" fillId="2" borderId="28" xfId="3" applyFont="1" applyFill="1" applyBorder="1" applyAlignment="1">
      <alignment horizontal="center" vertical="center" wrapText="1"/>
    </xf>
    <xf numFmtId="165" fontId="24" fillId="2" borderId="24" xfId="1" applyNumberFormat="1" applyFont="1" applyFill="1" applyBorder="1" applyAlignment="1">
      <alignment vertical="center"/>
    </xf>
    <xf numFmtId="165" fontId="24" fillId="2" borderId="29" xfId="1" applyNumberFormat="1" applyFont="1" applyFill="1" applyBorder="1" applyAlignment="1">
      <alignment vertical="center"/>
    </xf>
    <xf numFmtId="0" fontId="24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43" fontId="24" fillId="0" borderId="0" xfId="1" applyFont="1" applyBorder="1" applyAlignment="1">
      <alignment vertical="center"/>
    </xf>
    <xf numFmtId="43" fontId="23" fillId="0" borderId="0" xfId="1" applyFont="1" applyBorder="1" applyAlignment="1">
      <alignment vertical="center"/>
    </xf>
    <xf numFmtId="43" fontId="23" fillId="0" borderId="0" xfId="1" applyFont="1" applyBorder="1" applyAlignment="1">
      <alignment horizontal="right" vertical="center" wrapText="1"/>
    </xf>
    <xf numFmtId="0" fontId="27" fillId="0" borderId="0" xfId="3" applyFont="1" applyAlignment="1">
      <alignment vertical="center"/>
    </xf>
    <xf numFmtId="0" fontId="31" fillId="0" borderId="0" xfId="0" applyFont="1" applyAlignment="1">
      <alignment horizontal="center" vertical="center"/>
    </xf>
    <xf numFmtId="3" fontId="27" fillId="0" borderId="0" xfId="3" applyNumberFormat="1" applyFont="1" applyAlignment="1">
      <alignment vertical="center"/>
    </xf>
    <xf numFmtId="0" fontId="28" fillId="0" borderId="0" xfId="0" applyFont="1" applyFill="1" applyAlignment="1">
      <alignment vertical="center"/>
    </xf>
    <xf numFmtId="0" fontId="27" fillId="0" borderId="0" xfId="3" applyFont="1" applyFill="1" applyBorder="1" applyAlignment="1">
      <alignment vertical="center"/>
    </xf>
    <xf numFmtId="0" fontId="27" fillId="0" borderId="0" xfId="3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right" vertical="center"/>
    </xf>
    <xf numFmtId="167" fontId="33" fillId="0" borderId="0" xfId="0" applyNumberFormat="1" applyFont="1" applyFill="1" applyAlignment="1">
      <alignment horizontal="right" vertical="center"/>
    </xf>
    <xf numFmtId="0" fontId="28" fillId="0" borderId="0" xfId="0" applyFont="1" applyBorder="1" applyAlignment="1">
      <alignment vertical="center"/>
    </xf>
    <xf numFmtId="0" fontId="24" fillId="2" borderId="4" xfId="3" applyFont="1" applyFill="1" applyBorder="1" applyAlignment="1" applyProtection="1">
      <alignment horizontal="left" vertical="center" wrapText="1"/>
    </xf>
    <xf numFmtId="165" fontId="24" fillId="2" borderId="4" xfId="3" applyNumberFormat="1" applyFont="1" applyFill="1" applyBorder="1" applyAlignment="1" applyProtection="1">
      <alignment horizontal="left" vertical="center" wrapText="1"/>
    </xf>
    <xf numFmtId="165" fontId="24" fillId="2" borderId="5" xfId="3" applyNumberFormat="1" applyFont="1" applyFill="1" applyBorder="1" applyAlignment="1" applyProtection="1">
      <alignment horizontal="left" vertical="center" wrapText="1"/>
    </xf>
    <xf numFmtId="0" fontId="28" fillId="0" borderId="0" xfId="0" applyFont="1" applyBorder="1" applyAlignment="1">
      <alignment horizontal="center" vertical="center"/>
    </xf>
    <xf numFmtId="10" fontId="28" fillId="0" borderId="0" xfId="0" applyNumberFormat="1" applyFont="1" applyBorder="1" applyAlignment="1">
      <alignment vertical="center"/>
    </xf>
    <xf numFmtId="43" fontId="28" fillId="0" borderId="0" xfId="1" applyFont="1" applyBorder="1" applyAlignment="1">
      <alignment horizontal="center" vertical="center"/>
    </xf>
    <xf numFmtId="0" fontId="24" fillId="2" borderId="7" xfId="3" applyFont="1" applyFill="1" applyBorder="1" applyAlignment="1" applyProtection="1">
      <alignment horizontal="left" vertical="center" wrapText="1"/>
    </xf>
    <xf numFmtId="10" fontId="28" fillId="0" borderId="0" xfId="0" applyNumberFormat="1" applyFont="1" applyBorder="1" applyAlignment="1">
      <alignment horizontal="left" vertical="center"/>
    </xf>
    <xf numFmtId="0" fontId="23" fillId="0" borderId="7" xfId="3" applyFont="1" applyBorder="1" applyAlignment="1">
      <alignment horizontal="left" vertical="center" wrapText="1"/>
    </xf>
    <xf numFmtId="165" fontId="23" fillId="0" borderId="7" xfId="1" applyNumberFormat="1" applyFont="1" applyFill="1" applyBorder="1" applyAlignment="1">
      <alignment horizontal="right" vertical="center"/>
    </xf>
    <xf numFmtId="0" fontId="26" fillId="7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43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right" vertical="center"/>
    </xf>
    <xf numFmtId="10" fontId="28" fillId="0" borderId="0" xfId="2" applyNumberFormat="1" applyFont="1" applyBorder="1" applyAlignment="1">
      <alignment vertical="center"/>
    </xf>
    <xf numFmtId="0" fontId="28" fillId="0" borderId="0" xfId="0" applyFont="1" applyFill="1" applyBorder="1" applyAlignment="1">
      <alignment horizontal="left" vertical="center" wrapText="1"/>
    </xf>
    <xf numFmtId="43" fontId="28" fillId="0" borderId="0" xfId="1" applyFont="1" applyBorder="1" applyAlignment="1">
      <alignment horizontal="right" vertical="center"/>
    </xf>
    <xf numFmtId="43" fontId="26" fillId="0" borderId="0" xfId="1" applyFont="1" applyBorder="1" applyAlignment="1">
      <alignment horizontal="right" vertical="center"/>
    </xf>
    <xf numFmtId="0" fontId="24" fillId="2" borderId="7" xfId="3" applyFont="1" applyFill="1" applyBorder="1" applyAlignment="1">
      <alignment vertical="center"/>
    </xf>
    <xf numFmtId="165" fontId="24" fillId="2" borderId="7" xfId="1" applyNumberFormat="1" applyFont="1" applyFill="1" applyBorder="1" applyAlignment="1">
      <alignment vertical="center"/>
    </xf>
    <xf numFmtId="165" fontId="24" fillId="2" borderId="8" xfId="1" applyNumberFormat="1" applyFont="1" applyFill="1" applyBorder="1" applyAlignment="1">
      <alignment vertical="center"/>
    </xf>
    <xf numFmtId="165" fontId="24" fillId="0" borderId="7" xfId="3" applyNumberFormat="1" applyFont="1" applyFill="1" applyBorder="1" applyAlignment="1">
      <alignment vertical="center"/>
    </xf>
    <xf numFmtId="165" fontId="24" fillId="0" borderId="8" xfId="3" applyNumberFormat="1" applyFont="1" applyFill="1" applyBorder="1" applyAlignment="1">
      <alignment vertical="center"/>
    </xf>
    <xf numFmtId="0" fontId="24" fillId="2" borderId="7" xfId="3" applyFont="1" applyFill="1" applyBorder="1" applyAlignment="1">
      <alignment horizontal="left" vertical="center" wrapText="1"/>
    </xf>
    <xf numFmtId="165" fontId="24" fillId="2" borderId="7" xfId="1" applyNumberFormat="1" applyFont="1" applyFill="1" applyBorder="1" applyAlignment="1">
      <alignment horizontal="right" vertical="center"/>
    </xf>
    <xf numFmtId="165" fontId="24" fillId="2" borderId="8" xfId="1" applyNumberFormat="1" applyFont="1" applyFill="1" applyBorder="1" applyAlignment="1">
      <alignment horizontal="right" vertical="center"/>
    </xf>
    <xf numFmtId="0" fontId="23" fillId="2" borderId="12" xfId="3" applyFont="1" applyFill="1" applyBorder="1" applyAlignment="1">
      <alignment vertical="center"/>
    </xf>
    <xf numFmtId="0" fontId="24" fillId="2" borderId="13" xfId="3" applyFont="1" applyFill="1" applyBorder="1" applyAlignment="1">
      <alignment horizontal="center" vertical="center" wrapText="1"/>
    </xf>
    <xf numFmtId="165" fontId="24" fillId="2" borderId="13" xfId="3" applyNumberFormat="1" applyFont="1" applyFill="1" applyBorder="1" applyAlignment="1">
      <alignment vertical="center"/>
    </xf>
    <xf numFmtId="165" fontId="24" fillId="2" borderId="14" xfId="3" applyNumberFormat="1" applyFont="1" applyFill="1" applyBorder="1" applyAlignment="1">
      <alignment vertical="center"/>
    </xf>
    <xf numFmtId="3" fontId="23" fillId="0" borderId="0" xfId="3" applyNumberFormat="1" applyFont="1" applyAlignment="1">
      <alignment vertical="center"/>
    </xf>
    <xf numFmtId="4" fontId="23" fillId="0" borderId="0" xfId="3" applyNumberFormat="1" applyFont="1" applyAlignment="1">
      <alignment vertical="center"/>
    </xf>
    <xf numFmtId="0" fontId="24" fillId="2" borderId="19" xfId="3" applyFont="1" applyFill="1" applyBorder="1" applyAlignment="1" applyProtection="1">
      <alignment horizontal="left" vertical="center" wrapText="1"/>
    </xf>
    <xf numFmtId="165" fontId="24" fillId="2" borderId="19" xfId="3" applyNumberFormat="1" applyFont="1" applyFill="1" applyBorder="1" applyAlignment="1" applyProtection="1">
      <alignment horizontal="left" vertical="center" wrapText="1"/>
    </xf>
    <xf numFmtId="165" fontId="24" fillId="2" borderId="20" xfId="3" applyNumberFormat="1" applyFont="1" applyFill="1" applyBorder="1" applyAlignment="1" applyProtection="1">
      <alignment horizontal="left" vertical="center" wrapText="1"/>
    </xf>
    <xf numFmtId="165" fontId="23" fillId="0" borderId="7" xfId="1" applyNumberFormat="1" applyFont="1" applyFill="1" applyBorder="1" applyAlignment="1">
      <alignment horizontal="right" vertical="center" wrapText="1"/>
    </xf>
    <xf numFmtId="0" fontId="23" fillId="0" borderId="10" xfId="3" applyFont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vertical="center"/>
    </xf>
    <xf numFmtId="165" fontId="23" fillId="0" borderId="10" xfId="1" applyNumberFormat="1" applyFont="1" applyFill="1" applyBorder="1" applyAlignment="1">
      <alignment horizontal="right" vertical="center" wrapText="1"/>
    </xf>
    <xf numFmtId="165" fontId="23" fillId="0" borderId="11" xfId="1" applyNumberFormat="1" applyFont="1" applyFill="1" applyBorder="1" applyAlignment="1">
      <alignment vertical="center"/>
    </xf>
    <xf numFmtId="0" fontId="31" fillId="2" borderId="12" xfId="0" applyFont="1" applyFill="1" applyBorder="1" applyAlignment="1">
      <alignment horizontal="center" vertical="center"/>
    </xf>
    <xf numFmtId="165" fontId="24" fillId="2" borderId="13" xfId="1" applyNumberFormat="1" applyFont="1" applyFill="1" applyBorder="1" applyAlignment="1" applyProtection="1">
      <alignment horizontal="center" vertical="center"/>
    </xf>
    <xf numFmtId="165" fontId="24" fillId="2" borderId="13" xfId="1" applyNumberFormat="1" applyFont="1" applyFill="1" applyBorder="1" applyAlignment="1" applyProtection="1">
      <alignment horizontal="right" vertical="center"/>
    </xf>
    <xf numFmtId="165" fontId="24" fillId="2" borderId="14" xfId="1" applyNumberFormat="1" applyFont="1" applyFill="1" applyBorder="1" applyAlignment="1" applyProtection="1">
      <alignment horizontal="right" vertical="center"/>
    </xf>
    <xf numFmtId="0" fontId="31" fillId="0" borderId="0" xfId="0" applyFont="1"/>
    <xf numFmtId="0" fontId="31" fillId="0" borderId="0" xfId="0" applyFont="1" applyBorder="1" applyAlignment="1">
      <alignment horizontal="center"/>
    </xf>
    <xf numFmtId="0" fontId="33" fillId="0" borderId="0" xfId="0" applyFont="1" applyBorder="1" applyAlignment="1">
      <alignment horizontal="left" wrapText="1"/>
    </xf>
    <xf numFmtId="165" fontId="33" fillId="2" borderId="4" xfId="1" applyNumberFormat="1" applyFont="1" applyFill="1" applyBorder="1" applyAlignment="1">
      <alignment vertical="top" wrapText="1"/>
    </xf>
    <xf numFmtId="165" fontId="33" fillId="2" borderId="5" xfId="1" applyNumberFormat="1" applyFont="1" applyFill="1" applyBorder="1" applyAlignment="1">
      <alignment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7" xfId="0" applyFont="1" applyBorder="1" applyAlignment="1">
      <alignment vertical="top" wrapText="1"/>
    </xf>
    <xf numFmtId="0" fontId="27" fillId="0" borderId="7" xfId="0" applyFont="1" applyBorder="1" applyAlignment="1">
      <alignment horizontal="center" vertical="top" wrapText="1"/>
    </xf>
    <xf numFmtId="165" fontId="27" fillId="0" borderId="7" xfId="1" applyNumberFormat="1" applyFont="1" applyFill="1" applyBorder="1" applyAlignment="1" applyProtection="1">
      <alignment vertical="top" wrapText="1"/>
    </xf>
    <xf numFmtId="165" fontId="27" fillId="0" borderId="7" xfId="1" applyNumberFormat="1" applyFont="1" applyBorder="1" applyAlignment="1">
      <alignment vertical="top" wrapText="1"/>
    </xf>
    <xf numFmtId="165" fontId="27" fillId="0" borderId="8" xfId="1" applyNumberFormat="1" applyFont="1" applyFill="1" applyBorder="1" applyAlignment="1" applyProtection="1">
      <alignment vertical="top" wrapText="1"/>
    </xf>
    <xf numFmtId="165" fontId="33" fillId="2" borderId="7" xfId="1" applyNumberFormat="1" applyFont="1" applyFill="1" applyBorder="1" applyAlignment="1">
      <alignment vertical="top" wrapText="1"/>
    </xf>
    <xf numFmtId="165" fontId="33" fillId="2" borderId="8" xfId="1" applyNumberFormat="1" applyFont="1" applyFill="1" applyBorder="1" applyAlignment="1">
      <alignment vertical="top" wrapText="1"/>
    </xf>
    <xf numFmtId="0" fontId="27" fillId="0" borderId="7" xfId="0" applyFont="1" applyFill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0" fontId="27" fillId="0" borderId="10" xfId="0" applyFont="1" applyBorder="1" applyAlignment="1">
      <alignment horizontal="center" vertical="top" wrapText="1"/>
    </xf>
    <xf numFmtId="165" fontId="27" fillId="0" borderId="10" xfId="1" applyNumberFormat="1" applyFont="1" applyFill="1" applyBorder="1" applyAlignment="1" applyProtection="1">
      <alignment vertical="top" wrapText="1"/>
    </xf>
    <xf numFmtId="165" fontId="27" fillId="0" borderId="10" xfId="1" applyNumberFormat="1" applyFont="1" applyBorder="1" applyAlignment="1">
      <alignment vertical="top" wrapText="1"/>
    </xf>
    <xf numFmtId="165" fontId="27" fillId="0" borderId="11" xfId="1" applyNumberFormat="1" applyFont="1" applyFill="1" applyBorder="1" applyAlignment="1" applyProtection="1">
      <alignment vertical="top" wrapText="1"/>
    </xf>
    <xf numFmtId="0" fontId="27" fillId="0" borderId="0" xfId="0" applyFont="1" applyFill="1"/>
    <xf numFmtId="0" fontId="28" fillId="0" borderId="0" xfId="0" applyFont="1" applyFill="1"/>
    <xf numFmtId="0" fontId="34" fillId="0" borderId="0" xfId="0" applyFont="1"/>
    <xf numFmtId="0" fontId="33" fillId="0" borderId="0" xfId="0" applyFont="1"/>
    <xf numFmtId="0" fontId="33" fillId="0" borderId="0" xfId="0" applyFont="1" applyAlignment="1">
      <alignment horizontal="right"/>
    </xf>
    <xf numFmtId="43" fontId="25" fillId="0" borderId="0" xfId="1" applyFont="1" applyFill="1" applyBorder="1"/>
    <xf numFmtId="166" fontId="28" fillId="0" borderId="0" xfId="0" applyNumberFormat="1" applyFont="1"/>
    <xf numFmtId="0" fontId="25" fillId="0" borderId="0" xfId="0" applyFont="1" applyBorder="1"/>
    <xf numFmtId="0" fontId="27" fillId="0" borderId="0" xfId="0" applyFont="1" applyBorder="1"/>
    <xf numFmtId="0" fontId="23" fillId="0" borderId="0" xfId="0" applyFont="1" applyBorder="1"/>
    <xf numFmtId="43" fontId="27" fillId="0" borderId="0" xfId="1" applyFont="1" applyBorder="1"/>
    <xf numFmtId="43" fontId="27" fillId="0" borderId="0" xfId="0" applyNumberFormat="1" applyFont="1" applyBorder="1"/>
    <xf numFmtId="0" fontId="23" fillId="0" borderId="0" xfId="0" applyFont="1"/>
    <xf numFmtId="0" fontId="24" fillId="0" borderId="2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2" borderId="6" xfId="0" applyFont="1" applyFill="1" applyBorder="1" applyAlignment="1">
      <alignment horizontal="left" vertical="center"/>
    </xf>
    <xf numFmtId="43" fontId="24" fillId="2" borderId="2" xfId="1" applyFont="1" applyFill="1" applyBorder="1" applyAlignment="1">
      <alignment vertical="center"/>
    </xf>
    <xf numFmtId="165" fontId="24" fillId="2" borderId="7" xfId="0" applyNumberFormat="1" applyFont="1" applyFill="1" applyBorder="1" applyAlignment="1">
      <alignment horizontal="center" vertical="center"/>
    </xf>
    <xf numFmtId="165" fontId="24" fillId="2" borderId="8" xfId="0" applyNumberFormat="1" applyFont="1" applyFill="1" applyBorder="1" applyAlignment="1">
      <alignment horizontal="center" vertical="center"/>
    </xf>
    <xf numFmtId="16" fontId="23" fillId="0" borderId="6" xfId="0" applyNumberFormat="1" applyFont="1" applyFill="1" applyBorder="1" applyAlignment="1">
      <alignment horizontal="right" vertical="center"/>
    </xf>
    <xf numFmtId="16" fontId="23" fillId="0" borderId="6" xfId="0" applyNumberFormat="1" applyFont="1" applyFill="1" applyBorder="1" applyAlignment="1">
      <alignment horizontal="right" vertical="center" wrapText="1"/>
    </xf>
    <xf numFmtId="43" fontId="23" fillId="2" borderId="7" xfId="1" applyFont="1" applyFill="1" applyBorder="1" applyAlignment="1">
      <alignment vertical="center"/>
    </xf>
    <xf numFmtId="43" fontId="23" fillId="2" borderId="8" xfId="1" applyFont="1" applyFill="1" applyBorder="1" applyAlignment="1">
      <alignment vertical="center"/>
    </xf>
    <xf numFmtId="43" fontId="27" fillId="2" borderId="7" xfId="1" applyFont="1" applyFill="1" applyBorder="1" applyAlignment="1">
      <alignment vertical="center"/>
    </xf>
    <xf numFmtId="43" fontId="27" fillId="2" borderId="8" xfId="1" applyFont="1" applyFill="1" applyBorder="1" applyAlignment="1">
      <alignment vertical="center"/>
    </xf>
    <xf numFmtId="0" fontId="23" fillId="0" borderId="6" xfId="0" applyFont="1" applyFill="1" applyBorder="1" applyAlignment="1">
      <alignment horizontal="right" vertical="center"/>
    </xf>
    <xf numFmtId="43" fontId="24" fillId="2" borderId="7" xfId="1" applyFont="1" applyFill="1" applyBorder="1" applyAlignment="1">
      <alignment horizontal="center" vertical="center"/>
    </xf>
    <xf numFmtId="43" fontId="24" fillId="2" borderId="8" xfId="1" applyFont="1" applyFill="1" applyBorder="1" applyAlignment="1">
      <alignment horizontal="center" vertical="center"/>
    </xf>
    <xf numFmtId="0" fontId="23" fillId="0" borderId="6" xfId="0" applyFont="1" applyBorder="1" applyAlignment="1">
      <alignment horizontal="right" vertical="center"/>
    </xf>
    <xf numFmtId="43" fontId="35" fillId="2" borderId="0" xfId="1" applyFont="1" applyFill="1" applyBorder="1"/>
    <xf numFmtId="0" fontId="24" fillId="2" borderId="18" xfId="0" applyFont="1" applyFill="1" applyBorder="1" applyAlignment="1">
      <alignment horizontal="left" vertical="center"/>
    </xf>
    <xf numFmtId="0" fontId="24" fillId="2" borderId="19" xfId="0" applyFont="1" applyFill="1" applyBorder="1" applyAlignment="1">
      <alignment horizontal="center" vertical="center"/>
    </xf>
    <xf numFmtId="0" fontId="24" fillId="2" borderId="20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 wrapText="1"/>
    </xf>
    <xf numFmtId="0" fontId="33" fillId="2" borderId="6" xfId="0" applyFont="1" applyFill="1" applyBorder="1" applyAlignment="1">
      <alignment horizontal="left" vertical="center"/>
    </xf>
    <xf numFmtId="0" fontId="27" fillId="2" borderId="7" xfId="0" applyFont="1" applyFill="1" applyBorder="1" applyAlignment="1">
      <alignment horizontal="left" vertical="center"/>
    </xf>
    <xf numFmtId="0" fontId="24" fillId="2" borderId="7" xfId="0" applyFont="1" applyFill="1" applyBorder="1" applyAlignment="1">
      <alignment horizontal="left" vertical="center"/>
    </xf>
    <xf numFmtId="165" fontId="24" fillId="2" borderId="22" xfId="1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165" fontId="7" fillId="0" borderId="19" xfId="1" applyNumberFormat="1" applyFont="1" applyFill="1" applyBorder="1" applyAlignment="1">
      <alignment vertical="center" wrapText="1"/>
    </xf>
    <xf numFmtId="165" fontId="7" fillId="0" borderId="20" xfId="1" applyNumberFormat="1" applyFont="1" applyFill="1" applyBorder="1" applyAlignment="1">
      <alignment vertical="center" wrapText="1"/>
    </xf>
    <xf numFmtId="165" fontId="7" fillId="0" borderId="22" xfId="1" applyNumberFormat="1" applyFont="1" applyFill="1" applyBorder="1" applyAlignment="1">
      <alignment vertical="center" wrapText="1"/>
    </xf>
    <xf numFmtId="165" fontId="7" fillId="0" borderId="23" xfId="1" applyNumberFormat="1" applyFont="1" applyFill="1" applyBorder="1" applyAlignment="1">
      <alignment vertical="center" wrapText="1"/>
    </xf>
    <xf numFmtId="165" fontId="7" fillId="0" borderId="19" xfId="1" applyNumberFormat="1" applyFont="1" applyBorder="1" applyAlignment="1">
      <alignment vertical="center" wrapText="1"/>
    </xf>
    <xf numFmtId="165" fontId="7" fillId="0" borderId="20" xfId="1" applyNumberFormat="1" applyFont="1" applyBorder="1" applyAlignment="1">
      <alignment vertical="center" wrapText="1"/>
    </xf>
    <xf numFmtId="165" fontId="7" fillId="0" borderId="22" xfId="1" applyNumberFormat="1" applyFont="1" applyBorder="1" applyAlignment="1">
      <alignment vertical="center" wrapText="1"/>
    </xf>
    <xf numFmtId="165" fontId="7" fillId="0" borderId="23" xfId="1" applyNumberFormat="1" applyFont="1" applyBorder="1" applyAlignment="1">
      <alignment vertical="center" wrapText="1"/>
    </xf>
    <xf numFmtId="165" fontId="33" fillId="0" borderId="13" xfId="1" applyNumberFormat="1" applyFont="1" applyFill="1" applyBorder="1" applyAlignment="1" applyProtection="1">
      <alignment vertical="top" wrapText="1"/>
    </xf>
    <xf numFmtId="165" fontId="33" fillId="0" borderId="14" xfId="1" applyNumberFormat="1" applyFont="1" applyFill="1" applyBorder="1" applyAlignment="1" applyProtection="1">
      <alignment vertical="top" wrapText="1"/>
    </xf>
    <xf numFmtId="165" fontId="4" fillId="0" borderId="0" xfId="0" applyNumberFormat="1" applyFont="1" applyAlignment="1">
      <alignment vertical="center"/>
    </xf>
    <xf numFmtId="0" fontId="15" fillId="0" borderId="7" xfId="0" applyFont="1" applyFill="1" applyBorder="1" applyAlignment="1">
      <alignment horizontal="center"/>
    </xf>
    <xf numFmtId="0" fontId="17" fillId="0" borderId="7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7" fillId="0" borderId="2" xfId="0" applyFont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165" fontId="15" fillId="0" borderId="0" xfId="0" applyNumberFormat="1" applyFont="1"/>
    <xf numFmtId="0" fontId="15" fillId="0" borderId="0" xfId="0" applyFont="1" applyFill="1" applyAlignment="1">
      <alignment horizontal="center"/>
    </xf>
    <xf numFmtId="0" fontId="36" fillId="0" borderId="0" xfId="0" applyFont="1" applyAlignment="1">
      <alignment horizontal="center"/>
    </xf>
    <xf numFmtId="0" fontId="23" fillId="0" borderId="6" xfId="0" applyFont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vertical="center"/>
    </xf>
    <xf numFmtId="0" fontId="15" fillId="4" borderId="7" xfId="0" applyFont="1" applyFill="1" applyBorder="1"/>
    <xf numFmtId="164" fontId="15" fillId="0" borderId="30" xfId="0" applyNumberFormat="1" applyFont="1" applyBorder="1" applyAlignment="1">
      <alignment horizontal="center" vertical="center"/>
    </xf>
    <xf numFmtId="170" fontId="15" fillId="0" borderId="0" xfId="0" applyNumberFormat="1" applyFont="1" applyFill="1" applyAlignment="1">
      <alignment horizontal="left"/>
    </xf>
    <xf numFmtId="0" fontId="15" fillId="4" borderId="7" xfId="0" applyFont="1" applyFill="1" applyBorder="1" applyAlignment="1">
      <alignment horizontal="center"/>
    </xf>
    <xf numFmtId="164" fontId="15" fillId="4" borderId="30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/>
    <xf numFmtId="165" fontId="15" fillId="0" borderId="7" xfId="0" applyNumberFormat="1" applyFont="1" applyBorder="1"/>
    <xf numFmtId="0" fontId="15" fillId="0" borderId="0" xfId="0" applyFont="1" applyFill="1" applyAlignment="1">
      <alignment vertical="center"/>
    </xf>
    <xf numFmtId="2" fontId="15" fillId="0" borderId="7" xfId="4" applyNumberFormat="1" applyFont="1" applyFill="1" applyBorder="1" applyAlignment="1">
      <alignment horizontal="right"/>
    </xf>
    <xf numFmtId="0" fontId="27" fillId="0" borderId="6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vertical="center"/>
    </xf>
    <xf numFmtId="165" fontId="33" fillId="0" borderId="7" xfId="1" applyNumberFormat="1" applyFont="1" applyFill="1" applyBorder="1" applyAlignment="1" applyProtection="1">
      <alignment vertical="center" wrapText="1"/>
    </xf>
    <xf numFmtId="0" fontId="38" fillId="0" borderId="6" xfId="0" applyFont="1" applyBorder="1" applyAlignment="1">
      <alignment horizontal="center" vertical="center" wrapText="1"/>
    </xf>
    <xf numFmtId="0" fontId="39" fillId="0" borderId="7" xfId="0" applyFont="1" applyBorder="1" applyAlignment="1">
      <alignment vertical="center"/>
    </xf>
    <xf numFmtId="0" fontId="40" fillId="0" borderId="7" xfId="0" applyFont="1" applyBorder="1" applyAlignment="1">
      <alignment horizontal="center" vertical="center" wrapText="1"/>
    </xf>
    <xf numFmtId="165" fontId="40" fillId="0" borderId="7" xfId="1" applyNumberFormat="1" applyFont="1" applyFill="1" applyBorder="1" applyAlignment="1" applyProtection="1">
      <alignment vertical="center" wrapText="1"/>
    </xf>
    <xf numFmtId="165" fontId="40" fillId="0" borderId="7" xfId="1" applyNumberFormat="1" applyFont="1" applyBorder="1" applyAlignment="1">
      <alignment vertical="center" wrapText="1"/>
    </xf>
    <xf numFmtId="165" fontId="38" fillId="0" borderId="7" xfId="1" applyNumberFormat="1" applyFont="1" applyFill="1" applyBorder="1" applyAlignment="1" applyProtection="1">
      <alignment vertical="center" wrapText="1"/>
    </xf>
    <xf numFmtId="0" fontId="27" fillId="0" borderId="7" xfId="4" applyFont="1" applyFill="1" applyBorder="1"/>
    <xf numFmtId="0" fontId="27" fillId="0" borderId="7" xfId="4" applyFont="1" applyFill="1" applyBorder="1" applyAlignment="1">
      <alignment horizontal="center"/>
    </xf>
    <xf numFmtId="2" fontId="27" fillId="0" borderId="7" xfId="4" applyNumberFormat="1" applyFont="1" applyFill="1" applyBorder="1" applyAlignment="1">
      <alignment horizontal="right"/>
    </xf>
    <xf numFmtId="165" fontId="27" fillId="0" borderId="7" xfId="1" applyNumberFormat="1" applyFont="1" applyFill="1" applyBorder="1" applyAlignment="1" applyProtection="1">
      <alignment vertical="center" wrapText="1"/>
    </xf>
    <xf numFmtId="165" fontId="27" fillId="0" borderId="8" xfId="1" applyNumberFormat="1" applyFont="1" applyFill="1" applyBorder="1" applyAlignment="1" applyProtection="1">
      <alignment vertical="center" wrapText="1"/>
    </xf>
    <xf numFmtId="165" fontId="27" fillId="0" borderId="7" xfId="1" applyNumberFormat="1" applyFont="1" applyBorder="1" applyAlignment="1">
      <alignment vertical="center" wrapText="1"/>
    </xf>
    <xf numFmtId="0" fontId="37" fillId="0" borderId="7" xfId="0" applyFont="1" applyFill="1" applyBorder="1" applyAlignment="1">
      <alignment vertical="center"/>
    </xf>
    <xf numFmtId="0" fontId="12" fillId="0" borderId="7" xfId="0" applyFont="1" applyFill="1" applyBorder="1"/>
    <xf numFmtId="0" fontId="3" fillId="0" borderId="7" xfId="0" applyFont="1" applyBorder="1" applyAlignment="1">
      <alignment horizontal="center" vertical="top" wrapText="1"/>
    </xf>
    <xf numFmtId="43" fontId="3" fillId="0" borderId="7" xfId="1" applyFont="1" applyBorder="1" applyAlignment="1">
      <alignment vertical="top" wrapText="1"/>
    </xf>
    <xf numFmtId="0" fontId="12" fillId="0" borderId="31" xfId="0" applyFont="1" applyFill="1" applyBorder="1"/>
    <xf numFmtId="0" fontId="3" fillId="0" borderId="4" xfId="0" applyFont="1" applyBorder="1" applyAlignment="1">
      <alignment horizontal="center" vertical="top" wrapText="1"/>
    </xf>
    <xf numFmtId="43" fontId="3" fillId="0" borderId="4" xfId="1" applyFont="1" applyBorder="1" applyAlignment="1">
      <alignment vertical="top" wrapText="1"/>
    </xf>
    <xf numFmtId="43" fontId="3" fillId="0" borderId="7" xfId="1" applyFont="1" applyFill="1" applyBorder="1" applyAlignment="1" applyProtection="1">
      <alignment horizontal="right" vertical="top" wrapText="1"/>
    </xf>
    <xf numFmtId="43" fontId="3" fillId="0" borderId="4" xfId="1" applyFont="1" applyFill="1" applyBorder="1" applyAlignment="1" applyProtection="1">
      <alignment horizontal="right" vertical="top" wrapText="1"/>
    </xf>
    <xf numFmtId="43" fontId="3" fillId="0" borderId="4" xfId="1" applyFont="1" applyBorder="1" applyAlignment="1">
      <alignment horizontal="right" vertical="top" wrapText="1"/>
    </xf>
    <xf numFmtId="165" fontId="27" fillId="0" borderId="7" xfId="1" applyNumberFormat="1" applyFont="1" applyFill="1" applyBorder="1" applyAlignment="1" applyProtection="1">
      <alignment horizontal="right" vertical="center" wrapText="1"/>
    </xf>
    <xf numFmtId="165" fontId="27" fillId="0" borderId="8" xfId="1" applyNumberFormat="1" applyFont="1" applyFill="1" applyBorder="1" applyAlignment="1" applyProtection="1">
      <alignment horizontal="right" vertical="center" wrapText="1"/>
    </xf>
    <xf numFmtId="0" fontId="12" fillId="0" borderId="7" xfId="0" applyFont="1" applyBorder="1"/>
    <xf numFmtId="0" fontId="7" fillId="3" borderId="6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 applyProtection="1">
      <alignment vertical="center" wrapText="1"/>
    </xf>
    <xf numFmtId="165" fontId="3" fillId="3" borderId="7" xfId="1" applyNumberFormat="1" applyFont="1" applyFill="1" applyBorder="1" applyAlignment="1">
      <alignment vertical="center" wrapText="1"/>
    </xf>
    <xf numFmtId="165" fontId="33" fillId="3" borderId="7" xfId="1" applyNumberFormat="1" applyFont="1" applyFill="1" applyBorder="1" applyAlignment="1" applyProtection="1">
      <alignment vertical="center" wrapText="1"/>
    </xf>
    <xf numFmtId="0" fontId="33" fillId="3" borderId="6" xfId="0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left" vertical="center" wrapText="1"/>
    </xf>
    <xf numFmtId="165" fontId="33" fillId="3" borderId="8" xfId="1" applyNumberFormat="1" applyFont="1" applyFill="1" applyBorder="1" applyAlignment="1" applyProtection="1">
      <alignment vertical="center" wrapText="1"/>
    </xf>
    <xf numFmtId="43" fontId="7" fillId="3" borderId="7" xfId="1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top" wrapText="1"/>
    </xf>
    <xf numFmtId="43" fontId="3" fillId="0" borderId="7" xfId="1" applyFont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center" wrapText="1"/>
    </xf>
    <xf numFmtId="43" fontId="7" fillId="3" borderId="7" xfId="1" applyFont="1" applyFill="1" applyBorder="1" applyAlignment="1">
      <alignment horizontal="right" vertical="center" wrapText="1"/>
    </xf>
    <xf numFmtId="0" fontId="33" fillId="0" borderId="6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4" fillId="0" borderId="0" xfId="0" applyFont="1"/>
    <xf numFmtId="0" fontId="4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vertical="center"/>
    </xf>
    <xf numFmtId="14" fontId="43" fillId="0" borderId="0" xfId="0" applyNumberFormat="1" applyFont="1"/>
    <xf numFmtId="0" fontId="44" fillId="0" borderId="2" xfId="0" applyFont="1" applyBorder="1" applyAlignment="1">
      <alignment horizontal="center"/>
    </xf>
    <xf numFmtId="0" fontId="44" fillId="0" borderId="6" xfId="0" applyFont="1" applyBorder="1" applyAlignment="1">
      <alignment horizontal="left"/>
    </xf>
    <xf numFmtId="0" fontId="44" fillId="0" borderId="7" xfId="0" applyFont="1" applyBorder="1" applyAlignment="1">
      <alignment horizontal="center"/>
    </xf>
    <xf numFmtId="16" fontId="45" fillId="0" borderId="6" xfId="0" applyNumberFormat="1" applyFont="1" applyBorder="1" applyAlignment="1">
      <alignment horizontal="left"/>
    </xf>
    <xf numFmtId="0" fontId="45" fillId="0" borderId="7" xfId="0" applyFont="1" applyBorder="1" applyAlignment="1">
      <alignment horizontal="left"/>
    </xf>
    <xf numFmtId="43" fontId="45" fillId="0" borderId="7" xfId="1" applyFont="1" applyBorder="1" applyAlignment="1">
      <alignment horizontal="left"/>
    </xf>
    <xf numFmtId="16" fontId="45" fillId="0" borderId="6" xfId="0" applyNumberFormat="1" applyFont="1" applyBorder="1" applyAlignment="1">
      <alignment horizontal="left" vertical="center" wrapText="1"/>
    </xf>
    <xf numFmtId="0" fontId="45" fillId="0" borderId="7" xfId="0" applyFont="1" applyBorder="1" applyAlignment="1">
      <alignment horizontal="left" vertical="center" wrapText="1"/>
    </xf>
    <xf numFmtId="43" fontId="45" fillId="0" borderId="7" xfId="1" applyFont="1" applyBorder="1" applyAlignment="1">
      <alignment horizontal="left" vertical="center" wrapText="1"/>
    </xf>
    <xf numFmtId="0" fontId="3" fillId="0" borderId="7" xfId="0" applyFont="1" applyBorder="1" applyAlignment="1">
      <alignment horizontal="left"/>
    </xf>
    <xf numFmtId="43" fontId="10" fillId="0" borderId="7" xfId="1" applyFont="1" applyBorder="1" applyAlignment="1">
      <alignment horizontal="left"/>
    </xf>
    <xf numFmtId="43" fontId="3" fillId="0" borderId="7" xfId="1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43" fontId="45" fillId="0" borderId="7" xfId="1" applyFont="1" applyFill="1" applyBorder="1" applyAlignment="1">
      <alignment horizontal="left"/>
    </xf>
    <xf numFmtId="0" fontId="44" fillId="0" borderId="7" xfId="0" applyFont="1" applyBorder="1" applyAlignment="1">
      <alignment horizontal="left"/>
    </xf>
    <xf numFmtId="43" fontId="44" fillId="0" borderId="7" xfId="1" applyFont="1" applyBorder="1" applyAlignment="1">
      <alignment horizontal="left"/>
    </xf>
    <xf numFmtId="0" fontId="45" fillId="0" borderId="0" xfId="0" applyFont="1" applyBorder="1"/>
    <xf numFmtId="0" fontId="41" fillId="0" borderId="0" xfId="0" applyFont="1" applyBorder="1"/>
    <xf numFmtId="0" fontId="2" fillId="0" borderId="0" xfId="0" applyFont="1" applyAlignment="1">
      <alignment horizontal="center"/>
    </xf>
    <xf numFmtId="43" fontId="45" fillId="8" borderId="7" xfId="1" applyFont="1" applyFill="1" applyBorder="1" applyAlignment="1">
      <alignment horizontal="left"/>
    </xf>
    <xf numFmtId="43" fontId="45" fillId="8" borderId="7" xfId="1" applyFont="1" applyFill="1" applyBorder="1" applyAlignment="1">
      <alignment horizontal="left" vertical="center" wrapText="1"/>
    </xf>
    <xf numFmtId="43" fontId="10" fillId="8" borderId="7" xfId="1" applyFont="1" applyFill="1" applyBorder="1" applyAlignment="1">
      <alignment horizontal="left"/>
    </xf>
    <xf numFmtId="0" fontId="44" fillId="0" borderId="36" xfId="0" applyFont="1" applyBorder="1" applyAlignment="1"/>
    <xf numFmtId="0" fontId="44" fillId="0" borderId="37" xfId="0" applyFont="1" applyBorder="1" applyAlignment="1"/>
    <xf numFmtId="0" fontId="44" fillId="0" borderId="38" xfId="0" applyFont="1" applyBorder="1" applyAlignment="1"/>
    <xf numFmtId="0" fontId="28" fillId="0" borderId="0" xfId="0" applyFont="1" applyBorder="1"/>
    <xf numFmtId="43" fontId="28" fillId="0" borderId="0" xfId="0" applyNumberFormat="1" applyFont="1" applyBorder="1"/>
    <xf numFmtId="43" fontId="24" fillId="2" borderId="0" xfId="1" applyFont="1" applyFill="1" applyBorder="1" applyAlignment="1">
      <alignment vertical="center"/>
    </xf>
    <xf numFmtId="165" fontId="28" fillId="0" borderId="0" xfId="0" applyNumberFormat="1" applyFont="1" applyBorder="1"/>
    <xf numFmtId="0" fontId="47" fillId="0" borderId="0" xfId="0" applyFont="1" applyBorder="1" applyAlignment="1">
      <alignment horizontal="center"/>
    </xf>
    <xf numFmtId="0" fontId="48" fillId="0" borderId="0" xfId="0" applyFont="1"/>
    <xf numFmtId="0" fontId="8" fillId="0" borderId="0" xfId="0" applyFont="1"/>
    <xf numFmtId="14" fontId="8" fillId="0" borderId="0" xfId="0" applyNumberFormat="1" applyFont="1"/>
    <xf numFmtId="0" fontId="49" fillId="0" borderId="2" xfId="0" applyFont="1" applyBorder="1" applyAlignment="1">
      <alignment horizontal="center"/>
    </xf>
    <xf numFmtId="0" fontId="50" fillId="0" borderId="3" xfId="0" applyFont="1" applyBorder="1" applyAlignment="1">
      <alignment horizontal="left"/>
    </xf>
    <xf numFmtId="0" fontId="50" fillId="0" borderId="4" xfId="0" applyFont="1" applyBorder="1" applyAlignment="1">
      <alignment horizontal="center"/>
    </xf>
    <xf numFmtId="0" fontId="50" fillId="0" borderId="5" xfId="0" applyFont="1" applyBorder="1" applyAlignment="1">
      <alignment horizontal="center"/>
    </xf>
    <xf numFmtId="0" fontId="49" fillId="0" borderId="6" xfId="0" applyFont="1" applyBorder="1" applyAlignment="1">
      <alignment horizontal="left"/>
    </xf>
    <xf numFmtId="0" fontId="49" fillId="0" borderId="7" xfId="0" applyFont="1" applyBorder="1" applyAlignment="1">
      <alignment horizontal="center"/>
    </xf>
    <xf numFmtId="0" fontId="49" fillId="0" borderId="8" xfId="0" applyFont="1" applyBorder="1" applyAlignment="1">
      <alignment horizontal="center"/>
    </xf>
    <xf numFmtId="16" fontId="47" fillId="0" borderId="6" xfId="0" applyNumberFormat="1" applyFont="1" applyBorder="1" applyAlignment="1">
      <alignment horizontal="left"/>
    </xf>
    <xf numFmtId="0" fontId="47" fillId="0" borderId="7" xfId="0" applyFont="1" applyBorder="1" applyAlignment="1">
      <alignment horizontal="left"/>
    </xf>
    <xf numFmtId="43" fontId="47" fillId="0" borderId="7" xfId="1" applyFont="1" applyBorder="1" applyAlignment="1">
      <alignment horizontal="left"/>
    </xf>
    <xf numFmtId="43" fontId="47" fillId="0" borderId="8" xfId="5" applyFont="1" applyBorder="1" applyAlignment="1">
      <alignment horizontal="left"/>
    </xf>
    <xf numFmtId="16" fontId="47" fillId="0" borderId="6" xfId="0" applyNumberFormat="1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43" fontId="47" fillId="0" borderId="7" xfId="1" applyFont="1" applyBorder="1" applyAlignment="1">
      <alignment horizontal="left" vertical="center" wrapText="1"/>
    </xf>
    <xf numFmtId="0" fontId="47" fillId="2" borderId="6" xfId="0" applyFont="1" applyFill="1" applyBorder="1" applyAlignment="1">
      <alignment horizontal="left"/>
    </xf>
    <xf numFmtId="0" fontId="49" fillId="2" borderId="7" xfId="0" applyFont="1" applyFill="1" applyBorder="1" applyAlignment="1">
      <alignment horizontal="left"/>
    </xf>
    <xf numFmtId="43" fontId="49" fillId="2" borderId="7" xfId="1" applyFont="1" applyFill="1" applyBorder="1" applyAlignment="1">
      <alignment horizontal="left"/>
    </xf>
    <xf numFmtId="43" fontId="49" fillId="2" borderId="8" xfId="5" applyFont="1" applyFill="1" applyBorder="1" applyAlignment="1">
      <alignment horizontal="left"/>
    </xf>
    <xf numFmtId="0" fontId="8" fillId="0" borderId="7" xfId="0" applyFont="1" applyBorder="1" applyAlignment="1">
      <alignment horizontal="left"/>
    </xf>
    <xf numFmtId="43" fontId="8" fillId="0" borderId="7" xfId="1" applyFont="1" applyBorder="1" applyAlignment="1">
      <alignment horizontal="left"/>
    </xf>
    <xf numFmtId="0" fontId="49" fillId="2" borderId="6" xfId="0" applyFont="1" applyFill="1" applyBorder="1" applyAlignment="1">
      <alignment horizontal="left"/>
    </xf>
    <xf numFmtId="43" fontId="8" fillId="0" borderId="8" xfId="5" applyFont="1" applyBorder="1" applyAlignment="1">
      <alignment horizontal="left"/>
    </xf>
    <xf numFmtId="0" fontId="47" fillId="0" borderId="6" xfId="0" applyFont="1" applyBorder="1" applyAlignment="1">
      <alignment horizontal="left"/>
    </xf>
    <xf numFmtId="43" fontId="47" fillId="0" borderId="7" xfId="1" applyFont="1" applyFill="1" applyBorder="1" applyAlignment="1">
      <alignment horizontal="left"/>
    </xf>
    <xf numFmtId="0" fontId="49" fillId="0" borderId="7" xfId="0" applyFont="1" applyBorder="1" applyAlignment="1">
      <alignment horizontal="left"/>
    </xf>
    <xf numFmtId="43" fontId="49" fillId="0" borderId="7" xfId="1" applyFont="1" applyBorder="1" applyAlignment="1">
      <alignment horizontal="left"/>
    </xf>
    <xf numFmtId="43" fontId="49" fillId="0" borderId="8" xfId="5" applyFont="1" applyBorder="1" applyAlignment="1">
      <alignment horizontal="left"/>
    </xf>
    <xf numFmtId="43" fontId="49" fillId="2" borderId="8" xfId="1" applyFont="1" applyFill="1" applyBorder="1" applyAlignment="1">
      <alignment horizontal="left"/>
    </xf>
    <xf numFmtId="0" fontId="49" fillId="2" borderId="9" xfId="0" applyFont="1" applyFill="1" applyBorder="1" applyAlignment="1">
      <alignment horizontal="left"/>
    </xf>
    <xf numFmtId="0" fontId="49" fillId="2" borderId="10" xfId="0" applyFont="1" applyFill="1" applyBorder="1" applyAlignment="1">
      <alignment horizontal="left"/>
    </xf>
    <xf numFmtId="43" fontId="49" fillId="2" borderId="10" xfId="1" applyFont="1" applyFill="1" applyBorder="1" applyAlignment="1">
      <alignment horizontal="left"/>
    </xf>
    <xf numFmtId="43" fontId="49" fillId="2" borderId="11" xfId="5" applyFont="1" applyFill="1" applyBorder="1" applyAlignment="1">
      <alignment horizontal="left"/>
    </xf>
    <xf numFmtId="0" fontId="49" fillId="2" borderId="12" xfId="0" applyFont="1" applyFill="1" applyBorder="1" applyAlignment="1">
      <alignment horizontal="left"/>
    </xf>
    <xf numFmtId="0" fontId="49" fillId="2" borderId="13" xfId="0" applyFont="1" applyFill="1" applyBorder="1" applyAlignment="1">
      <alignment horizontal="left"/>
    </xf>
    <xf numFmtId="43" fontId="49" fillId="2" borderId="13" xfId="1" applyFont="1" applyFill="1" applyBorder="1" applyAlignment="1">
      <alignment horizontal="left"/>
    </xf>
    <xf numFmtId="43" fontId="49" fillId="2" borderId="14" xfId="1" applyFont="1" applyFill="1" applyBorder="1" applyAlignment="1">
      <alignment horizontal="left"/>
    </xf>
    <xf numFmtId="0" fontId="47" fillId="0" borderId="0" xfId="0" applyFont="1" applyBorder="1"/>
    <xf numFmtId="166" fontId="28" fillId="0" borderId="0" xfId="0" applyNumberFormat="1" applyFont="1" applyAlignment="1">
      <alignment vertical="center"/>
    </xf>
    <xf numFmtId="166" fontId="28" fillId="0" borderId="0" xfId="0" applyNumberFormat="1" applyFont="1" applyBorder="1" applyAlignment="1">
      <alignment vertical="center"/>
    </xf>
    <xf numFmtId="43" fontId="48" fillId="0" borderId="0" xfId="0" applyNumberFormat="1" applyFont="1"/>
    <xf numFmtId="166" fontId="48" fillId="0" borderId="0" xfId="0" applyNumberFormat="1" applyFont="1"/>
    <xf numFmtId="165" fontId="23" fillId="0" borderId="4" xfId="1" applyNumberFormat="1" applyFont="1" applyFill="1" applyBorder="1" applyAlignment="1" applyProtection="1">
      <alignment horizontal="right" vertical="center"/>
    </xf>
    <xf numFmtId="165" fontId="23" fillId="0" borderId="5" xfId="1" applyNumberFormat="1" applyFont="1" applyFill="1" applyBorder="1" applyAlignment="1" applyProtection="1">
      <alignment horizontal="right" vertical="center"/>
    </xf>
    <xf numFmtId="0" fontId="31" fillId="0" borderId="0" xfId="0" applyFont="1" applyBorder="1" applyAlignment="1">
      <alignment horizontal="center"/>
    </xf>
    <xf numFmtId="0" fontId="51" fillId="0" borderId="2" xfId="0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/>
    </xf>
    <xf numFmtId="0" fontId="51" fillId="2" borderId="18" xfId="0" applyFont="1" applyFill="1" applyBorder="1" applyAlignment="1">
      <alignment horizontal="left" vertical="center"/>
    </xf>
    <xf numFmtId="0" fontId="51" fillId="2" borderId="19" xfId="0" applyFont="1" applyFill="1" applyBorder="1" applyAlignment="1">
      <alignment horizontal="center" vertical="center"/>
    </xf>
    <xf numFmtId="16" fontId="52" fillId="0" borderId="6" xfId="0" applyNumberFormat="1" applyFont="1" applyFill="1" applyBorder="1" applyAlignment="1">
      <alignment horizontal="right" vertical="center"/>
    </xf>
    <xf numFmtId="0" fontId="52" fillId="0" borderId="7" xfId="0" applyFont="1" applyBorder="1" applyAlignment="1">
      <alignment horizontal="left" vertical="center"/>
    </xf>
    <xf numFmtId="16" fontId="52" fillId="0" borderId="6" xfId="0" applyNumberFormat="1" applyFont="1" applyFill="1" applyBorder="1" applyAlignment="1">
      <alignment horizontal="right" vertical="center" wrapText="1"/>
    </xf>
    <xf numFmtId="0" fontId="52" fillId="0" borderId="7" xfId="0" applyFont="1" applyBorder="1" applyAlignment="1">
      <alignment horizontal="left" vertical="center" wrapText="1"/>
    </xf>
    <xf numFmtId="0" fontId="31" fillId="2" borderId="6" xfId="0" applyFont="1" applyFill="1" applyBorder="1" applyAlignment="1">
      <alignment horizontal="left" vertical="center"/>
    </xf>
    <xf numFmtId="0" fontId="26" fillId="2" borderId="7" xfId="0" applyFont="1" applyFill="1" applyBorder="1" applyAlignment="1">
      <alignment horizontal="left" vertical="center"/>
    </xf>
    <xf numFmtId="0" fontId="51" fillId="2" borderId="6" xfId="0" applyFont="1" applyFill="1" applyBorder="1" applyAlignment="1">
      <alignment horizontal="left" vertical="center"/>
    </xf>
    <xf numFmtId="0" fontId="52" fillId="0" borderId="6" xfId="0" applyFont="1" applyFill="1" applyBorder="1" applyAlignment="1">
      <alignment horizontal="right" vertical="center"/>
    </xf>
    <xf numFmtId="0" fontId="51" fillId="2" borderId="7" xfId="0" applyFont="1" applyFill="1" applyBorder="1" applyAlignment="1">
      <alignment horizontal="left" vertical="center"/>
    </xf>
    <xf numFmtId="0" fontId="52" fillId="0" borderId="6" xfId="0" applyFont="1" applyBorder="1" applyAlignment="1">
      <alignment horizontal="right" vertical="center"/>
    </xf>
    <xf numFmtId="0" fontId="52" fillId="0" borderId="0" xfId="0" applyFont="1" applyBorder="1"/>
    <xf numFmtId="0" fontId="26" fillId="0" borderId="0" xfId="0" applyFont="1"/>
    <xf numFmtId="0" fontId="52" fillId="0" borderId="0" xfId="0" applyFont="1"/>
    <xf numFmtId="172" fontId="51" fillId="2" borderId="2" xfId="1" applyNumberFormat="1" applyFont="1" applyFill="1" applyBorder="1" applyAlignment="1">
      <alignment vertical="center"/>
    </xf>
    <xf numFmtId="172" fontId="27" fillId="0" borderId="0" xfId="0" applyNumberFormat="1" applyFont="1"/>
    <xf numFmtId="172" fontId="30" fillId="0" borderId="0" xfId="0" applyNumberFormat="1" applyFont="1"/>
    <xf numFmtId="172" fontId="28" fillId="0" borderId="0" xfId="0" applyNumberFormat="1" applyFont="1"/>
    <xf numFmtId="172" fontId="29" fillId="0" borderId="0" xfId="0" applyNumberFormat="1" applyFont="1" applyBorder="1" applyAlignment="1">
      <alignment horizontal="center" wrapText="1"/>
    </xf>
    <xf numFmtId="172" fontId="31" fillId="0" borderId="0" xfId="0" applyNumberFormat="1" applyFont="1" applyBorder="1" applyAlignment="1">
      <alignment horizontal="center"/>
    </xf>
    <xf numFmtId="172" fontId="31" fillId="0" borderId="0" xfId="0" applyNumberFormat="1" applyFont="1" applyAlignment="1">
      <alignment horizontal="right"/>
    </xf>
    <xf numFmtId="172" fontId="31" fillId="0" borderId="0" xfId="0" applyNumberFormat="1" applyFont="1" applyBorder="1" applyAlignment="1">
      <alignment horizontal="right" vertical="center"/>
    </xf>
    <xf numFmtId="172" fontId="31" fillId="0" borderId="0" xfId="0" applyNumberFormat="1" applyFont="1" applyBorder="1" applyAlignment="1">
      <alignment vertical="center"/>
    </xf>
    <xf numFmtId="172" fontId="31" fillId="0" borderId="0" xfId="0" applyNumberFormat="1" applyFont="1" applyAlignment="1">
      <alignment horizontal="center" vertical="center"/>
    </xf>
    <xf numFmtId="172" fontId="51" fillId="0" borderId="2" xfId="0" applyNumberFormat="1" applyFont="1" applyBorder="1" applyAlignment="1">
      <alignment horizontal="center" vertical="center"/>
    </xf>
    <xf numFmtId="172" fontId="51" fillId="2" borderId="19" xfId="0" applyNumberFormat="1" applyFont="1" applyFill="1" applyBorder="1" applyAlignment="1">
      <alignment horizontal="center" vertical="center"/>
    </xf>
    <xf numFmtId="172" fontId="51" fillId="2" borderId="20" xfId="0" applyNumberFormat="1" applyFont="1" applyFill="1" applyBorder="1" applyAlignment="1">
      <alignment horizontal="center" vertical="center"/>
    </xf>
    <xf numFmtId="172" fontId="52" fillId="0" borderId="7" xfId="1" applyNumberFormat="1" applyFont="1" applyFill="1" applyBorder="1" applyAlignment="1">
      <alignment vertical="center"/>
    </xf>
    <xf numFmtId="172" fontId="52" fillId="0" borderId="8" xfId="1" applyNumberFormat="1" applyFont="1" applyFill="1" applyBorder="1" applyAlignment="1">
      <alignment vertical="center"/>
    </xf>
    <xf numFmtId="172" fontId="51" fillId="2" borderId="7" xfId="0" applyNumberFormat="1" applyFont="1" applyFill="1" applyBorder="1" applyAlignment="1">
      <alignment horizontal="center" vertical="center"/>
    </xf>
    <xf numFmtId="172" fontId="51" fillId="2" borderId="8" xfId="0" applyNumberFormat="1" applyFont="1" applyFill="1" applyBorder="1" applyAlignment="1">
      <alignment horizontal="center" vertical="center"/>
    </xf>
    <xf numFmtId="172" fontId="52" fillId="2" borderId="7" xfId="1" applyNumberFormat="1" applyFont="1" applyFill="1" applyBorder="1" applyAlignment="1">
      <alignment vertical="center"/>
    </xf>
    <xf numFmtId="172" fontId="52" fillId="2" borderId="8" xfId="1" applyNumberFormat="1" applyFont="1" applyFill="1" applyBorder="1" applyAlignment="1">
      <alignment vertical="center"/>
    </xf>
    <xf numFmtId="172" fontId="26" fillId="2" borderId="7" xfId="1" applyNumberFormat="1" applyFont="1" applyFill="1" applyBorder="1" applyAlignment="1">
      <alignment vertical="center"/>
    </xf>
    <xf numFmtId="172" fontId="26" fillId="2" borderId="8" xfId="1" applyNumberFormat="1" applyFont="1" applyFill="1" applyBorder="1" applyAlignment="1">
      <alignment vertical="center"/>
    </xf>
    <xf numFmtId="172" fontId="51" fillId="2" borderId="7" xfId="1" applyNumberFormat="1" applyFont="1" applyFill="1" applyBorder="1" applyAlignment="1">
      <alignment vertical="center"/>
    </xf>
    <xf numFmtId="172" fontId="51" fillId="2" borderId="8" xfId="1" applyNumberFormat="1" applyFont="1" applyFill="1" applyBorder="1" applyAlignment="1">
      <alignment vertical="center"/>
    </xf>
    <xf numFmtId="172" fontId="51" fillId="2" borderId="7" xfId="1" applyNumberFormat="1" applyFont="1" applyFill="1" applyBorder="1" applyAlignment="1">
      <alignment horizontal="center" vertical="center"/>
    </xf>
    <xf numFmtId="172" fontId="51" fillId="2" borderId="8" xfId="1" applyNumberFormat="1" applyFont="1" applyFill="1" applyBorder="1" applyAlignment="1">
      <alignment horizontal="center" vertical="center"/>
    </xf>
    <xf numFmtId="172" fontId="51" fillId="2" borderId="22" xfId="1" applyNumberFormat="1" applyFont="1" applyFill="1" applyBorder="1" applyAlignment="1">
      <alignment vertical="center"/>
    </xf>
    <xf numFmtId="172" fontId="51" fillId="2" borderId="23" xfId="1" applyNumberFormat="1" applyFont="1" applyFill="1" applyBorder="1" applyAlignment="1">
      <alignment vertical="center"/>
    </xf>
    <xf numFmtId="172" fontId="52" fillId="0" borderId="0" xfId="0" applyNumberFormat="1" applyFont="1" applyBorder="1"/>
    <xf numFmtId="172" fontId="26" fillId="0" borderId="0" xfId="0" applyNumberFormat="1" applyFont="1" applyBorder="1"/>
    <xf numFmtId="172" fontId="26" fillId="0" borderId="0" xfId="0" applyNumberFormat="1" applyFont="1"/>
    <xf numFmtId="172" fontId="26" fillId="0" borderId="0" xfId="1" applyNumberFormat="1" applyFont="1" applyBorder="1"/>
    <xf numFmtId="0" fontId="54" fillId="0" borderId="0" xfId="0" applyFont="1"/>
    <xf numFmtId="171" fontId="31" fillId="0" borderId="0" xfId="0" applyNumberFormat="1" applyFont="1" applyBorder="1" applyAlignment="1">
      <alignment horizontal="right" vertical="center"/>
    </xf>
    <xf numFmtId="173" fontId="51" fillId="0" borderId="2" xfId="0" applyNumberFormat="1" applyFont="1" applyBorder="1" applyAlignment="1">
      <alignment horizontal="center" vertical="center"/>
    </xf>
    <xf numFmtId="172" fontId="26" fillId="0" borderId="0" xfId="0" applyNumberFormat="1" applyFont="1" applyBorder="1" applyAlignment="1">
      <alignment horizontal="center"/>
    </xf>
    <xf numFmtId="172" fontId="26" fillId="0" borderId="0" xfId="1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172" fontId="52" fillId="7" borderId="7" xfId="1" applyNumberFormat="1" applyFont="1" applyFill="1" applyBorder="1" applyAlignment="1">
      <alignment vertical="center"/>
    </xf>
    <xf numFmtId="0" fontId="28" fillId="9" borderId="0" xfId="0" applyFont="1" applyFill="1"/>
    <xf numFmtId="0" fontId="28" fillId="0" borderId="0" xfId="0" applyFont="1" applyAlignment="1">
      <alignment horizontal="center"/>
    </xf>
    <xf numFmtId="172" fontId="46" fillId="7" borderId="7" xfId="1" applyNumberFormat="1" applyFont="1" applyFill="1" applyBorder="1" applyAlignment="1">
      <alignment vertical="center"/>
    </xf>
    <xf numFmtId="172" fontId="55" fillId="7" borderId="7" xfId="1" applyNumberFormat="1" applyFont="1" applyFill="1" applyBorder="1" applyAlignment="1">
      <alignment vertical="center"/>
    </xf>
    <xf numFmtId="172" fontId="51" fillId="7" borderId="7" xfId="1" applyNumberFormat="1" applyFont="1" applyFill="1" applyBorder="1" applyAlignment="1">
      <alignment vertical="center"/>
    </xf>
    <xf numFmtId="172" fontId="51" fillId="7" borderId="7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4" fillId="0" borderId="2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43" fontId="44" fillId="0" borderId="30" xfId="1" applyFont="1" applyBorder="1" applyAlignment="1">
      <alignment horizontal="center"/>
    </xf>
    <xf numFmtId="43" fontId="44" fillId="0" borderId="35" xfId="1" applyFont="1" applyBorder="1" applyAlignment="1">
      <alignment horizontal="center"/>
    </xf>
    <xf numFmtId="43" fontId="44" fillId="0" borderId="31" xfId="1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9" fillId="0" borderId="2" xfId="0" applyFont="1" applyBorder="1" applyAlignment="1">
      <alignment horizontal="center" vertical="center" wrapText="1"/>
    </xf>
    <xf numFmtId="0" fontId="49" fillId="0" borderId="32" xfId="0" applyFont="1" applyBorder="1" applyAlignment="1">
      <alignment horizontal="center" vertical="center" wrapText="1"/>
    </xf>
    <xf numFmtId="0" fontId="49" fillId="0" borderId="33" xfId="0" applyFont="1" applyBorder="1" applyAlignment="1">
      <alignment horizontal="center" vertical="center" wrapText="1"/>
    </xf>
    <xf numFmtId="0" fontId="49" fillId="0" borderId="34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1" fillId="2" borderId="21" xfId="0" applyFont="1" applyFill="1" applyBorder="1" applyAlignment="1">
      <alignment horizontal="left" vertical="center"/>
    </xf>
    <xf numFmtId="0" fontId="51" fillId="2" borderId="22" xfId="0" applyFont="1" applyFill="1" applyBorder="1" applyAlignment="1">
      <alignment horizontal="left" vertical="center"/>
    </xf>
    <xf numFmtId="0" fontId="51" fillId="2" borderId="2" xfId="0" applyFont="1" applyFill="1" applyBorder="1" applyAlignment="1">
      <alignment horizontal="left" vertical="center"/>
    </xf>
    <xf numFmtId="0" fontId="51" fillId="2" borderId="6" xfId="0" applyFont="1" applyFill="1" applyBorder="1" applyAlignment="1">
      <alignment horizontal="left" vertical="center"/>
    </xf>
    <xf numFmtId="0" fontId="51" fillId="2" borderId="7" xfId="0" applyFont="1" applyFill="1" applyBorder="1" applyAlignment="1">
      <alignment horizontal="left" vertical="center"/>
    </xf>
    <xf numFmtId="0" fontId="52" fillId="0" borderId="6" xfId="0" applyFont="1" applyBorder="1" applyAlignment="1">
      <alignment horizontal="right" vertical="center"/>
    </xf>
    <xf numFmtId="0" fontId="28" fillId="0" borderId="0" xfId="0" applyFont="1" applyAlignment="1">
      <alignment horizontal="left"/>
    </xf>
    <xf numFmtId="0" fontId="28" fillId="9" borderId="0" xfId="0" applyFont="1" applyFill="1" applyAlignment="1">
      <alignment horizontal="center"/>
    </xf>
    <xf numFmtId="0" fontId="29" fillId="0" borderId="25" xfId="0" applyFont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29" fillId="0" borderId="0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172" fontId="51" fillId="0" borderId="2" xfId="0" applyNumberFormat="1" applyFont="1" applyBorder="1" applyAlignment="1">
      <alignment horizontal="center" vertical="center"/>
    </xf>
    <xf numFmtId="172" fontId="51" fillId="0" borderId="2" xfId="0" applyNumberFormat="1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wrapText="1"/>
    </xf>
    <xf numFmtId="0" fontId="24" fillId="2" borderId="21" xfId="0" applyFont="1" applyFill="1" applyBorder="1" applyAlignment="1">
      <alignment horizontal="left" vertical="center"/>
    </xf>
    <xf numFmtId="0" fontId="24" fillId="2" borderId="2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6" xfId="0" applyFont="1" applyFill="1" applyBorder="1" applyAlignment="1">
      <alignment horizontal="left" vertical="center"/>
    </xf>
    <xf numFmtId="0" fontId="24" fillId="2" borderId="7" xfId="0" applyFont="1" applyFill="1" applyBorder="1" applyAlignment="1">
      <alignment horizontal="left" vertical="center"/>
    </xf>
    <xf numFmtId="0" fontId="23" fillId="0" borderId="6" xfId="0" applyFont="1" applyBorder="1" applyAlignment="1">
      <alignment horizontal="right" vertical="center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/>
    </xf>
    <xf numFmtId="0" fontId="33" fillId="2" borderId="3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6" xfId="0" applyFont="1" applyFill="1" applyBorder="1" applyAlignment="1">
      <alignment horizontal="left" vertical="top" wrapText="1"/>
    </xf>
    <xf numFmtId="0" fontId="33" fillId="2" borderId="7" xfId="0" applyFont="1" applyFill="1" applyBorder="1" applyAlignment="1">
      <alignment horizontal="left" vertical="top" wrapText="1"/>
    </xf>
    <xf numFmtId="0" fontId="33" fillId="2" borderId="12" xfId="0" applyFont="1" applyFill="1" applyBorder="1" applyAlignment="1">
      <alignment horizontal="center" vertical="top" wrapText="1"/>
    </xf>
    <xf numFmtId="0" fontId="33" fillId="2" borderId="13" xfId="0" applyFont="1" applyFill="1" applyBorder="1" applyAlignment="1">
      <alignment horizontal="center" vertical="top" wrapText="1"/>
    </xf>
    <xf numFmtId="0" fontId="31" fillId="0" borderId="0" xfId="0" applyFont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/>
    </xf>
    <xf numFmtId="0" fontId="24" fillId="0" borderId="2" xfId="3" applyFont="1" applyBorder="1" applyAlignment="1">
      <alignment horizontal="center" vertical="center" wrapText="1"/>
    </xf>
    <xf numFmtId="0" fontId="23" fillId="0" borderId="18" xfId="3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24" fillId="0" borderId="2" xfId="3" applyFont="1" applyBorder="1" applyAlignment="1">
      <alignment horizontal="center" vertical="center"/>
    </xf>
    <xf numFmtId="171" fontId="28" fillId="0" borderId="0" xfId="1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3" fillId="0" borderId="6" xfId="3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3" fillId="0" borderId="15" xfId="3" applyFont="1" applyFill="1" applyBorder="1" applyAlignment="1">
      <alignment horizontal="center" vertical="center"/>
    </xf>
    <xf numFmtId="0" fontId="23" fillId="0" borderId="3" xfId="3" applyFont="1" applyFill="1" applyBorder="1" applyAlignment="1">
      <alignment horizontal="center" vertical="center"/>
    </xf>
    <xf numFmtId="0" fontId="23" fillId="0" borderId="21" xfId="3" applyFont="1" applyFill="1" applyBorder="1" applyAlignment="1">
      <alignment horizontal="center" vertical="center"/>
    </xf>
    <xf numFmtId="0" fontId="23" fillId="0" borderId="9" xfId="3" applyFont="1" applyFill="1" applyBorder="1" applyAlignment="1">
      <alignment horizontal="center" vertical="center"/>
    </xf>
    <xf numFmtId="0" fontId="23" fillId="0" borderId="21" xfId="3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3" fillId="2" borderId="12" xfId="0" applyFont="1" applyFill="1" applyBorder="1" applyAlignment="1">
      <alignment horizontal="left" vertical="top" wrapText="1"/>
    </xf>
    <xf numFmtId="0" fontId="33" fillId="2" borderId="13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</cellXfs>
  <cellStyles count="6">
    <cellStyle name="Comma 2" xfId="1"/>
    <cellStyle name="Comma 2 3 2" xfId="5"/>
    <cellStyle name="Normal" xfId="0" builtinId="0"/>
    <cellStyle name="Normal 2" xfId="3"/>
    <cellStyle name="Normal 4" xfId="4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hno\saturn\DALI\dali%2014.11.2016\saturn-deviz%20general-2016.11.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e Generale"/>
      <sheetName val="Grafic Fizic"/>
      <sheetName val="Grafic Valoric"/>
      <sheetName val="Indicatori"/>
      <sheetName val="Deviz general (mii)"/>
      <sheetName val="Deviz General"/>
      <sheetName val="Devize cap 1"/>
      <sheetName val="Cap2+5"/>
      <sheetName val="Cap. 3-Dev fin"/>
      <sheetName val="Deviz centralizator obiecte"/>
      <sheetName val="Devize obiecte"/>
      <sheetName val="Devize obiecte evaluari"/>
      <sheetName val="Centralizator pt oferte"/>
      <sheetName val="Lista articole"/>
      <sheetName val="costuri pe u.m."/>
    </sheetNames>
    <sheetDataSet>
      <sheetData sheetId="0">
        <row r="9">
          <cell r="D9" t="str">
            <v>S.C. Tehno Consulting Solution S.R.L.</v>
          </cell>
        </row>
      </sheetData>
      <sheetData sheetId="1">
        <row r="17">
          <cell r="B17" t="str">
            <v>Prestarea serviciilor de dirigentie de santier</v>
          </cell>
        </row>
      </sheetData>
      <sheetData sheetId="2"/>
      <sheetData sheetId="3" refreshError="1"/>
      <sheetData sheetId="4" refreshError="1"/>
      <sheetData sheetId="5">
        <row r="19">
          <cell r="F19">
            <v>0</v>
          </cell>
        </row>
        <row r="20">
          <cell r="F20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6"/>
  <sheetViews>
    <sheetView showGridLines="0" workbookViewId="0">
      <selection activeCell="H4" sqref="H4"/>
    </sheetView>
  </sheetViews>
  <sheetFormatPr defaultRowHeight="12.75"/>
  <cols>
    <col min="1" max="1" width="6.140625" style="12" customWidth="1"/>
    <col min="2" max="2" width="43.85546875" style="12" bestFit="1" customWidth="1"/>
    <col min="3" max="3" width="37.85546875" style="12" customWidth="1"/>
    <col min="4" max="4" width="18.7109375" style="12" customWidth="1"/>
    <col min="5" max="5" width="13.42578125" style="12" customWidth="1"/>
    <col min="6" max="7" width="9.140625" style="12"/>
    <col min="8" max="8" width="21.5703125" style="12" customWidth="1"/>
    <col min="9" max="9" width="10.28515625" style="12" bestFit="1" customWidth="1"/>
    <col min="10" max="10" width="57" style="12" customWidth="1"/>
    <col min="11" max="16384" width="9.140625" style="12"/>
  </cols>
  <sheetData>
    <row r="1" spans="1:10">
      <c r="A1" s="18"/>
      <c r="B1" s="16" t="s">
        <v>73</v>
      </c>
      <c r="C1" s="17"/>
      <c r="D1" s="18"/>
      <c r="E1" s="18"/>
      <c r="F1" s="25"/>
      <c r="G1" s="25"/>
      <c r="I1" s="11"/>
    </row>
    <row r="2" spans="1:10">
      <c r="B2" s="10" t="s">
        <v>72</v>
      </c>
      <c r="C2" s="27" t="s">
        <v>428</v>
      </c>
      <c r="D2" s="10"/>
      <c r="H2" s="26"/>
      <c r="I2" s="397"/>
      <c r="J2" s="15"/>
    </row>
    <row r="3" spans="1:10" ht="51">
      <c r="B3" s="391" t="s">
        <v>70</v>
      </c>
      <c r="C3" s="390" t="s">
        <v>452</v>
      </c>
      <c r="D3" s="10"/>
      <c r="H3" s="403"/>
      <c r="I3" s="413"/>
      <c r="J3" s="15"/>
    </row>
    <row r="4" spans="1:10">
      <c r="B4" s="10" t="s">
        <v>262</v>
      </c>
      <c r="C4" s="19" t="s">
        <v>451</v>
      </c>
      <c r="D4" s="10"/>
      <c r="E4" s="13"/>
      <c r="H4" s="15"/>
      <c r="I4" s="15"/>
      <c r="J4" s="15"/>
    </row>
    <row r="5" spans="1:10">
      <c r="B5" s="10" t="s">
        <v>0</v>
      </c>
      <c r="C5" s="19"/>
      <c r="D5" s="10"/>
      <c r="E5" s="10"/>
      <c r="H5" s="26"/>
      <c r="I5" s="26"/>
      <c r="J5" s="15"/>
    </row>
    <row r="6" spans="1:10">
      <c r="B6" s="10" t="s">
        <v>69</v>
      </c>
      <c r="C6" s="27" t="s">
        <v>437</v>
      </c>
      <c r="D6" s="10"/>
      <c r="H6" s="26"/>
      <c r="I6" s="26"/>
      <c r="J6" s="15"/>
    </row>
    <row r="7" spans="1:10">
      <c r="B7" s="10" t="s">
        <v>71</v>
      </c>
      <c r="C7" s="27" t="s">
        <v>98</v>
      </c>
      <c r="D7" s="10"/>
      <c r="F7" s="10"/>
      <c r="G7" s="10"/>
      <c r="H7" s="10"/>
      <c r="I7" s="10"/>
    </row>
    <row r="8" spans="1:10">
      <c r="B8" s="10"/>
      <c r="C8" s="13"/>
      <c r="D8" s="10"/>
      <c r="E8" s="10"/>
      <c r="F8" s="10"/>
      <c r="G8" s="10"/>
      <c r="H8" s="10"/>
      <c r="I8" s="10"/>
    </row>
    <row r="9" spans="1:10">
      <c r="A9" s="18"/>
      <c r="B9" s="16" t="s">
        <v>82</v>
      </c>
      <c r="C9" s="17"/>
      <c r="D9" s="18"/>
      <c r="E9" s="18"/>
      <c r="F9" s="18"/>
      <c r="G9" s="18"/>
      <c r="H9" s="10"/>
      <c r="I9" s="10"/>
    </row>
    <row r="10" spans="1:10">
      <c r="A10" s="603" t="s">
        <v>136</v>
      </c>
      <c r="B10" s="606" t="s">
        <v>80</v>
      </c>
      <c r="C10" s="606" t="s">
        <v>81</v>
      </c>
      <c r="D10" s="603" t="s">
        <v>97</v>
      </c>
      <c r="E10" s="607"/>
      <c r="F10" s="607"/>
      <c r="G10" s="604"/>
      <c r="H10" s="403"/>
      <c r="I10" s="21"/>
    </row>
    <row r="11" spans="1:10">
      <c r="A11" s="603"/>
      <c r="B11" s="606"/>
      <c r="C11" s="606"/>
      <c r="D11" s="606"/>
      <c r="E11" s="404"/>
      <c r="F11" s="403"/>
      <c r="G11" s="605"/>
      <c r="H11" s="403"/>
      <c r="I11" s="21"/>
    </row>
    <row r="12" spans="1:10">
      <c r="A12" s="20">
        <v>1</v>
      </c>
      <c r="B12" s="406" t="s">
        <v>270</v>
      </c>
      <c r="C12" s="409">
        <v>250</v>
      </c>
      <c r="D12" s="410">
        <v>25</v>
      </c>
      <c r="E12" s="10"/>
      <c r="F12" s="10"/>
      <c r="G12" s="10"/>
      <c r="H12" s="10"/>
      <c r="J12" s="408"/>
    </row>
    <row r="13" spans="1:10">
      <c r="A13" s="20">
        <v>2</v>
      </c>
      <c r="B13" s="406" t="s">
        <v>271</v>
      </c>
      <c r="C13" s="409">
        <f>122+163</f>
        <v>285</v>
      </c>
      <c r="D13" s="410">
        <v>25</v>
      </c>
      <c r="E13" s="10"/>
      <c r="F13" s="10"/>
      <c r="G13" s="10"/>
      <c r="H13" s="10"/>
      <c r="I13" s="10"/>
      <c r="J13" s="15"/>
    </row>
    <row r="14" spans="1:10">
      <c r="A14" s="20">
        <v>3</v>
      </c>
      <c r="B14" s="406" t="s">
        <v>272</v>
      </c>
      <c r="C14" s="409">
        <f>140</f>
        <v>140</v>
      </c>
      <c r="D14" s="410"/>
      <c r="E14" s="10"/>
      <c r="F14" s="10"/>
      <c r="G14" s="10"/>
      <c r="H14" s="10"/>
      <c r="I14" s="10"/>
      <c r="J14" s="408"/>
    </row>
    <row r="15" spans="1:10">
      <c r="A15" s="20">
        <v>4</v>
      </c>
      <c r="B15" s="406"/>
      <c r="C15" s="409"/>
      <c r="D15" s="407"/>
      <c r="E15" s="10"/>
      <c r="F15" s="10"/>
      <c r="G15" s="10"/>
      <c r="H15" s="10"/>
    </row>
    <row r="16" spans="1:10">
      <c r="A16" s="20">
        <v>5</v>
      </c>
      <c r="B16" s="406"/>
      <c r="C16" s="409"/>
      <c r="D16" s="407"/>
      <c r="E16" s="10"/>
      <c r="F16" s="10"/>
      <c r="G16" s="10"/>
      <c r="H16" s="10"/>
    </row>
    <row r="17" spans="1:9">
      <c r="A17" s="20">
        <v>6</v>
      </c>
      <c r="B17" s="406"/>
      <c r="C17" s="409"/>
      <c r="D17" s="410"/>
      <c r="E17" s="10"/>
      <c r="F17" s="10"/>
      <c r="G17" s="10"/>
      <c r="H17" s="10"/>
      <c r="I17" s="10"/>
    </row>
    <row r="18" spans="1:9">
      <c r="A18" s="20">
        <v>7</v>
      </c>
      <c r="B18" s="406"/>
      <c r="C18" s="409"/>
      <c r="D18" s="410"/>
      <c r="E18" s="10"/>
      <c r="F18" s="10"/>
      <c r="G18" s="10"/>
      <c r="H18" s="10"/>
      <c r="I18" s="10"/>
    </row>
    <row r="19" spans="1:9">
      <c r="A19" s="20">
        <v>8</v>
      </c>
      <c r="B19" s="406"/>
      <c r="C19" s="409"/>
      <c r="D19" s="410"/>
      <c r="E19" s="10"/>
      <c r="F19" s="10"/>
      <c r="G19" s="10"/>
      <c r="H19" s="10"/>
      <c r="I19" s="10"/>
    </row>
    <row r="20" spans="1:9">
      <c r="A20" s="20">
        <v>9</v>
      </c>
      <c r="B20" s="411"/>
      <c r="C20" s="389"/>
      <c r="D20" s="407"/>
      <c r="E20" s="10"/>
      <c r="F20" s="10"/>
      <c r="G20" s="10"/>
      <c r="H20" s="10"/>
      <c r="I20" s="10"/>
    </row>
    <row r="21" spans="1:9">
      <c r="A21" s="20">
        <v>10</v>
      </c>
      <c r="B21" s="411">
        <v>0</v>
      </c>
      <c r="C21" s="389">
        <v>469</v>
      </c>
      <c r="D21" s="407">
        <v>25</v>
      </c>
      <c r="E21" s="10"/>
      <c r="F21" s="10"/>
      <c r="G21" s="10"/>
      <c r="H21" s="10"/>
      <c r="I21" s="10"/>
    </row>
    <row r="22" spans="1:9">
      <c r="A22" s="20">
        <v>11</v>
      </c>
      <c r="B22" s="411">
        <v>0</v>
      </c>
      <c r="C22" s="389">
        <v>421</v>
      </c>
      <c r="D22" s="407">
        <v>25</v>
      </c>
      <c r="E22" s="10"/>
      <c r="F22" s="10"/>
      <c r="G22" s="10"/>
      <c r="H22" s="10"/>
      <c r="I22" s="10"/>
    </row>
    <row r="23" spans="1:9">
      <c r="A23" s="20">
        <v>12</v>
      </c>
      <c r="B23" s="411">
        <v>0</v>
      </c>
      <c r="C23" s="389">
        <v>133</v>
      </c>
      <c r="D23" s="407">
        <v>25</v>
      </c>
      <c r="E23" s="10"/>
      <c r="F23" s="10"/>
      <c r="G23" s="10"/>
      <c r="H23" s="10"/>
      <c r="I23" s="10"/>
    </row>
    <row r="24" spans="1:9">
      <c r="A24" s="20">
        <v>13</v>
      </c>
      <c r="B24" s="411">
        <v>0</v>
      </c>
      <c r="C24" s="389">
        <v>706</v>
      </c>
      <c r="D24" s="407">
        <v>25</v>
      </c>
      <c r="E24" s="10"/>
      <c r="F24" s="10"/>
      <c r="G24" s="10"/>
      <c r="H24" s="10"/>
      <c r="I24" s="10"/>
    </row>
    <row r="25" spans="1:9">
      <c r="A25" s="20">
        <v>14</v>
      </c>
      <c r="B25" s="411">
        <v>0</v>
      </c>
      <c r="C25" s="389">
        <v>113</v>
      </c>
      <c r="D25" s="407">
        <v>25</v>
      </c>
      <c r="E25" s="10"/>
      <c r="F25" s="10"/>
      <c r="G25" s="10"/>
      <c r="H25" s="10"/>
      <c r="I25" s="10"/>
    </row>
    <row r="26" spans="1:9">
      <c r="A26" s="20">
        <v>15</v>
      </c>
      <c r="B26" s="411">
        <v>0</v>
      </c>
      <c r="C26" s="389">
        <v>240</v>
      </c>
      <c r="D26" s="407">
        <v>25</v>
      </c>
      <c r="E26" s="10"/>
      <c r="F26" s="10"/>
      <c r="G26" s="10"/>
      <c r="H26" s="10"/>
      <c r="I26" s="10"/>
    </row>
    <row r="27" spans="1:9">
      <c r="A27" s="20">
        <v>16</v>
      </c>
      <c r="B27" s="411">
        <v>0</v>
      </c>
      <c r="C27" s="389">
        <v>226</v>
      </c>
      <c r="D27" s="407">
        <v>25</v>
      </c>
      <c r="E27" s="10"/>
      <c r="F27" s="10"/>
      <c r="G27" s="10"/>
      <c r="H27" s="10"/>
      <c r="I27" s="10"/>
    </row>
    <row r="28" spans="1:9">
      <c r="A28" s="20">
        <v>17</v>
      </c>
      <c r="B28" s="411">
        <v>0</v>
      </c>
      <c r="C28" s="389">
        <v>735</v>
      </c>
      <c r="D28" s="407">
        <v>25</v>
      </c>
      <c r="E28" s="10"/>
      <c r="F28" s="10"/>
      <c r="G28" s="10"/>
      <c r="H28" s="10"/>
      <c r="I28" s="10"/>
    </row>
    <row r="29" spans="1:9">
      <c r="A29" s="20">
        <v>18</v>
      </c>
      <c r="B29" s="411">
        <v>0</v>
      </c>
      <c r="C29" s="389">
        <v>434</v>
      </c>
      <c r="D29" s="407">
        <v>25</v>
      </c>
      <c r="E29" s="10"/>
      <c r="F29" s="10"/>
      <c r="G29" s="10"/>
      <c r="H29" s="10"/>
      <c r="I29" s="10"/>
    </row>
    <row r="30" spans="1:9">
      <c r="A30" s="20">
        <v>19</v>
      </c>
      <c r="B30" s="411">
        <v>0</v>
      </c>
      <c r="C30" s="389">
        <v>107</v>
      </c>
      <c r="D30" s="407">
        <v>25</v>
      </c>
      <c r="E30" s="10"/>
      <c r="F30" s="10"/>
      <c r="G30" s="10"/>
      <c r="H30" s="10"/>
      <c r="I30" s="10"/>
    </row>
    <row r="31" spans="1:9">
      <c r="A31" s="20">
        <v>20</v>
      </c>
      <c r="B31" s="411">
        <v>0</v>
      </c>
      <c r="C31" s="389">
        <v>420</v>
      </c>
      <c r="D31" s="407">
        <v>25</v>
      </c>
      <c r="E31" s="10"/>
      <c r="F31" s="10"/>
      <c r="G31" s="10"/>
      <c r="H31" s="10"/>
      <c r="I31" s="10"/>
    </row>
    <row r="32" spans="1:9">
      <c r="A32" s="20">
        <v>21</v>
      </c>
      <c r="B32" s="412">
        <v>0</v>
      </c>
      <c r="C32" s="29">
        <v>141</v>
      </c>
      <c r="D32" s="407">
        <v>25</v>
      </c>
      <c r="E32" s="10"/>
      <c r="F32" s="10"/>
      <c r="G32" s="10"/>
      <c r="H32" s="10"/>
      <c r="I32" s="10"/>
    </row>
    <row r="33" spans="1:9">
      <c r="A33" s="20">
        <v>22</v>
      </c>
      <c r="B33" s="412">
        <v>0</v>
      </c>
      <c r="C33" s="29">
        <v>448</v>
      </c>
      <c r="D33" s="407">
        <v>25</v>
      </c>
      <c r="E33" s="10"/>
      <c r="F33" s="10"/>
      <c r="G33" s="10"/>
      <c r="H33" s="10"/>
      <c r="I33" s="10"/>
    </row>
    <row r="34" spans="1:9">
      <c r="A34" s="20">
        <v>23</v>
      </c>
      <c r="B34" s="412">
        <v>0</v>
      </c>
      <c r="C34" s="29">
        <v>485</v>
      </c>
      <c r="D34" s="407">
        <v>25</v>
      </c>
      <c r="E34" s="10"/>
      <c r="F34" s="10"/>
      <c r="G34" s="10"/>
      <c r="H34" s="10"/>
      <c r="I34" s="10"/>
    </row>
    <row r="35" spans="1:9">
      <c r="A35" s="20">
        <v>24</v>
      </c>
      <c r="B35" s="412">
        <v>0</v>
      </c>
      <c r="C35" s="29">
        <v>252</v>
      </c>
      <c r="D35" s="407">
        <v>25</v>
      </c>
      <c r="E35" s="10"/>
      <c r="F35" s="10"/>
      <c r="G35" s="10"/>
      <c r="H35" s="10"/>
      <c r="I35" s="10"/>
    </row>
    <row r="36" spans="1:9">
      <c r="A36" s="20">
        <v>25</v>
      </c>
      <c r="B36" s="412">
        <v>0</v>
      </c>
      <c r="C36" s="29">
        <v>268</v>
      </c>
      <c r="D36" s="407">
        <v>25</v>
      </c>
      <c r="E36" s="10"/>
      <c r="F36" s="10"/>
      <c r="G36" s="10"/>
      <c r="H36" s="10"/>
      <c r="I36" s="10"/>
    </row>
    <row r="37" spans="1:9">
      <c r="A37" s="20">
        <v>26</v>
      </c>
      <c r="B37" s="412">
        <v>0</v>
      </c>
      <c r="C37" s="29">
        <v>152</v>
      </c>
      <c r="D37" s="407">
        <v>25</v>
      </c>
      <c r="E37" s="10"/>
      <c r="F37" s="10"/>
      <c r="G37" s="10"/>
      <c r="H37" s="10"/>
      <c r="I37" s="10"/>
    </row>
    <row r="38" spans="1:9">
      <c r="B38" s="395"/>
      <c r="C38" s="395"/>
      <c r="D38" s="394"/>
      <c r="E38" s="395"/>
      <c r="F38" s="11"/>
      <c r="G38" s="11"/>
      <c r="H38" s="10"/>
      <c r="I38" s="10"/>
    </row>
    <row r="39" spans="1:9">
      <c r="B39" s="376"/>
      <c r="C39" s="377"/>
      <c r="D39" s="376"/>
      <c r="E39" s="377"/>
      <c r="F39" s="11"/>
      <c r="G39" s="11"/>
      <c r="H39" s="10"/>
      <c r="I39" s="10"/>
    </row>
    <row r="40" spans="1:9">
      <c r="B40" s="376"/>
      <c r="C40" s="377"/>
      <c r="D40" s="376"/>
      <c r="E40" s="377"/>
      <c r="F40" s="11"/>
      <c r="G40" s="11"/>
      <c r="H40" s="10"/>
      <c r="I40" s="10"/>
    </row>
    <row r="41" spans="1:9">
      <c r="B41" s="10"/>
      <c r="C41" s="11"/>
      <c r="D41" s="10"/>
      <c r="E41" s="10"/>
      <c r="F41" s="10"/>
      <c r="G41" s="10"/>
      <c r="H41" s="10"/>
      <c r="I41" s="10"/>
    </row>
    <row r="42" spans="1:9">
      <c r="A42" s="18"/>
      <c r="B42" s="16" t="s">
        <v>93</v>
      </c>
      <c r="C42" s="17"/>
      <c r="D42" s="18"/>
      <c r="E42" s="18"/>
      <c r="F42" s="18"/>
      <c r="G42" s="18"/>
      <c r="H42" s="10"/>
      <c r="I42" s="10"/>
    </row>
    <row r="43" spans="1:9">
      <c r="B43" s="10" t="s">
        <v>83</v>
      </c>
      <c r="C43" s="11"/>
      <c r="D43" s="30">
        <v>0.05</v>
      </c>
      <c r="E43" s="10"/>
      <c r="F43" s="10"/>
      <c r="G43" s="10"/>
      <c r="H43" s="10"/>
      <c r="I43" s="10"/>
    </row>
    <row r="44" spans="1:9">
      <c r="B44" s="10" t="s">
        <v>91</v>
      </c>
      <c r="C44" s="11"/>
      <c r="D44" s="30">
        <v>0.5</v>
      </c>
      <c r="E44" s="10"/>
      <c r="F44" s="10"/>
      <c r="G44" s="10"/>
      <c r="H44" s="10"/>
      <c r="I44" s="10"/>
    </row>
    <row r="45" spans="1:9">
      <c r="B45" s="10" t="s">
        <v>92</v>
      </c>
      <c r="C45" s="11"/>
      <c r="D45" s="28">
        <f>0.45*(0.1+0.1+0.1)*1</f>
        <v>0.13500000000000004</v>
      </c>
      <c r="E45" s="10" t="s">
        <v>54</v>
      </c>
      <c r="F45" s="10"/>
      <c r="G45" s="10"/>
      <c r="H45" s="10"/>
      <c r="I45" s="10"/>
    </row>
    <row r="46" spans="1:9">
      <c r="B46" s="10" t="s">
        <v>96</v>
      </c>
      <c r="C46" s="11"/>
      <c r="D46" s="28">
        <f>1.2+1.2</f>
        <v>2.4</v>
      </c>
      <c r="E46" s="10" t="s">
        <v>67</v>
      </c>
      <c r="F46" s="10"/>
      <c r="G46" s="10"/>
      <c r="H46" s="10"/>
      <c r="I46" s="10"/>
    </row>
    <row r="47" spans="1:9">
      <c r="B47" s="10" t="s">
        <v>94</v>
      </c>
      <c r="C47" s="11"/>
      <c r="D47" s="30">
        <v>0.15</v>
      </c>
      <c r="E47" s="10"/>
      <c r="F47" s="10"/>
      <c r="G47" s="10"/>
      <c r="H47" s="10"/>
      <c r="I47" s="10"/>
    </row>
    <row r="48" spans="1:9">
      <c r="B48" s="10" t="s">
        <v>95</v>
      </c>
      <c r="C48" s="11"/>
      <c r="D48" s="28">
        <f>1.7+1.7</f>
        <v>3.4</v>
      </c>
      <c r="E48" s="10" t="s">
        <v>67</v>
      </c>
      <c r="F48" s="10"/>
      <c r="G48" s="10"/>
      <c r="H48" s="10"/>
      <c r="I48" s="10"/>
    </row>
    <row r="49" spans="1:12">
      <c r="B49" s="10" t="s">
        <v>256</v>
      </c>
      <c r="C49" s="11"/>
      <c r="D49" s="28">
        <f>10+1.5</f>
        <v>11.5</v>
      </c>
      <c r="E49" s="10" t="s">
        <v>67</v>
      </c>
      <c r="F49" s="10"/>
      <c r="G49" s="10"/>
      <c r="H49" s="396"/>
      <c r="I49" s="396"/>
    </row>
    <row r="50" spans="1:12">
      <c r="B50" s="10" t="s">
        <v>257</v>
      </c>
      <c r="C50" s="11"/>
      <c r="D50" s="28">
        <v>7</v>
      </c>
      <c r="E50" s="10" t="s">
        <v>67</v>
      </c>
      <c r="F50" s="10"/>
      <c r="G50" s="10"/>
      <c r="H50" s="396"/>
      <c r="I50" s="10"/>
    </row>
    <row r="51" spans="1:12">
      <c r="B51" s="10"/>
      <c r="C51" s="11"/>
      <c r="D51" s="10"/>
      <c r="E51" s="10"/>
      <c r="F51" s="10"/>
      <c r="G51" s="10"/>
      <c r="H51" s="10"/>
      <c r="I51" s="10"/>
    </row>
    <row r="52" spans="1:12">
      <c r="A52" s="18"/>
      <c r="B52" s="16" t="s">
        <v>74</v>
      </c>
      <c r="C52" s="17"/>
      <c r="D52" s="18"/>
      <c r="E52" s="18"/>
      <c r="F52" s="18"/>
      <c r="G52" s="18"/>
      <c r="H52" s="10"/>
      <c r="I52" s="10"/>
    </row>
    <row r="53" spans="1:12">
      <c r="B53" s="11" t="s">
        <v>75</v>
      </c>
      <c r="C53" s="20" t="s">
        <v>76</v>
      </c>
      <c r="D53" s="20" t="s">
        <v>77</v>
      </c>
      <c r="E53" s="10"/>
      <c r="F53" s="10"/>
      <c r="G53" s="10"/>
      <c r="H53" s="10"/>
      <c r="I53" s="10"/>
    </row>
    <row r="54" spans="1:12">
      <c r="B54" s="11" t="s">
        <v>78</v>
      </c>
      <c r="C54" s="31">
        <v>4.7233000000000001</v>
      </c>
      <c r="D54" s="32" t="s">
        <v>439</v>
      </c>
      <c r="E54" s="10"/>
      <c r="F54" s="10"/>
      <c r="G54" s="10"/>
      <c r="H54" s="10"/>
      <c r="I54" s="10"/>
    </row>
    <row r="55" spans="1:12">
      <c r="B55" s="11"/>
      <c r="C55" s="31"/>
      <c r="D55" s="32"/>
      <c r="E55" s="10"/>
      <c r="F55" s="10"/>
      <c r="G55" s="10"/>
      <c r="H55" s="10"/>
      <c r="I55" s="10"/>
    </row>
    <row r="56" spans="1:12">
      <c r="E56" s="10"/>
      <c r="F56" s="10"/>
      <c r="G56" s="10"/>
      <c r="H56" s="10"/>
      <c r="I56" s="10"/>
    </row>
    <row r="57" spans="1:12">
      <c r="A57" s="18"/>
      <c r="B57" s="16" t="s">
        <v>1</v>
      </c>
      <c r="C57" s="17"/>
      <c r="D57" s="18"/>
      <c r="E57" s="18"/>
      <c r="F57" s="18"/>
      <c r="G57" s="18"/>
      <c r="H57" s="13"/>
      <c r="I57" s="14"/>
    </row>
    <row r="58" spans="1:12">
      <c r="B58" s="10" t="s">
        <v>1</v>
      </c>
      <c r="D58" s="30">
        <v>0.19</v>
      </c>
      <c r="F58" s="10"/>
      <c r="G58" s="10"/>
    </row>
    <row r="60" spans="1:12">
      <c r="A60" s="18"/>
      <c r="B60" s="16" t="s">
        <v>79</v>
      </c>
      <c r="C60" s="17"/>
      <c r="D60" s="18"/>
      <c r="E60" s="18"/>
      <c r="F60" s="17"/>
      <c r="G60" s="17"/>
    </row>
    <row r="61" spans="1:12">
      <c r="B61" s="12" t="s">
        <v>100</v>
      </c>
      <c r="C61" s="12" t="s">
        <v>101</v>
      </c>
      <c r="D61" s="12" t="str">
        <f>B12</f>
        <v>Lucrari de pasaje pe bretele de acces</v>
      </c>
      <c r="E61" s="15" t="str">
        <f>B61&amp;C61&amp;D61</f>
        <v>Obiect 001: Lucrari de pasaje pe bretele de acces</v>
      </c>
      <c r="H61" s="15"/>
      <c r="I61" s="15"/>
      <c r="K61" s="15"/>
      <c r="L61" s="15"/>
    </row>
    <row r="62" spans="1:12">
      <c r="B62" s="12" t="s">
        <v>102</v>
      </c>
      <c r="C62" s="12" t="s">
        <v>101</v>
      </c>
      <c r="D62" s="12" t="str">
        <f t="shared" ref="D62:D86" si="0">B13</f>
        <v>Lucrari de drum</v>
      </c>
      <c r="E62" s="15" t="str">
        <f t="shared" ref="E62:E75" si="1">B62&amp;C62&amp;D62</f>
        <v>Obiect 002: Lucrari de drum</v>
      </c>
      <c r="H62" s="15"/>
      <c r="I62" s="15"/>
      <c r="K62" s="15"/>
      <c r="L62" s="15"/>
    </row>
    <row r="63" spans="1:12">
      <c r="B63" s="12" t="s">
        <v>103</v>
      </c>
      <c r="C63" s="12" t="s">
        <v>101</v>
      </c>
      <c r="D63" s="12" t="str">
        <f t="shared" si="0"/>
        <v>Instalatii electrice</v>
      </c>
      <c r="E63" s="15" t="str">
        <f t="shared" si="1"/>
        <v>Obiect 003: Instalatii electrice</v>
      </c>
      <c r="H63" s="15"/>
      <c r="I63" s="15"/>
      <c r="K63" s="15"/>
      <c r="L63" s="15"/>
    </row>
    <row r="64" spans="1:12">
      <c r="B64" s="12" t="s">
        <v>104</v>
      </c>
      <c r="C64" s="12" t="s">
        <v>101</v>
      </c>
      <c r="D64" s="12">
        <f t="shared" si="0"/>
        <v>0</v>
      </c>
      <c r="E64" s="15" t="str">
        <f t="shared" si="1"/>
        <v>Obiect 004: 0</v>
      </c>
      <c r="H64" s="15"/>
      <c r="I64" s="15"/>
      <c r="K64" s="15"/>
      <c r="L64" s="15"/>
    </row>
    <row r="65" spans="2:12">
      <c r="B65" s="12" t="s">
        <v>105</v>
      </c>
      <c r="C65" s="12" t="s">
        <v>101</v>
      </c>
      <c r="D65" s="12">
        <f t="shared" si="0"/>
        <v>0</v>
      </c>
      <c r="E65" s="15" t="str">
        <f t="shared" si="1"/>
        <v>Obiect 005: 0</v>
      </c>
      <c r="H65" s="15"/>
      <c r="I65" s="15"/>
      <c r="K65" s="15"/>
      <c r="L65" s="15"/>
    </row>
    <row r="66" spans="2:12">
      <c r="B66" s="12" t="s">
        <v>106</v>
      </c>
      <c r="C66" s="12" t="s">
        <v>101</v>
      </c>
      <c r="D66" s="12">
        <f t="shared" si="0"/>
        <v>0</v>
      </c>
      <c r="E66" s="15" t="str">
        <f t="shared" si="1"/>
        <v>Obiect 006: 0</v>
      </c>
      <c r="H66" s="15"/>
      <c r="I66" s="15"/>
      <c r="K66" s="15"/>
      <c r="L66" s="15"/>
    </row>
    <row r="67" spans="2:12">
      <c r="B67" s="12" t="s">
        <v>107</v>
      </c>
      <c r="C67" s="12" t="s">
        <v>101</v>
      </c>
      <c r="D67" s="12">
        <f t="shared" si="0"/>
        <v>0</v>
      </c>
      <c r="E67" s="15" t="str">
        <f t="shared" si="1"/>
        <v>Obiect 007: 0</v>
      </c>
      <c r="H67" s="15"/>
      <c r="I67" s="15"/>
      <c r="K67" s="15"/>
      <c r="L67" s="15"/>
    </row>
    <row r="68" spans="2:12">
      <c r="B68" s="12" t="s">
        <v>108</v>
      </c>
      <c r="C68" s="12" t="s">
        <v>101</v>
      </c>
      <c r="D68" s="12">
        <f t="shared" si="0"/>
        <v>0</v>
      </c>
      <c r="E68" s="15" t="str">
        <f t="shared" si="1"/>
        <v>Obiect 008: 0</v>
      </c>
      <c r="H68" s="15"/>
      <c r="I68" s="15"/>
      <c r="K68" s="15"/>
      <c r="L68" s="15"/>
    </row>
    <row r="69" spans="2:12">
      <c r="B69" s="12" t="s">
        <v>109</v>
      </c>
      <c r="C69" s="12" t="s">
        <v>101</v>
      </c>
      <c r="D69" s="12">
        <f t="shared" si="0"/>
        <v>0</v>
      </c>
      <c r="E69" s="15" t="str">
        <f t="shared" si="1"/>
        <v>Obiect 009: 0</v>
      </c>
      <c r="H69" s="15"/>
      <c r="I69" s="15"/>
      <c r="K69" s="15"/>
      <c r="L69" s="15"/>
    </row>
    <row r="70" spans="2:12">
      <c r="B70" s="12" t="s">
        <v>110</v>
      </c>
      <c r="C70" s="12" t="s">
        <v>101</v>
      </c>
      <c r="D70" s="12">
        <f t="shared" si="0"/>
        <v>0</v>
      </c>
      <c r="E70" s="15" t="str">
        <f t="shared" si="1"/>
        <v>Obiect 010: 0</v>
      </c>
      <c r="H70" s="15"/>
      <c r="I70" s="15"/>
      <c r="K70" s="15"/>
      <c r="L70" s="15"/>
    </row>
    <row r="71" spans="2:12">
      <c r="B71" s="12" t="s">
        <v>111</v>
      </c>
      <c r="C71" s="12" t="s">
        <v>101</v>
      </c>
      <c r="D71" s="12">
        <f t="shared" si="0"/>
        <v>0</v>
      </c>
      <c r="E71" s="15" t="str">
        <f t="shared" si="1"/>
        <v>Obiect 011: 0</v>
      </c>
      <c r="H71" s="15"/>
      <c r="I71" s="15"/>
      <c r="K71" s="15"/>
      <c r="L71" s="15"/>
    </row>
    <row r="72" spans="2:12">
      <c r="B72" s="12" t="s">
        <v>112</v>
      </c>
      <c r="C72" s="12" t="s">
        <v>101</v>
      </c>
      <c r="D72" s="12">
        <f t="shared" si="0"/>
        <v>0</v>
      </c>
      <c r="E72" s="15" t="str">
        <f t="shared" si="1"/>
        <v>Obiect 012: 0</v>
      </c>
      <c r="H72" s="15"/>
      <c r="I72" s="15"/>
      <c r="K72" s="15"/>
      <c r="L72" s="15"/>
    </row>
    <row r="73" spans="2:12">
      <c r="B73" s="12" t="s">
        <v>113</v>
      </c>
      <c r="C73" s="12" t="s">
        <v>101</v>
      </c>
      <c r="D73" s="12">
        <f t="shared" si="0"/>
        <v>0</v>
      </c>
      <c r="E73" s="15" t="str">
        <f t="shared" si="1"/>
        <v>Obiect 013: 0</v>
      </c>
      <c r="H73" s="15"/>
      <c r="I73" s="15"/>
      <c r="K73" s="15"/>
      <c r="L73" s="15"/>
    </row>
    <row r="74" spans="2:12">
      <c r="B74" s="12" t="s">
        <v>114</v>
      </c>
      <c r="C74" s="12" t="s">
        <v>101</v>
      </c>
      <c r="D74" s="12">
        <f t="shared" si="0"/>
        <v>0</v>
      </c>
      <c r="E74" s="15" t="str">
        <f t="shared" si="1"/>
        <v>Obiect 014: 0</v>
      </c>
      <c r="H74" s="15"/>
      <c r="I74" s="15"/>
      <c r="K74" s="15"/>
      <c r="L74" s="15"/>
    </row>
    <row r="75" spans="2:12">
      <c r="B75" s="12" t="s">
        <v>115</v>
      </c>
      <c r="C75" s="12" t="s">
        <v>101</v>
      </c>
      <c r="D75" s="12">
        <f t="shared" si="0"/>
        <v>0</v>
      </c>
      <c r="E75" s="15" t="str">
        <f t="shared" si="1"/>
        <v>Obiect 015: 0</v>
      </c>
      <c r="H75" s="15"/>
      <c r="I75" s="15"/>
      <c r="K75" s="15"/>
      <c r="L75" s="15"/>
    </row>
    <row r="76" spans="2:12">
      <c r="B76" s="12" t="s">
        <v>244</v>
      </c>
      <c r="D76" s="12">
        <f t="shared" si="0"/>
        <v>0</v>
      </c>
      <c r="E76" s="15" t="str">
        <f t="shared" ref="E76:E86" si="2">B76&amp;C76&amp;D76</f>
        <v>Obiect 016:0</v>
      </c>
      <c r="H76" s="15"/>
      <c r="I76" s="15"/>
      <c r="J76" s="15"/>
      <c r="K76" s="15"/>
      <c r="L76" s="15"/>
    </row>
    <row r="77" spans="2:12">
      <c r="B77" s="12" t="s">
        <v>245</v>
      </c>
      <c r="D77" s="12">
        <f t="shared" si="0"/>
        <v>0</v>
      </c>
      <c r="E77" s="15" t="str">
        <f t="shared" si="2"/>
        <v>Obiect 017:0</v>
      </c>
    </row>
    <row r="78" spans="2:12">
      <c r="B78" s="12" t="s">
        <v>246</v>
      </c>
      <c r="D78" s="12">
        <f t="shared" si="0"/>
        <v>0</v>
      </c>
      <c r="E78" s="15" t="str">
        <f t="shared" si="2"/>
        <v>Obiect 018:0</v>
      </c>
    </row>
    <row r="79" spans="2:12">
      <c r="B79" s="12" t="s">
        <v>247</v>
      </c>
      <c r="D79" s="12">
        <f t="shared" si="0"/>
        <v>0</v>
      </c>
      <c r="E79" s="15" t="str">
        <f t="shared" si="2"/>
        <v>Obiect 019:0</v>
      </c>
    </row>
    <row r="80" spans="2:12">
      <c r="B80" s="12" t="s">
        <v>248</v>
      </c>
      <c r="D80" s="12">
        <f t="shared" si="0"/>
        <v>0</v>
      </c>
      <c r="E80" s="15" t="str">
        <f t="shared" si="2"/>
        <v>Obiect 020:0</v>
      </c>
    </row>
    <row r="81" spans="2:5">
      <c r="B81" s="12" t="s">
        <v>249</v>
      </c>
      <c r="D81" s="12">
        <f t="shared" si="0"/>
        <v>0</v>
      </c>
      <c r="E81" s="15" t="str">
        <f t="shared" si="2"/>
        <v>Obiect 021:0</v>
      </c>
    </row>
    <row r="82" spans="2:5">
      <c r="B82" s="12" t="s">
        <v>250</v>
      </c>
      <c r="D82" s="12">
        <f t="shared" si="0"/>
        <v>0</v>
      </c>
      <c r="E82" s="15" t="str">
        <f t="shared" si="2"/>
        <v>Obiect 022:0</v>
      </c>
    </row>
    <row r="83" spans="2:5">
      <c r="B83" s="12" t="s">
        <v>251</v>
      </c>
      <c r="D83" s="12">
        <f t="shared" si="0"/>
        <v>0</v>
      </c>
      <c r="E83" s="15" t="str">
        <f t="shared" si="2"/>
        <v>Obiect 023:0</v>
      </c>
    </row>
    <row r="84" spans="2:5">
      <c r="B84" s="12" t="s">
        <v>252</v>
      </c>
      <c r="D84" s="12">
        <f t="shared" si="0"/>
        <v>0</v>
      </c>
      <c r="E84" s="15" t="str">
        <f t="shared" si="2"/>
        <v>Obiect 024:0</v>
      </c>
    </row>
    <row r="85" spans="2:5">
      <c r="B85" s="12" t="s">
        <v>253</v>
      </c>
      <c r="D85" s="12">
        <f t="shared" si="0"/>
        <v>0</v>
      </c>
      <c r="E85" s="15" t="str">
        <f t="shared" si="2"/>
        <v>Obiect 025:0</v>
      </c>
    </row>
    <row r="86" spans="2:5">
      <c r="B86" s="12" t="s">
        <v>254</v>
      </c>
      <c r="D86" s="12">
        <f t="shared" si="0"/>
        <v>0</v>
      </c>
      <c r="E86" s="15" t="str">
        <f t="shared" si="2"/>
        <v>Obiect 026:0</v>
      </c>
    </row>
  </sheetData>
  <dataConsolidate/>
  <mergeCells count="6">
    <mergeCell ref="A10:A11"/>
    <mergeCell ref="G10:G11"/>
    <mergeCell ref="B10:B11"/>
    <mergeCell ref="C10:C11"/>
    <mergeCell ref="D10:D11"/>
    <mergeCell ref="E10:F10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view="pageBreakPreview" topLeftCell="B1" zoomScale="85" zoomScaleNormal="100" zoomScaleSheetLayoutView="85" workbookViewId="0">
      <selection activeCell="C25" sqref="C25"/>
    </sheetView>
  </sheetViews>
  <sheetFormatPr defaultRowHeight="15"/>
  <cols>
    <col min="1" max="1" width="9.140625" style="185"/>
    <col min="2" max="2" width="75.85546875" style="185" bestFit="1" customWidth="1"/>
    <col min="3" max="6" width="15.7109375" style="185" customWidth="1"/>
    <col min="7" max="7" width="16.85546875" style="185" customWidth="1"/>
    <col min="8" max="8" width="13.28515625" style="185" bestFit="1" customWidth="1"/>
    <col min="9" max="13" width="9.140625" style="185" customWidth="1"/>
    <col min="14" max="16384" width="9.140625" style="185"/>
  </cols>
  <sheetData>
    <row r="1" spans="1:8">
      <c r="A1" s="182"/>
      <c r="B1" s="183"/>
      <c r="C1" s="183"/>
      <c r="D1" s="183"/>
      <c r="E1" s="184"/>
      <c r="F1" s="183"/>
      <c r="G1" s="183"/>
    </row>
    <row r="2" spans="1:8" ht="15.75">
      <c r="A2" s="186" t="str">
        <f>"Beneficiar: " &amp;'Date Generale'!$C$6</f>
        <v xml:space="preserve">Beneficiar: Judetul Arges </v>
      </c>
      <c r="B2" s="187"/>
      <c r="C2" s="188"/>
      <c r="D2" s="188"/>
      <c r="E2" s="188"/>
      <c r="F2" s="188"/>
      <c r="G2" s="188"/>
    </row>
    <row r="3" spans="1:8" ht="15.75">
      <c r="A3" s="186" t="str">
        <f>"Denumire proiect: " &amp; 'Date Generale'!$C$3</f>
        <v>Denumire proiect: Modernizare DJ 703B Serbanesti (DJ659) - Silistea, km 70+410 - 77+826, 7.416km, in comunele Rociu si Cateasca</v>
      </c>
      <c r="B3" s="187"/>
      <c r="C3" s="189"/>
      <c r="D3" s="189"/>
      <c r="E3" s="189"/>
      <c r="F3" s="189"/>
      <c r="G3" s="189"/>
    </row>
    <row r="4" spans="1:8" ht="15.75">
      <c r="A4" s="235"/>
      <c r="B4" s="187"/>
      <c r="C4" s="189"/>
      <c r="D4" s="189"/>
      <c r="E4" s="189"/>
      <c r="F4" s="189"/>
      <c r="G4" s="189"/>
    </row>
    <row r="5" spans="1:8" ht="15.75">
      <c r="A5" s="186"/>
      <c r="B5" s="187"/>
      <c r="C5" s="189"/>
      <c r="D5" s="189"/>
      <c r="E5" s="189"/>
      <c r="F5" s="189"/>
      <c r="G5" s="189"/>
    </row>
    <row r="6" spans="1:8">
      <c r="A6" s="665" t="s">
        <v>223</v>
      </c>
      <c r="B6" s="665"/>
      <c r="C6" s="665"/>
      <c r="D6" s="665"/>
      <c r="E6" s="665"/>
      <c r="F6" s="665"/>
      <c r="G6" s="665"/>
    </row>
    <row r="7" spans="1:8">
      <c r="A7" s="680" t="s">
        <v>68</v>
      </c>
      <c r="B7" s="680"/>
      <c r="C7" s="680"/>
      <c r="D7" s="680"/>
      <c r="E7" s="680"/>
      <c r="F7" s="680"/>
      <c r="G7" s="680"/>
    </row>
    <row r="9" spans="1:8" ht="15.75" thickBot="1">
      <c r="A9" s="190"/>
      <c r="B9" s="191"/>
      <c r="C9" s="192"/>
      <c r="D9" s="193" t="s">
        <v>2</v>
      </c>
      <c r="E9" s="194">
        <f>'Date Generale'!$C$54</f>
        <v>4.7233000000000001</v>
      </c>
      <c r="F9" s="195" t="s">
        <v>3</v>
      </c>
      <c r="G9" s="196" t="str">
        <f>'Date Generale'!$D$54</f>
        <v>21,06,2019</v>
      </c>
    </row>
    <row r="10" spans="1:8" ht="15.75" customHeight="1" thickBot="1">
      <c r="A10" s="663" t="s">
        <v>4</v>
      </c>
      <c r="B10" s="663" t="s">
        <v>5</v>
      </c>
      <c r="C10" s="653" t="s">
        <v>160</v>
      </c>
      <c r="D10" s="653"/>
      <c r="E10" s="373" t="s">
        <v>7</v>
      </c>
      <c r="F10" s="653" t="s">
        <v>159</v>
      </c>
      <c r="G10" s="653"/>
    </row>
    <row r="11" spans="1:8" ht="15.75" thickBot="1">
      <c r="A11" s="663"/>
      <c r="B11" s="663"/>
      <c r="C11" s="197" t="s">
        <v>9</v>
      </c>
      <c r="D11" s="197" t="s">
        <v>10</v>
      </c>
      <c r="E11" s="197" t="s">
        <v>9</v>
      </c>
      <c r="F11" s="197" t="s">
        <v>9</v>
      </c>
      <c r="G11" s="197" t="s">
        <v>10</v>
      </c>
    </row>
    <row r="12" spans="1:8" ht="15.75" thickBot="1">
      <c r="A12" s="392">
        <v>1</v>
      </c>
      <c r="B12" s="392">
        <v>2</v>
      </c>
      <c r="C12" s="392">
        <v>3</v>
      </c>
      <c r="D12" s="392">
        <v>4</v>
      </c>
      <c r="E12" s="392">
        <v>5</v>
      </c>
      <c r="F12" s="392">
        <v>6</v>
      </c>
      <c r="G12" s="392">
        <v>7</v>
      </c>
    </row>
    <row r="13" spans="1:8" ht="15.75" thickBot="1">
      <c r="A13" s="681" t="s">
        <v>11</v>
      </c>
      <c r="B13" s="682"/>
      <c r="C13" s="198"/>
      <c r="D13" s="198"/>
      <c r="E13" s="198"/>
      <c r="F13" s="198"/>
      <c r="G13" s="199"/>
    </row>
    <row r="14" spans="1:8" ht="15.75" thickBot="1">
      <c r="A14" s="200" t="s">
        <v>12</v>
      </c>
      <c r="B14" s="201" t="s">
        <v>429</v>
      </c>
      <c r="C14" s="202">
        <v>9754168.4499999993</v>
      </c>
      <c r="D14" s="202">
        <f>C14/$E$9</f>
        <v>2065117.2802913215</v>
      </c>
      <c r="E14" s="202">
        <f>C14*'Date Generale'!D58</f>
        <v>1853292.0055</v>
      </c>
      <c r="F14" s="202">
        <f>C14+E14</f>
        <v>11607460.455499999</v>
      </c>
      <c r="G14" s="203">
        <f>F14/E9</f>
        <v>2457489.5635466725</v>
      </c>
      <c r="H14" s="204"/>
    </row>
    <row r="15" spans="1:8" ht="15.75" thickBot="1">
      <c r="A15" s="205" t="s">
        <v>14</v>
      </c>
      <c r="B15" s="206" t="s">
        <v>431</v>
      </c>
      <c r="C15" s="202">
        <v>139804.54999999999</v>
      </c>
      <c r="D15" s="202">
        <f>C15/$E$9</f>
        <v>29598.913894946327</v>
      </c>
      <c r="E15" s="202">
        <f>C15*'Date Generale'!D58</f>
        <v>26562.8645</v>
      </c>
      <c r="F15" s="202">
        <f>C15+E15</f>
        <v>166367.41449999998</v>
      </c>
      <c r="G15" s="203">
        <f>F15/E9</f>
        <v>35222.707534986126</v>
      </c>
      <c r="H15" s="204"/>
    </row>
    <row r="16" spans="1:8" ht="15.75" thickBot="1">
      <c r="A16" s="205" t="s">
        <v>16</v>
      </c>
      <c r="B16" s="206" t="s">
        <v>430</v>
      </c>
      <c r="C16" s="202">
        <v>671274.18</v>
      </c>
      <c r="D16" s="202">
        <f t="shared" ref="D16:D21" si="0">C16/$E$9</f>
        <v>142119.74255287618</v>
      </c>
      <c r="E16" s="202">
        <f>C16*'Date Generale'!D58</f>
        <v>127542.09420000001</v>
      </c>
      <c r="F16" s="202">
        <f t="shared" ref="F16:F21" si="1">C16+E16</f>
        <v>798816.2742000001</v>
      </c>
      <c r="G16" s="203">
        <f>F16/E9</f>
        <v>169122.49363792266</v>
      </c>
      <c r="H16" s="204"/>
    </row>
    <row r="17" spans="1:8" ht="15.75" thickBot="1">
      <c r="A17" s="205" t="s">
        <v>18</v>
      </c>
      <c r="B17" s="206" t="s">
        <v>432</v>
      </c>
      <c r="C17" s="202">
        <v>106289.37</v>
      </c>
      <c r="D17" s="202">
        <f t="shared" si="0"/>
        <v>22503.201151737132</v>
      </c>
      <c r="E17" s="202">
        <f>C17*'Date Generale'!D58</f>
        <v>20194.980299999999</v>
      </c>
      <c r="F17" s="202">
        <f t="shared" si="1"/>
        <v>126484.35029999999</v>
      </c>
      <c r="G17" s="203">
        <f>F17/E9</f>
        <v>26778.809370567185</v>
      </c>
      <c r="H17" s="204"/>
    </row>
    <row r="18" spans="1:8" ht="15.75" thickBot="1">
      <c r="A18" s="205" t="s">
        <v>20</v>
      </c>
      <c r="B18" s="206" t="s">
        <v>433</v>
      </c>
      <c r="C18" s="202">
        <v>246779.74</v>
      </c>
      <c r="D18" s="202">
        <f t="shared" si="0"/>
        <v>52247.314377659684</v>
      </c>
      <c r="E18" s="202">
        <f>C18*'Date Generale'!D58</f>
        <v>46888.150600000001</v>
      </c>
      <c r="F18" s="202">
        <f t="shared" si="1"/>
        <v>293667.89059999998</v>
      </c>
      <c r="G18" s="203">
        <f>F18/E9</f>
        <v>62174.304109415025</v>
      </c>
      <c r="H18" s="204"/>
    </row>
    <row r="19" spans="1:8" ht="15.75" thickBot="1">
      <c r="A19" s="207" t="s">
        <v>22</v>
      </c>
      <c r="B19" s="208" t="s">
        <v>434</v>
      </c>
      <c r="C19" s="202">
        <v>90917.02</v>
      </c>
      <c r="D19" s="202">
        <f t="shared" si="0"/>
        <v>19248.622784917326</v>
      </c>
      <c r="E19" s="202">
        <f>C19*'Date Generale'!D58</f>
        <v>17274.233800000002</v>
      </c>
      <c r="F19" s="202">
        <f t="shared" si="1"/>
        <v>108191.25380000001</v>
      </c>
      <c r="G19" s="203">
        <f>F19/E9</f>
        <v>22905.861114051619</v>
      </c>
      <c r="H19" s="204"/>
    </row>
    <row r="20" spans="1:8" ht="15.75" thickBot="1">
      <c r="A20" s="205" t="s">
        <v>24</v>
      </c>
      <c r="B20" s="206" t="s">
        <v>435</v>
      </c>
      <c r="C20" s="202">
        <v>71703.94</v>
      </c>
      <c r="D20" s="202">
        <f t="shared" si="0"/>
        <v>15180.898947769569</v>
      </c>
      <c r="E20" s="202">
        <f>C20*'Date Generale'!D58</f>
        <v>13623.748600000001</v>
      </c>
      <c r="F20" s="202">
        <f t="shared" si="1"/>
        <v>85327.688600000009</v>
      </c>
      <c r="G20" s="203">
        <f>F20/E9</f>
        <v>18065.269747845789</v>
      </c>
      <c r="H20" s="204"/>
    </row>
    <row r="21" spans="1:8" ht="15.75" thickBot="1">
      <c r="A21" s="209" t="s">
        <v>99</v>
      </c>
      <c r="B21" s="210"/>
      <c r="C21" s="202">
        <v>0</v>
      </c>
      <c r="D21" s="202">
        <f t="shared" si="0"/>
        <v>0</v>
      </c>
      <c r="E21" s="202">
        <f>C21*'Date Generale'!D58</f>
        <v>0</v>
      </c>
      <c r="F21" s="202">
        <f t="shared" si="1"/>
        <v>0</v>
      </c>
      <c r="G21" s="203">
        <f>F21/E9</f>
        <v>0</v>
      </c>
      <c r="H21" s="204"/>
    </row>
    <row r="22" spans="1:8" ht="15.75" thickBot="1">
      <c r="A22" s="660" t="s">
        <v>27</v>
      </c>
      <c r="B22" s="661"/>
      <c r="C22" s="211">
        <f>SUM(C14:C21)</f>
        <v>11080937.249999998</v>
      </c>
      <c r="D22" s="211">
        <f>SUM(D14:D21)</f>
        <v>2346015.9740012274</v>
      </c>
      <c r="E22" s="211">
        <f>SUM(E14:E21)</f>
        <v>2105378.0774999997</v>
      </c>
      <c r="F22" s="211">
        <f>SUM(F14:F21)</f>
        <v>13186315.327499997</v>
      </c>
      <c r="G22" s="212">
        <f>SUM(G14:G21)</f>
        <v>2791759.0090614608</v>
      </c>
    </row>
    <row r="23" spans="1:8" ht="15.75" thickBot="1">
      <c r="A23" s="681" t="s">
        <v>28</v>
      </c>
      <c r="B23" s="682"/>
      <c r="C23" s="198"/>
      <c r="D23" s="198"/>
      <c r="E23" s="198"/>
      <c r="F23" s="198"/>
      <c r="G23" s="199"/>
    </row>
    <row r="24" spans="1:8" ht="15.75" thickBot="1">
      <c r="A24" s="213"/>
      <c r="B24" s="214" t="s">
        <v>436</v>
      </c>
      <c r="C24" s="386">
        <v>16628.43</v>
      </c>
      <c r="D24" s="386">
        <f t="shared" ref="D24" si="2">C24/$E$9</f>
        <v>3520.5110833527406</v>
      </c>
      <c r="E24" s="386">
        <f>C24*'Date Generale'!D58</f>
        <v>3159.4016999999999</v>
      </c>
      <c r="F24" s="386">
        <f t="shared" ref="F24" si="3">C24+E24</f>
        <v>19787.831699999999</v>
      </c>
      <c r="G24" s="387">
        <f>F24/E9</f>
        <v>4189.4081891897613</v>
      </c>
    </row>
    <row r="25" spans="1:8" ht="15.75" thickBot="1">
      <c r="A25" s="660" t="s">
        <v>30</v>
      </c>
      <c r="B25" s="661"/>
      <c r="C25" s="215">
        <f>C24</f>
        <v>16628.43</v>
      </c>
      <c r="D25" s="215">
        <f>D24</f>
        <v>3520.5110833527406</v>
      </c>
      <c r="E25" s="215">
        <f>E24</f>
        <v>3159.4016999999999</v>
      </c>
      <c r="F25" s="215">
        <f>F24</f>
        <v>19787.831699999999</v>
      </c>
      <c r="G25" s="216">
        <f>G24</f>
        <v>4189.4081891897613</v>
      </c>
    </row>
    <row r="26" spans="1:8" ht="15.75" thickBot="1">
      <c r="A26" s="681" t="s">
        <v>31</v>
      </c>
      <c r="B26" s="682"/>
      <c r="C26" s="198"/>
      <c r="D26" s="198"/>
      <c r="E26" s="198"/>
      <c r="F26" s="198"/>
      <c r="G26" s="199"/>
    </row>
    <row r="27" spans="1:8">
      <c r="A27" s="217"/>
      <c r="B27" s="218" t="s">
        <v>32</v>
      </c>
      <c r="C27" s="219">
        <v>70000</v>
      </c>
      <c r="D27" s="219">
        <f>C27/E9</f>
        <v>14820.146931171003</v>
      </c>
      <c r="E27" s="219">
        <f>C27*'Date Generale'!D58</f>
        <v>13300</v>
      </c>
      <c r="F27" s="219">
        <f>C27+D27</f>
        <v>84820.14693117101</v>
      </c>
      <c r="G27" s="220">
        <f>F27/E9</f>
        <v>17957.814860620965</v>
      </c>
    </row>
    <row r="28" spans="1:8">
      <c r="A28" s="221"/>
      <c r="B28" s="222" t="s">
        <v>33</v>
      </c>
      <c r="C28" s="223">
        <f>'Devize obiecte'!C27+'Devize obiecte'!C63+'Devize obiecte'!C99+'Devize obiecte'!C135+'Devize obiecte'!C171+'Devize obiecte'!C207+'Devize obiecte'!C243+'Devize obiecte'!C279+'Devize obiecte'!C314+'Devize obiecte'!C349+'Devize obiecte'!C384+'Devize obiecte'!C419+'Devize obiecte'!C454+'Devize obiecte'!C489+'Devize obiecte'!C524+'Devize obiecte'!C559+'Devize obiecte'!C594+'Devize obiecte'!C629+'Devize obiecte'!C664+'Devize obiecte'!C699+'Devize obiecte'!C734+'Devize obiecte'!C769+'Devize obiecte'!C804+'Devize obiecte'!C839+'Devize obiecte'!C874+'Devize obiecte'!C909</f>
        <v>0</v>
      </c>
      <c r="D28" s="223">
        <f>'Devize obiecte'!D27+'Devize obiecte'!D63+'Devize obiecte'!D99+'Devize obiecte'!D135+'Devize obiecte'!D171+'Devize obiecte'!D207+'Devize obiecte'!D243+'Devize obiecte'!D279+'Devize obiecte'!D314+'Devize obiecte'!D349+'Devize obiecte'!D384+'Devize obiecte'!D419+'Devize obiecte'!D454+'Devize obiecte'!D489+'Devize obiecte'!D524+'Devize obiecte'!D559+'Devize obiecte'!D594+'Devize obiecte'!D629+'Devize obiecte'!D664+'Devize obiecte'!D699+'Devize obiecte'!D734+'Devize obiecte'!D769+'Devize obiecte'!D804+'Devize obiecte'!D839+'Devize obiecte'!D874+'Devize obiecte'!D909</f>
        <v>0</v>
      </c>
      <c r="E28" s="223">
        <f>'Devize obiecte'!E27+'Devize obiecte'!E63+'Devize obiecte'!E99+'Devize obiecte'!E135+'Devize obiecte'!E171+'Devize obiecte'!E207+'Devize obiecte'!E243+'Devize obiecte'!E279+'Devize obiecte'!E314+'Devize obiecte'!E349+'Devize obiecte'!E384+'Devize obiecte'!E419+'Devize obiecte'!E454+'Devize obiecte'!E489+'Devize obiecte'!E524+'Devize obiecte'!E559+'Devize obiecte'!E594+'Devize obiecte'!E629+'Devize obiecte'!E664+'Devize obiecte'!E699+'Devize obiecte'!E734+'Devize obiecte'!E769+'Devize obiecte'!E804+'Devize obiecte'!E839+'Devize obiecte'!E874+'Devize obiecte'!E909</f>
        <v>0</v>
      </c>
      <c r="F28" s="223">
        <f>'Devize obiecte'!F27+'Devize obiecte'!F63+'Devize obiecte'!F99+'Devize obiecte'!F135+'Devize obiecte'!F171+'Devize obiecte'!F207+'Devize obiecte'!F243+'Devize obiecte'!F279+'Devize obiecte'!F314+'Devize obiecte'!F349+'Devize obiecte'!F384+'Devize obiecte'!F419+'Devize obiecte'!F454+'Devize obiecte'!F489+'Devize obiecte'!F524+'Devize obiecte'!F559+'Devize obiecte'!F594+'Devize obiecte'!F629+'Devize obiecte'!F664+'Devize obiecte'!F699+'Devize obiecte'!F734+'Devize obiecte'!F769+'Devize obiecte'!F804+'Devize obiecte'!F839+'Devize obiecte'!F874+'Devize obiecte'!F909</f>
        <v>0</v>
      </c>
      <c r="G28" s="224">
        <f>'Devize obiecte'!G27+'Devize obiecte'!G63+'Devize obiecte'!G99+'Devize obiecte'!G135+'Devize obiecte'!G171+'Devize obiecte'!G207+'Devize obiecte'!G243+'Devize obiecte'!G279+'Devize obiecte'!G314+'Devize obiecte'!G349+'Devize obiecte'!G384+'Devize obiecte'!G419+'Devize obiecte'!G454+'Devize obiecte'!G489+'Devize obiecte'!G524+'Devize obiecte'!G559+'Devize obiecte'!G594+'Devize obiecte'!G629+'Devize obiecte'!G664+'Devize obiecte'!G699+'Devize obiecte'!G734+'Devize obiecte'!G769+'Devize obiecte'!G804+'Devize obiecte'!G839+'Devize obiecte'!G874+'Devize obiecte'!G909</f>
        <v>0</v>
      </c>
    </row>
    <row r="29" spans="1:8" ht="15.75" thickBot="1">
      <c r="A29" s="225"/>
      <c r="B29" s="226" t="s">
        <v>34</v>
      </c>
      <c r="C29" s="227">
        <f>'Devize obiecte'!C28+'Devize obiecte'!C64+'Devize obiecte'!C100+'Devize obiecte'!C136+'Devize obiecte'!C172+'Devize obiecte'!C208+'Devize obiecte'!C244+'Devize obiecte'!C280+'Devize obiecte'!C315+'Devize obiecte'!C350+'Devize obiecte'!C385+'Devize obiecte'!C420+'Devize obiecte'!C455+'Devize obiecte'!C490+'Devize obiecte'!C525+'Devize obiecte'!C560+'Devize obiecte'!C595+'Devize obiecte'!C630+'Devize obiecte'!C665+'Devize obiecte'!C700+'Devize obiecte'!C735+'Devize obiecte'!C770+'Devize obiecte'!C805+'Devize obiecte'!C840+'Devize obiecte'!C875+'Devize obiecte'!C910</f>
        <v>0</v>
      </c>
      <c r="D29" s="227">
        <f>'Devize obiecte'!D28+'Devize obiecte'!D64+'Devize obiecte'!D100+'Devize obiecte'!D136+'Devize obiecte'!D172+'Devize obiecte'!D208+'Devize obiecte'!D244+'Devize obiecte'!D280+'Devize obiecte'!D315+'Devize obiecte'!D350+'Devize obiecte'!D385+'Devize obiecte'!D420+'Devize obiecte'!D455+'Devize obiecte'!D490+'Devize obiecte'!D525+'Devize obiecte'!D560+'Devize obiecte'!D595+'Devize obiecte'!D630+'Devize obiecte'!D665+'Devize obiecte'!D700+'Devize obiecte'!D735+'Devize obiecte'!D770+'Devize obiecte'!D805+'Devize obiecte'!D840+'Devize obiecte'!D875+'Devize obiecte'!D910</f>
        <v>0</v>
      </c>
      <c r="E29" s="227">
        <f>'Devize obiecte'!E28+'Devize obiecte'!E64+'Devize obiecte'!E100+'Devize obiecte'!E136+'Devize obiecte'!E172+'Devize obiecte'!E208+'Devize obiecte'!E244+'Devize obiecte'!E280+'Devize obiecte'!E315+'Devize obiecte'!E350+'Devize obiecte'!E385+'Devize obiecte'!E420+'Devize obiecte'!E455+'Devize obiecte'!E490+'Devize obiecte'!E525+'Devize obiecte'!E560+'Devize obiecte'!E595+'Devize obiecte'!E630+'Devize obiecte'!E665+'Devize obiecte'!E700+'Devize obiecte'!E735+'Devize obiecte'!E770+'Devize obiecte'!E805+'Devize obiecte'!E840+'Devize obiecte'!E875+'Devize obiecte'!E910</f>
        <v>0</v>
      </c>
      <c r="F29" s="227">
        <f>'Devize obiecte'!F28+'Devize obiecte'!F64+'Devize obiecte'!F100+'Devize obiecte'!F136+'Devize obiecte'!F172+'Devize obiecte'!F208+'Devize obiecte'!F244+'Devize obiecte'!F280+'Devize obiecte'!F315+'Devize obiecte'!F350+'Devize obiecte'!F385+'Devize obiecte'!F420+'Devize obiecte'!F455+'Devize obiecte'!F490+'Devize obiecte'!F525+'Devize obiecte'!F560+'Devize obiecte'!F595+'Devize obiecte'!F630+'Devize obiecte'!F665+'Devize obiecte'!F700+'Devize obiecte'!F735+'Devize obiecte'!F770+'Devize obiecte'!F805+'Devize obiecte'!F840+'Devize obiecte'!F875+'Devize obiecte'!F910</f>
        <v>0</v>
      </c>
      <c r="G29" s="228">
        <f>'Devize obiecte'!G28+'Devize obiecte'!G64+'Devize obiecte'!G100+'Devize obiecte'!G136+'Devize obiecte'!G172+'Devize obiecte'!G208+'Devize obiecte'!G244+'Devize obiecte'!G280+'Devize obiecte'!G315+'Devize obiecte'!G350+'Devize obiecte'!G385+'Devize obiecte'!G420+'Devize obiecte'!G455+'Devize obiecte'!G490+'Devize obiecte'!G525+'Devize obiecte'!G560+'Devize obiecte'!G595+'Devize obiecte'!G630+'Devize obiecte'!G665+'Devize obiecte'!G700+'Devize obiecte'!G735+'Devize obiecte'!G770+'Devize obiecte'!G805+'Devize obiecte'!G840+'Devize obiecte'!G875+'Devize obiecte'!G910</f>
        <v>0</v>
      </c>
    </row>
    <row r="30" spans="1:8" ht="15.75" thickBot="1">
      <c r="A30" s="660" t="s">
        <v>35</v>
      </c>
      <c r="B30" s="661"/>
      <c r="C30" s="215">
        <f>SUM(C27:C29)</f>
        <v>70000</v>
      </c>
      <c r="D30" s="215">
        <f t="shared" ref="D30:G30" si="4">SUM(D27:D29)</f>
        <v>14820.146931171003</v>
      </c>
      <c r="E30" s="215">
        <f t="shared" si="4"/>
        <v>13300</v>
      </c>
      <c r="F30" s="215">
        <f t="shared" si="4"/>
        <v>84820.14693117101</v>
      </c>
      <c r="G30" s="216">
        <f t="shared" si="4"/>
        <v>17957.814860620965</v>
      </c>
    </row>
    <row r="31" spans="1:8" ht="15.75" thickBot="1">
      <c r="A31" s="660" t="s">
        <v>36</v>
      </c>
      <c r="B31" s="661"/>
      <c r="C31" s="215">
        <f>SUM(C22,C25,C30)</f>
        <v>11167565.679999998</v>
      </c>
      <c r="D31" s="215">
        <f t="shared" ref="D31:G31" si="5">SUM(D22,D25,D30)</f>
        <v>2364356.6320157512</v>
      </c>
      <c r="E31" s="215">
        <f t="shared" si="5"/>
        <v>2121837.4791999995</v>
      </c>
      <c r="F31" s="215">
        <f t="shared" si="5"/>
        <v>13290923.306131169</v>
      </c>
      <c r="G31" s="216">
        <f t="shared" si="5"/>
        <v>2813906.2321112715</v>
      </c>
    </row>
    <row r="32" spans="1:8">
      <c r="A32" s="183"/>
      <c r="B32" s="183"/>
      <c r="C32" s="188"/>
      <c r="D32" s="188"/>
      <c r="E32" s="188"/>
      <c r="F32" s="188"/>
      <c r="G32" s="188"/>
    </row>
    <row r="33" spans="1:7">
      <c r="A33" s="188"/>
      <c r="C33" s="188"/>
      <c r="D33" s="229"/>
      <c r="E33" s="188"/>
      <c r="F33" s="188"/>
      <c r="G33" s="188"/>
    </row>
    <row r="34" spans="1:7">
      <c r="A34" s="183"/>
      <c r="B34" s="230" t="s">
        <v>37</v>
      </c>
      <c r="C34" s="183"/>
      <c r="D34" s="231"/>
      <c r="E34" s="232"/>
      <c r="F34" s="232"/>
      <c r="G34" s="183"/>
    </row>
    <row r="35" spans="1:7">
      <c r="A35" s="183"/>
      <c r="B35" s="230" t="str">
        <f>'Date Generale'!$C$7</f>
        <v>S.C. Tehno Consoulting Solutions S.R.L.</v>
      </c>
      <c r="C35" s="183"/>
      <c r="D35" s="183"/>
      <c r="E35" s="183"/>
      <c r="F35" s="183"/>
      <c r="G35" s="183"/>
    </row>
    <row r="37" spans="1:7">
      <c r="D37" s="233"/>
    </row>
  </sheetData>
  <mergeCells count="13">
    <mergeCell ref="A31:B31"/>
    <mergeCell ref="A13:B13"/>
    <mergeCell ref="A22:B22"/>
    <mergeCell ref="A23:B23"/>
    <mergeCell ref="A25:B25"/>
    <mergeCell ref="A26:B26"/>
    <mergeCell ref="A30:B30"/>
    <mergeCell ref="A6:G6"/>
    <mergeCell ref="A7:G7"/>
    <mergeCell ref="A10:A11"/>
    <mergeCell ref="B10:B11"/>
    <mergeCell ref="C10:D10"/>
    <mergeCell ref="F10:G10"/>
  </mergeCells>
  <pageMargins left="0.52" right="0.25" top="0.75" bottom="0.75" header="0.3" footer="0.3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918"/>
  <sheetViews>
    <sheetView view="pageBreakPreview" topLeftCell="A43" zoomScale="85" zoomScaleNormal="100" zoomScaleSheetLayoutView="85" workbookViewId="0">
      <selection activeCell="I257" sqref="I257"/>
    </sheetView>
  </sheetViews>
  <sheetFormatPr defaultRowHeight="15"/>
  <cols>
    <col min="1" max="1" width="7" style="40" customWidth="1"/>
    <col min="2" max="2" width="53.7109375" style="40" bestFit="1" customWidth="1"/>
    <col min="3" max="6" width="15.7109375" style="40" customWidth="1"/>
    <col min="7" max="7" width="17" style="40" bestFit="1" customWidth="1"/>
    <col min="8" max="9" width="9.140625" style="40"/>
    <col min="10" max="10" width="14.28515625" style="40" bestFit="1" customWidth="1"/>
    <col min="11" max="16384" width="9.140625" style="40"/>
  </cols>
  <sheetData>
    <row r="1" spans="1:7">
      <c r="A1" s="38"/>
      <c r="B1" s="39"/>
      <c r="C1" s="39"/>
      <c r="D1" s="39"/>
      <c r="E1" s="39"/>
      <c r="F1" s="39"/>
      <c r="G1" s="39"/>
    </row>
    <row r="2" spans="1:7" ht="15.75">
      <c r="A2" s="41" t="str">
        <f>"Beneficiar: " &amp;'Date Generale'!$C$6</f>
        <v xml:space="preserve">Beneficiar: Judetul Arges </v>
      </c>
      <c r="B2" s="41"/>
      <c r="C2" s="42"/>
      <c r="D2" s="42"/>
      <c r="E2" s="42"/>
      <c r="F2" s="42"/>
      <c r="G2" s="42"/>
    </row>
    <row r="3" spans="1:7" ht="30.75" customHeight="1">
      <c r="A3" s="690" t="str">
        <f>"Denumire proiect: " &amp; 'Date Generale'!$C$3</f>
        <v>Denumire proiect: Modernizare DJ 703B Serbanesti (DJ659) - Silistea, km 70+410 - 77+826, 7.416km, in comunele Rociu si Cateasca</v>
      </c>
      <c r="B3" s="690"/>
      <c r="C3" s="690"/>
      <c r="D3" s="690"/>
      <c r="E3" s="690"/>
      <c r="F3" s="690"/>
      <c r="G3" s="690"/>
    </row>
    <row r="4" spans="1:7" ht="15.75">
      <c r="A4" s="235"/>
      <c r="B4" s="402"/>
      <c r="C4" s="402"/>
      <c r="D4" s="402"/>
      <c r="E4" s="402"/>
      <c r="F4" s="402"/>
      <c r="G4" s="402"/>
    </row>
    <row r="5" spans="1:7" ht="15.75">
      <c r="A5" s="41"/>
      <c r="B5" s="41"/>
      <c r="C5" s="44"/>
      <c r="D5" s="44"/>
      <c r="E5" s="44"/>
      <c r="F5" s="44"/>
      <c r="G5" s="44"/>
    </row>
    <row r="6" spans="1:7">
      <c r="A6" s="687" t="str">
        <f>"Devizul Obiectului: " &amp;'Date Generale'!$E$61</f>
        <v>Devizul Obiectului: Obiect 001: Lucrari de pasaje pe bretele de acces</v>
      </c>
      <c r="B6" s="687"/>
      <c r="C6" s="687"/>
      <c r="D6" s="687"/>
      <c r="E6" s="687"/>
      <c r="F6" s="687"/>
      <c r="G6" s="687"/>
    </row>
    <row r="7" spans="1:7">
      <c r="A7" s="136"/>
      <c r="B7" s="136"/>
      <c r="C7" s="136"/>
      <c r="D7" s="136"/>
      <c r="E7" s="136"/>
      <c r="F7" s="136"/>
      <c r="G7" s="136"/>
    </row>
    <row r="8" spans="1:7" ht="15.75" thickBot="1">
      <c r="A8" s="45"/>
      <c r="B8" s="46"/>
      <c r="C8" s="33"/>
      <c r="D8" s="47" t="s">
        <v>2</v>
      </c>
      <c r="E8" s="48">
        <f>'Date Generale'!$C$54</f>
        <v>4.7233000000000001</v>
      </c>
      <c r="F8" s="49" t="s">
        <v>3</v>
      </c>
      <c r="G8" s="50" t="str">
        <f>'Date Generale'!$D$54</f>
        <v>21,06,2019</v>
      </c>
    </row>
    <row r="9" spans="1:7" ht="15.75" thickBot="1">
      <c r="A9" s="688" t="s">
        <v>4</v>
      </c>
      <c r="B9" s="688" t="s">
        <v>5</v>
      </c>
      <c r="C9" s="689" t="s">
        <v>160</v>
      </c>
      <c r="D9" s="689"/>
      <c r="E9" s="24" t="s">
        <v>7</v>
      </c>
      <c r="F9" s="689" t="s">
        <v>159</v>
      </c>
      <c r="G9" s="689"/>
    </row>
    <row r="10" spans="1:7" ht="15.75" thickBot="1">
      <c r="A10" s="688"/>
      <c r="B10" s="688"/>
      <c r="C10" s="51" t="s">
        <v>9</v>
      </c>
      <c r="D10" s="51" t="s">
        <v>10</v>
      </c>
      <c r="E10" s="51" t="s">
        <v>9</v>
      </c>
      <c r="F10" s="51" t="s">
        <v>9</v>
      </c>
      <c r="G10" s="51" t="s">
        <v>10</v>
      </c>
    </row>
    <row r="11" spans="1:7" ht="15.75" thickBot="1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 ht="15.75" thickBot="1">
      <c r="A12" s="683" t="s">
        <v>11</v>
      </c>
      <c r="B12" s="684"/>
      <c r="C12" s="119"/>
      <c r="D12" s="119"/>
      <c r="E12" s="119"/>
      <c r="F12" s="119"/>
      <c r="G12" s="120"/>
    </row>
    <row r="13" spans="1:7" ht="15" customHeight="1">
      <c r="A13" s="162" t="s">
        <v>12</v>
      </c>
      <c r="B13" s="116" t="s">
        <v>13</v>
      </c>
      <c r="C13" s="117">
        <f>'Devize obiecte evaluari'!F14</f>
        <v>0</v>
      </c>
      <c r="D13" s="117">
        <f>'Devize obiecte evaluari'!G14</f>
        <v>0</v>
      </c>
      <c r="E13" s="117">
        <f>'Devize obiecte evaluari'!H14</f>
        <v>0</v>
      </c>
      <c r="F13" s="117">
        <f>'Devize obiecte evaluari'!I14</f>
        <v>0</v>
      </c>
      <c r="G13" s="118">
        <f>'Devize obiecte evaluari'!J14</f>
        <v>0</v>
      </c>
    </row>
    <row r="14" spans="1:7" ht="15" customHeight="1">
      <c r="A14" s="74" t="s">
        <v>14</v>
      </c>
      <c r="B14" s="2" t="s">
        <v>15</v>
      </c>
      <c r="C14" s="54">
        <f>'Devize obiecte evaluari'!F17</f>
        <v>14954394.654000001</v>
      </c>
      <c r="D14" s="54">
        <f>'Devize obiecte evaluari'!G17</f>
        <v>3166090.3719856879</v>
      </c>
      <c r="E14" s="54">
        <f>'Devize obiecte evaluari'!H17</f>
        <v>2841334.9842599998</v>
      </c>
      <c r="F14" s="54">
        <f>'Devize obiecte evaluari'!I17</f>
        <v>17795729.638259999</v>
      </c>
      <c r="G14" s="55">
        <f>'Devize obiecte evaluari'!J17</f>
        <v>3767647.5426629684</v>
      </c>
    </row>
    <row r="15" spans="1:7" ht="15" customHeight="1">
      <c r="A15" s="74" t="s">
        <v>16</v>
      </c>
      <c r="B15" s="2" t="s">
        <v>17</v>
      </c>
      <c r="C15" s="52">
        <f>'Devize obiecte evaluari'!F141</f>
        <v>0</v>
      </c>
      <c r="D15" s="52">
        <f>'Devize obiecte evaluari'!G141</f>
        <v>0</v>
      </c>
      <c r="E15" s="52">
        <f>'Devize obiecte evaluari'!H141</f>
        <v>0</v>
      </c>
      <c r="F15" s="52">
        <f>'Devize obiecte evaluari'!I141</f>
        <v>0</v>
      </c>
      <c r="G15" s="53">
        <f>'Devize obiecte evaluari'!J141</f>
        <v>0</v>
      </c>
    </row>
    <row r="16" spans="1:7" ht="15" customHeight="1">
      <c r="A16" s="74" t="s">
        <v>18</v>
      </c>
      <c r="B16" s="2" t="s">
        <v>19</v>
      </c>
      <c r="C16" s="52">
        <f>'Devize obiecte evaluari'!F144</f>
        <v>0</v>
      </c>
      <c r="D16" s="52">
        <f>'Devize obiecte evaluari'!G144</f>
        <v>0</v>
      </c>
      <c r="E16" s="52">
        <f>'Devize obiecte evaluari'!H144</f>
        <v>0</v>
      </c>
      <c r="F16" s="52">
        <f>'Devize obiecte evaluari'!I144</f>
        <v>0</v>
      </c>
      <c r="G16" s="53">
        <f>'Devize obiecte evaluari'!J144</f>
        <v>0</v>
      </c>
    </row>
    <row r="17" spans="1:11" ht="15" customHeight="1">
      <c r="A17" s="74" t="s">
        <v>20</v>
      </c>
      <c r="B17" s="2" t="s">
        <v>21</v>
      </c>
      <c r="C17" s="52">
        <f>'Devize obiecte evaluari'!F147</f>
        <v>0</v>
      </c>
      <c r="D17" s="52">
        <f>'Devize obiecte evaluari'!G147</f>
        <v>0</v>
      </c>
      <c r="E17" s="52">
        <f>'Devize obiecte evaluari'!H147</f>
        <v>0</v>
      </c>
      <c r="F17" s="52">
        <f>'Devize obiecte evaluari'!I147</f>
        <v>0</v>
      </c>
      <c r="G17" s="53">
        <f>'Devize obiecte evaluari'!J147</f>
        <v>0</v>
      </c>
    </row>
    <row r="18" spans="1:11" ht="26.25" customHeight="1">
      <c r="A18" s="74" t="s">
        <v>22</v>
      </c>
      <c r="B18" s="2" t="s">
        <v>23</v>
      </c>
      <c r="C18" s="36">
        <f>'Devize obiecte evaluari'!F150</f>
        <v>0</v>
      </c>
      <c r="D18" s="36">
        <f>'Devize obiecte evaluari'!G150</f>
        <v>0</v>
      </c>
      <c r="E18" s="36">
        <f>'Devize obiecte evaluari'!H150</f>
        <v>0</v>
      </c>
      <c r="F18" s="36">
        <f>'Devize obiecte evaluari'!I150</f>
        <v>0</v>
      </c>
      <c r="G18" s="37">
        <f>'Devize obiecte evaluari'!J150</f>
        <v>0</v>
      </c>
    </row>
    <row r="19" spans="1:11" ht="15" customHeight="1">
      <c r="A19" s="74" t="s">
        <v>24</v>
      </c>
      <c r="B19" s="2" t="s">
        <v>25</v>
      </c>
      <c r="C19" s="52">
        <f>'Devize obiecte evaluari'!F153</f>
        <v>0</v>
      </c>
      <c r="D19" s="52">
        <f>'Devize obiecte evaluari'!G153</f>
        <v>0</v>
      </c>
      <c r="E19" s="52">
        <f>'Devize obiecte evaluari'!H153</f>
        <v>0</v>
      </c>
      <c r="F19" s="52">
        <f>'Devize obiecte evaluari'!I153</f>
        <v>0</v>
      </c>
      <c r="G19" s="53">
        <f>'Devize obiecte evaluari'!J153</f>
        <v>0</v>
      </c>
    </row>
    <row r="20" spans="1:11" ht="15" customHeight="1" thickBot="1">
      <c r="A20" s="163" t="s">
        <v>99</v>
      </c>
      <c r="B20" s="121" t="s">
        <v>26</v>
      </c>
      <c r="C20" s="122">
        <f>'Devize obiecte evaluari'!F156</f>
        <v>0</v>
      </c>
      <c r="D20" s="122">
        <f>'Devize obiecte evaluari'!G156</f>
        <v>0</v>
      </c>
      <c r="E20" s="122">
        <f>'Devize obiecte evaluari'!H156</f>
        <v>0</v>
      </c>
      <c r="F20" s="122">
        <f>'Devize obiecte evaluari'!I156</f>
        <v>0</v>
      </c>
      <c r="G20" s="123">
        <f>'Devize obiecte evaluari'!J156</f>
        <v>0</v>
      </c>
    </row>
    <row r="21" spans="1:11" ht="15.75" thickBot="1">
      <c r="A21" s="685" t="s">
        <v>27</v>
      </c>
      <c r="B21" s="686"/>
      <c r="C21" s="82">
        <f>SUM(C13:C20)</f>
        <v>14954394.654000001</v>
      </c>
      <c r="D21" s="82">
        <f t="shared" ref="D21:G21" si="0">SUM(D13:D20)</f>
        <v>3166090.3719856879</v>
      </c>
      <c r="E21" s="82">
        <f t="shared" si="0"/>
        <v>2841334.9842599998</v>
      </c>
      <c r="F21" s="82">
        <f>SUM(F13:F20)</f>
        <v>17795729.638259999</v>
      </c>
      <c r="G21" s="83">
        <f t="shared" si="0"/>
        <v>3767647.5426629684</v>
      </c>
    </row>
    <row r="22" spans="1:11" ht="15.75" customHeight="1" thickBot="1">
      <c r="A22" s="683" t="s">
        <v>28</v>
      </c>
      <c r="B22" s="684"/>
      <c r="C22" s="119"/>
      <c r="D22" s="119"/>
      <c r="E22" s="119"/>
      <c r="F22" s="119"/>
      <c r="G22" s="120"/>
    </row>
    <row r="23" spans="1:11" ht="15.75" thickBot="1">
      <c r="A23" s="126">
        <v>1</v>
      </c>
      <c r="B23" s="127" t="s">
        <v>29</v>
      </c>
      <c r="C23" s="128">
        <f>'Devize obiecte evaluari'!F161</f>
        <v>0</v>
      </c>
      <c r="D23" s="128">
        <f>'Devize obiecte evaluari'!G161</f>
        <v>0</v>
      </c>
      <c r="E23" s="128">
        <f>'Devize obiecte evaluari'!H161</f>
        <v>0</v>
      </c>
      <c r="F23" s="128">
        <f>'Devize obiecte evaluari'!I161</f>
        <v>0</v>
      </c>
      <c r="G23" s="129">
        <f>'Devize obiecte evaluari'!J161</f>
        <v>0</v>
      </c>
    </row>
    <row r="24" spans="1:11" ht="15.75" thickBot="1">
      <c r="A24" s="685" t="s">
        <v>30</v>
      </c>
      <c r="B24" s="686"/>
      <c r="C24" s="62">
        <f>C23</f>
        <v>0</v>
      </c>
      <c r="D24" s="62">
        <f>D23</f>
        <v>0</v>
      </c>
      <c r="E24" s="62">
        <f>E23</f>
        <v>0</v>
      </c>
      <c r="F24" s="62">
        <f>F23</f>
        <v>0</v>
      </c>
      <c r="G24" s="63">
        <f>G23</f>
        <v>0</v>
      </c>
    </row>
    <row r="25" spans="1:11" ht="15" customHeight="1" thickBot="1">
      <c r="A25" s="683" t="s">
        <v>31</v>
      </c>
      <c r="B25" s="684"/>
      <c r="C25" s="119"/>
      <c r="D25" s="119"/>
      <c r="E25" s="119"/>
      <c r="F25" s="119"/>
      <c r="G25" s="120"/>
    </row>
    <row r="26" spans="1:11" ht="15" customHeight="1">
      <c r="A26" s="124"/>
      <c r="B26" s="125" t="s">
        <v>32</v>
      </c>
      <c r="C26" s="130">
        <f>'Devize obiecte evaluari'!F166</f>
        <v>0</v>
      </c>
      <c r="D26" s="130">
        <f>'Devize obiecte evaluari'!G166</f>
        <v>0</v>
      </c>
      <c r="E26" s="130">
        <f>'Devize obiecte evaluari'!H166</f>
        <v>0</v>
      </c>
      <c r="F26" s="130">
        <f>'Devize obiecte evaluari'!I166</f>
        <v>0</v>
      </c>
      <c r="G26" s="131">
        <f>'Devize obiecte evaluari'!J166</f>
        <v>0</v>
      </c>
    </row>
    <row r="27" spans="1:11" ht="15" customHeight="1">
      <c r="A27" s="58"/>
      <c r="B27" s="59" t="s">
        <v>33</v>
      </c>
      <c r="C27" s="60">
        <f>'Devize obiecte evaluari'!F169</f>
        <v>0</v>
      </c>
      <c r="D27" s="60">
        <f>'Devize obiecte evaluari'!G169</f>
        <v>0</v>
      </c>
      <c r="E27" s="60">
        <f>'Devize obiecte evaluari'!H169</f>
        <v>0</v>
      </c>
      <c r="F27" s="60">
        <f>'Devize obiecte evaluari'!I169</f>
        <v>0</v>
      </c>
      <c r="G27" s="61">
        <f>'Devize obiecte evaluari'!J169</f>
        <v>0</v>
      </c>
    </row>
    <row r="28" spans="1:11" ht="15.75" thickBot="1">
      <c r="A28" s="132"/>
      <c r="B28" s="133" t="s">
        <v>34</v>
      </c>
      <c r="C28" s="134">
        <f>'Devize obiecte evaluari'!F172</f>
        <v>0</v>
      </c>
      <c r="D28" s="134">
        <f>'Devize obiecte evaluari'!G172</f>
        <v>0</v>
      </c>
      <c r="E28" s="134">
        <f>'Devize obiecte evaluari'!H172</f>
        <v>0</v>
      </c>
      <c r="F28" s="134">
        <f>'Devize obiecte evaluari'!I172</f>
        <v>0</v>
      </c>
      <c r="G28" s="135">
        <f>'Devize obiecte evaluari'!J172</f>
        <v>0</v>
      </c>
    </row>
    <row r="29" spans="1:11" ht="15.75" thickBot="1">
      <c r="A29" s="685" t="s">
        <v>35</v>
      </c>
      <c r="B29" s="686"/>
      <c r="C29" s="62">
        <f>SUM(C26:C28)</f>
        <v>0</v>
      </c>
      <c r="D29" s="62">
        <f t="shared" ref="D29:G29" si="1">SUM(D26:D28)</f>
        <v>0</v>
      </c>
      <c r="E29" s="62">
        <f t="shared" si="1"/>
        <v>0</v>
      </c>
      <c r="F29" s="62">
        <f>SUM(F26:F28)</f>
        <v>0</v>
      </c>
      <c r="G29" s="63">
        <f t="shared" si="1"/>
        <v>0</v>
      </c>
    </row>
    <row r="30" spans="1:11" ht="15.75" thickBot="1">
      <c r="A30" s="685" t="s">
        <v>36</v>
      </c>
      <c r="B30" s="686"/>
      <c r="C30" s="62">
        <f>SUM(C21,C24,C29)</f>
        <v>14954394.654000001</v>
      </c>
      <c r="D30" s="62">
        <f t="shared" ref="D30:G30" si="2">SUM(D21,D24,D29)</f>
        <v>3166090.3719856879</v>
      </c>
      <c r="E30" s="62">
        <f t="shared" si="2"/>
        <v>2841334.9842599998</v>
      </c>
      <c r="F30" s="62">
        <f>SUM(F21,F24,F29)</f>
        <v>17795729.638259999</v>
      </c>
      <c r="G30" s="63">
        <f t="shared" si="2"/>
        <v>3767647.5426629684</v>
      </c>
      <c r="J30" s="388"/>
      <c r="K30" s="388"/>
    </row>
    <row r="31" spans="1:11">
      <c r="A31" s="39"/>
      <c r="B31" s="39"/>
      <c r="C31" s="42"/>
      <c r="D31" s="42"/>
      <c r="E31" s="42"/>
      <c r="F31" s="42"/>
      <c r="G31" s="42"/>
    </row>
    <row r="32" spans="1:11">
      <c r="A32" s="42"/>
      <c r="C32" s="42"/>
      <c r="D32" s="64"/>
      <c r="E32" s="42"/>
      <c r="F32" s="42"/>
      <c r="G32" s="42"/>
    </row>
    <row r="33" spans="1:7">
      <c r="A33" s="39"/>
      <c r="B33" s="65" t="s">
        <v>37</v>
      </c>
      <c r="C33" s="39"/>
      <c r="D33" s="66"/>
      <c r="E33" s="39"/>
      <c r="F33" s="39"/>
      <c r="G33" s="39"/>
    </row>
    <row r="34" spans="1:7">
      <c r="A34" s="39"/>
      <c r="B34" s="65" t="str">
        <f>'Date Generale'!$C$7</f>
        <v>S.C. Tehno Consoulting Solutions S.R.L.</v>
      </c>
      <c r="C34" s="39"/>
      <c r="D34" s="39"/>
      <c r="E34" s="39"/>
      <c r="F34" s="39"/>
      <c r="G34" s="39"/>
    </row>
    <row r="35" spans="1:7">
      <c r="A35" s="39"/>
      <c r="B35" s="39"/>
      <c r="C35" s="39"/>
      <c r="D35" s="39"/>
      <c r="E35" s="39"/>
      <c r="F35" s="39"/>
      <c r="G35" s="39"/>
    </row>
    <row r="36" spans="1:7">
      <c r="A36" s="39"/>
      <c r="B36" s="39"/>
      <c r="C36" s="39"/>
      <c r="D36" s="39"/>
      <c r="E36" s="39"/>
      <c r="F36" s="39"/>
      <c r="G36" s="39"/>
    </row>
    <row r="37" spans="1:7">
      <c r="A37" s="67"/>
      <c r="B37" s="67"/>
      <c r="C37" s="67"/>
      <c r="D37" s="67"/>
      <c r="E37" s="67"/>
      <c r="F37" s="67"/>
      <c r="G37" s="67"/>
    </row>
    <row r="38" spans="1:7" ht="15.75">
      <c r="A38" s="41" t="str">
        <f>"Beneficiar: " &amp;'Date Generale'!$C$6</f>
        <v xml:space="preserve">Beneficiar: Judetul Arges </v>
      </c>
      <c r="B38" s="41"/>
      <c r="C38" s="42"/>
      <c r="D38" s="42"/>
      <c r="E38" s="42"/>
      <c r="F38" s="42"/>
      <c r="G38" s="42"/>
    </row>
    <row r="39" spans="1:7" ht="31.5" customHeight="1">
      <c r="A39" s="690" t="str">
        <f>"Denumire proiect: " &amp; 'Date Generale'!$C$3</f>
        <v>Denumire proiect: Modernizare DJ 703B Serbanesti (DJ659) - Silistea, km 70+410 - 77+826, 7.416km, in comunele Rociu si Cateasca</v>
      </c>
      <c r="B39" s="690"/>
      <c r="C39" s="690"/>
      <c r="D39" s="690"/>
      <c r="E39" s="690"/>
      <c r="F39" s="690"/>
      <c r="G39" s="690"/>
    </row>
    <row r="40" spans="1:7" ht="15.75">
      <c r="A40" s="235"/>
      <c r="B40" s="41"/>
      <c r="C40" s="43"/>
      <c r="D40" s="43"/>
      <c r="E40" s="43"/>
      <c r="F40" s="43"/>
      <c r="G40" s="43"/>
    </row>
    <row r="41" spans="1:7" ht="15.75">
      <c r="A41" s="41"/>
      <c r="B41" s="41"/>
      <c r="C41" s="44"/>
      <c r="D41" s="44"/>
      <c r="E41" s="44"/>
      <c r="F41" s="44"/>
      <c r="G41" s="44"/>
    </row>
    <row r="42" spans="1:7">
      <c r="A42" s="687" t="str">
        <f>"Devizul Obiectului: " &amp;'Date Generale'!$E$62</f>
        <v>Devizul Obiectului: Obiect 002: Lucrari de drum</v>
      </c>
      <c r="B42" s="687"/>
      <c r="C42" s="687"/>
      <c r="D42" s="687"/>
      <c r="E42" s="687"/>
      <c r="F42" s="687"/>
      <c r="G42" s="687"/>
    </row>
    <row r="43" spans="1:7">
      <c r="A43" s="136"/>
      <c r="B43" s="136"/>
      <c r="C43" s="136"/>
      <c r="D43" s="136"/>
      <c r="E43" s="136"/>
      <c r="F43" s="136"/>
      <c r="G43" s="136"/>
    </row>
    <row r="44" spans="1:7" ht="15.75" thickBot="1">
      <c r="A44" s="45"/>
      <c r="B44" s="46"/>
      <c r="C44" s="33"/>
      <c r="D44" s="47" t="s">
        <v>2</v>
      </c>
      <c r="E44" s="48">
        <f>'Date Generale'!$C$54</f>
        <v>4.7233000000000001</v>
      </c>
      <c r="F44" s="49" t="s">
        <v>3</v>
      </c>
      <c r="G44" s="50" t="str">
        <f>'Date Generale'!$D$54</f>
        <v>21,06,2019</v>
      </c>
    </row>
    <row r="45" spans="1:7" ht="15.75" customHeight="1" thickBot="1">
      <c r="A45" s="688" t="s">
        <v>4</v>
      </c>
      <c r="B45" s="688" t="s">
        <v>5</v>
      </c>
      <c r="C45" s="689" t="s">
        <v>160</v>
      </c>
      <c r="D45" s="689"/>
      <c r="E45" s="24" t="s">
        <v>7</v>
      </c>
      <c r="F45" s="689" t="s">
        <v>159</v>
      </c>
      <c r="G45" s="689"/>
    </row>
    <row r="46" spans="1:7" ht="15.75" thickBot="1">
      <c r="A46" s="688"/>
      <c r="B46" s="688"/>
      <c r="C46" s="51" t="s">
        <v>9</v>
      </c>
      <c r="D46" s="51" t="s">
        <v>10</v>
      </c>
      <c r="E46" s="51" t="s">
        <v>9</v>
      </c>
      <c r="F46" s="51" t="s">
        <v>9</v>
      </c>
      <c r="G46" s="51" t="s">
        <v>10</v>
      </c>
    </row>
    <row r="47" spans="1:7" ht="15.75" thickBot="1">
      <c r="A47" s="1">
        <v>1</v>
      </c>
      <c r="B47" s="1">
        <v>2</v>
      </c>
      <c r="C47" s="1">
        <v>3</v>
      </c>
      <c r="D47" s="1">
        <v>4</v>
      </c>
      <c r="E47" s="1">
        <v>5</v>
      </c>
      <c r="F47" s="1">
        <v>6</v>
      </c>
      <c r="G47" s="1">
        <v>7</v>
      </c>
    </row>
    <row r="48" spans="1:7" ht="15" customHeight="1" thickBot="1">
      <c r="A48" s="683" t="s">
        <v>11</v>
      </c>
      <c r="B48" s="684"/>
      <c r="C48" s="119"/>
      <c r="D48" s="119"/>
      <c r="E48" s="119"/>
      <c r="F48" s="119"/>
      <c r="G48" s="120"/>
    </row>
    <row r="49" spans="1:10">
      <c r="A49" s="162" t="s">
        <v>12</v>
      </c>
      <c r="B49" s="116" t="s">
        <v>13</v>
      </c>
      <c r="C49" s="117">
        <f>'Devize obiecte evaluari'!F195</f>
        <v>601937.5</v>
      </c>
      <c r="D49" s="117">
        <f>'Devize obiecte evaluari'!G195</f>
        <v>127440.03133402494</v>
      </c>
      <c r="E49" s="117">
        <f>'Devize obiecte evaluari'!H195</f>
        <v>114368.125</v>
      </c>
      <c r="F49" s="117">
        <f>'Devize obiecte evaluari'!I195</f>
        <v>716305.625</v>
      </c>
      <c r="G49" s="118">
        <f>'Devize obiecte evaluari'!J195</f>
        <v>151653.63728748969</v>
      </c>
      <c r="J49" s="388"/>
    </row>
    <row r="50" spans="1:10">
      <c r="A50" s="74" t="s">
        <v>14</v>
      </c>
      <c r="B50" s="2" t="s">
        <v>15</v>
      </c>
      <c r="C50" s="54">
        <f>'Devize obiecte evaluari'!F209</f>
        <v>4817577.6500000004</v>
      </c>
      <c r="D50" s="54">
        <f>'Devize obiecte evaluari'!G209</f>
        <v>1019960.1232189359</v>
      </c>
      <c r="E50" s="54">
        <f>'Devize obiecte evaluari'!H209</f>
        <v>915339.75349999999</v>
      </c>
      <c r="F50" s="54">
        <f>'Devize obiecte evaluari'!I209</f>
        <v>5732917.4035</v>
      </c>
      <c r="G50" s="55">
        <f>'Devize obiecte evaluari'!J209</f>
        <v>1213752.5466305336</v>
      </c>
    </row>
    <row r="51" spans="1:10">
      <c r="A51" s="74" t="s">
        <v>16</v>
      </c>
      <c r="B51" s="2" t="s">
        <v>17</v>
      </c>
      <c r="C51" s="52">
        <f>'Devize obiecte evaluari'!F255</f>
        <v>0</v>
      </c>
      <c r="D51" s="52">
        <f>'Devize obiecte evaluari'!G255</f>
        <v>0</v>
      </c>
      <c r="E51" s="52">
        <f>'Devize obiecte evaluari'!H255</f>
        <v>0</v>
      </c>
      <c r="F51" s="52">
        <f>'Devize obiecte evaluari'!I255</f>
        <v>0</v>
      </c>
      <c r="G51" s="53">
        <f>'Devize obiecte evaluari'!J255</f>
        <v>0</v>
      </c>
    </row>
    <row r="52" spans="1:10">
      <c r="A52" s="74" t="s">
        <v>18</v>
      </c>
      <c r="B52" s="2" t="s">
        <v>19</v>
      </c>
      <c r="C52" s="52">
        <f>'Devize obiecte evaluari'!F258</f>
        <v>0</v>
      </c>
      <c r="D52" s="52">
        <f>'Devize obiecte evaluari'!G258</f>
        <v>0</v>
      </c>
      <c r="E52" s="52">
        <f>'Devize obiecte evaluari'!H258</f>
        <v>0</v>
      </c>
      <c r="F52" s="52">
        <f>'Devize obiecte evaluari'!I258</f>
        <v>0</v>
      </c>
      <c r="G52" s="53">
        <f>'Devize obiecte evaluari'!J258</f>
        <v>0</v>
      </c>
    </row>
    <row r="53" spans="1:10">
      <c r="A53" s="74" t="s">
        <v>20</v>
      </c>
      <c r="B53" s="2" t="s">
        <v>21</v>
      </c>
      <c r="C53" s="52">
        <f>'Devize obiecte evaluari'!F261</f>
        <v>0</v>
      </c>
      <c r="D53" s="52">
        <f>'Devize obiecte evaluari'!G261</f>
        <v>0</v>
      </c>
      <c r="E53" s="52">
        <f>'Devize obiecte evaluari'!H261</f>
        <v>0</v>
      </c>
      <c r="F53" s="52">
        <f>'Devize obiecte evaluari'!I261</f>
        <v>0</v>
      </c>
      <c r="G53" s="53">
        <f>'Devize obiecte evaluari'!J261</f>
        <v>0</v>
      </c>
    </row>
    <row r="54" spans="1:10" ht="25.5">
      <c r="A54" s="74" t="s">
        <v>22</v>
      </c>
      <c r="B54" s="2" t="s">
        <v>23</v>
      </c>
      <c r="C54" s="36">
        <f>'Devize obiecte evaluari'!F264</f>
        <v>0</v>
      </c>
      <c r="D54" s="36">
        <f>'Devize obiecte evaluari'!G264</f>
        <v>0</v>
      </c>
      <c r="E54" s="36">
        <f>'Devize obiecte evaluari'!H264</f>
        <v>0</v>
      </c>
      <c r="F54" s="36">
        <f>'Devize obiecte evaluari'!I264</f>
        <v>0</v>
      </c>
      <c r="G54" s="37">
        <f>'Devize obiecte evaluari'!J264</f>
        <v>0</v>
      </c>
    </row>
    <row r="55" spans="1:10">
      <c r="A55" s="74" t="s">
        <v>24</v>
      </c>
      <c r="B55" s="2" t="s">
        <v>25</v>
      </c>
      <c r="C55" s="52">
        <f>'Devize obiecte evaluari'!F267</f>
        <v>0</v>
      </c>
      <c r="D55" s="52">
        <f>'Devize obiecte evaluari'!G267</f>
        <v>0</v>
      </c>
      <c r="E55" s="52">
        <f>'Devize obiecte evaluari'!H267</f>
        <v>0</v>
      </c>
      <c r="F55" s="52">
        <f>'Devize obiecte evaluari'!I267</f>
        <v>0</v>
      </c>
      <c r="G55" s="53">
        <f>'Devize obiecte evaluari'!J267</f>
        <v>0</v>
      </c>
    </row>
    <row r="56" spans="1:10" ht="15.75" thickBot="1">
      <c r="A56" s="163" t="s">
        <v>99</v>
      </c>
      <c r="B56" s="121" t="s">
        <v>26</v>
      </c>
      <c r="C56" s="122">
        <f>'Devize obiecte evaluari'!F270</f>
        <v>0</v>
      </c>
      <c r="D56" s="122">
        <f>'Devize obiecte evaluari'!G270</f>
        <v>0</v>
      </c>
      <c r="E56" s="122">
        <f>'Devize obiecte evaluari'!H270</f>
        <v>0</v>
      </c>
      <c r="F56" s="122">
        <f>'Devize obiecte evaluari'!I270</f>
        <v>0</v>
      </c>
      <c r="G56" s="123">
        <f>'Devize obiecte evaluari'!J270</f>
        <v>0</v>
      </c>
    </row>
    <row r="57" spans="1:10" ht="15" customHeight="1" thickBot="1">
      <c r="A57" s="685" t="s">
        <v>27</v>
      </c>
      <c r="B57" s="686"/>
      <c r="C57" s="82">
        <f>SUM(C49:C56)</f>
        <v>5419515.1500000004</v>
      </c>
      <c r="D57" s="82">
        <f t="shared" ref="D57:E57" si="3">SUM(D49:D56)</f>
        <v>1147400.1545529608</v>
      </c>
      <c r="E57" s="82">
        <f t="shared" si="3"/>
        <v>1029707.8785</v>
      </c>
      <c r="F57" s="82">
        <f>SUM(F49:F56)</f>
        <v>6449223.0285</v>
      </c>
      <c r="G57" s="83">
        <f t="shared" ref="G57" si="4">SUM(G49:G56)</f>
        <v>1365406.1839180232</v>
      </c>
    </row>
    <row r="58" spans="1:10" ht="15" customHeight="1" thickBot="1">
      <c r="A58" s="683" t="s">
        <v>28</v>
      </c>
      <c r="B58" s="684"/>
      <c r="C58" s="119"/>
      <c r="D58" s="119"/>
      <c r="E58" s="119"/>
      <c r="F58" s="119"/>
      <c r="G58" s="120"/>
    </row>
    <row r="59" spans="1:10" ht="15.75" thickBot="1">
      <c r="A59" s="126"/>
      <c r="B59" s="127" t="s">
        <v>29</v>
      </c>
      <c r="C59" s="128">
        <f>'Devize obiecte evaluari'!F275</f>
        <v>0</v>
      </c>
      <c r="D59" s="128">
        <f>'Devize obiecte evaluari'!G275</f>
        <v>0</v>
      </c>
      <c r="E59" s="128">
        <f>'Devize obiecte evaluari'!H275</f>
        <v>0</v>
      </c>
      <c r="F59" s="128">
        <f>'Devize obiecte evaluari'!I275</f>
        <v>0</v>
      </c>
      <c r="G59" s="129">
        <f>'Devize obiecte evaluari'!J275</f>
        <v>0</v>
      </c>
    </row>
    <row r="60" spans="1:10" ht="15" customHeight="1" thickBot="1">
      <c r="A60" s="685" t="s">
        <v>30</v>
      </c>
      <c r="B60" s="686"/>
      <c r="C60" s="62">
        <f>C59</f>
        <v>0</v>
      </c>
      <c r="D60" s="62">
        <f>D59</f>
        <v>0</v>
      </c>
      <c r="E60" s="62">
        <f>E59</f>
        <v>0</v>
      </c>
      <c r="F60" s="62">
        <f>F59</f>
        <v>0</v>
      </c>
      <c r="G60" s="63">
        <f>G59</f>
        <v>0</v>
      </c>
    </row>
    <row r="61" spans="1:10" ht="15" customHeight="1" thickBot="1">
      <c r="A61" s="683" t="s">
        <v>31</v>
      </c>
      <c r="B61" s="684"/>
      <c r="C61" s="119"/>
      <c r="D61" s="119"/>
      <c r="E61" s="119"/>
      <c r="F61" s="119"/>
      <c r="G61" s="120"/>
    </row>
    <row r="62" spans="1:10">
      <c r="A62" s="124"/>
      <c r="B62" s="125" t="s">
        <v>32</v>
      </c>
      <c r="C62" s="130">
        <f>'Devize obiecte evaluari'!F280</f>
        <v>0</v>
      </c>
      <c r="D62" s="130">
        <f>'Devize obiecte evaluari'!G280</f>
        <v>0</v>
      </c>
      <c r="E62" s="130">
        <f>'Devize obiecte evaluari'!H280</f>
        <v>0</v>
      </c>
      <c r="F62" s="130">
        <f>'Devize obiecte evaluari'!I280</f>
        <v>0</v>
      </c>
      <c r="G62" s="131">
        <f>'Devize obiecte evaluari'!J280</f>
        <v>0</v>
      </c>
    </row>
    <row r="63" spans="1:10">
      <c r="A63" s="58"/>
      <c r="B63" s="59" t="s">
        <v>33</v>
      </c>
      <c r="C63" s="60">
        <f>'Devize obiecte evaluari'!F283</f>
        <v>0</v>
      </c>
      <c r="D63" s="60">
        <f>'Devize obiecte evaluari'!G283</f>
        <v>0</v>
      </c>
      <c r="E63" s="60">
        <f>'Devize obiecte evaluari'!H283</f>
        <v>0</v>
      </c>
      <c r="F63" s="60">
        <f>'Devize obiecte evaluari'!I283</f>
        <v>0</v>
      </c>
      <c r="G63" s="61">
        <f>'Devize obiecte evaluari'!J283</f>
        <v>0</v>
      </c>
    </row>
    <row r="64" spans="1:10" ht="15.75" thickBot="1">
      <c r="A64" s="132"/>
      <c r="B64" s="133" t="s">
        <v>34</v>
      </c>
      <c r="C64" s="134">
        <f>'Devize obiecte evaluari'!F286</f>
        <v>0</v>
      </c>
      <c r="D64" s="134">
        <f>'Devize obiecte evaluari'!G286</f>
        <v>0</v>
      </c>
      <c r="E64" s="134">
        <f>'Devize obiecte evaluari'!H286</f>
        <v>0</v>
      </c>
      <c r="F64" s="134">
        <f>'Devize obiecte evaluari'!I286</f>
        <v>0</v>
      </c>
      <c r="G64" s="135">
        <f>'Devize obiecte evaluari'!J286</f>
        <v>0</v>
      </c>
    </row>
    <row r="65" spans="1:7" ht="15.75" customHeight="1" thickBot="1">
      <c r="A65" s="685" t="s">
        <v>35</v>
      </c>
      <c r="B65" s="686"/>
      <c r="C65" s="62">
        <f>SUM(C62:C64)</f>
        <v>0</v>
      </c>
      <c r="D65" s="62">
        <f t="shared" ref="D65:E65" si="5">SUM(D62:D64)</f>
        <v>0</v>
      </c>
      <c r="E65" s="62">
        <f t="shared" si="5"/>
        <v>0</v>
      </c>
      <c r="F65" s="62">
        <f>SUM(F62:F64)</f>
        <v>0</v>
      </c>
      <c r="G65" s="63">
        <f t="shared" ref="G65" si="6">SUM(G62:G64)</f>
        <v>0</v>
      </c>
    </row>
    <row r="66" spans="1:7" ht="15.75" customHeight="1" thickBot="1">
      <c r="A66" s="685" t="s">
        <v>36</v>
      </c>
      <c r="B66" s="686"/>
      <c r="C66" s="62">
        <f>SUM(C57,C60,C65)</f>
        <v>5419515.1500000004</v>
      </c>
      <c r="D66" s="62">
        <f t="shared" ref="D66:E66" si="7">SUM(D57,D60,D65)</f>
        <v>1147400.1545529608</v>
      </c>
      <c r="E66" s="62">
        <f t="shared" si="7"/>
        <v>1029707.8785</v>
      </c>
      <c r="F66" s="62">
        <f>SUM(F57,F60,F65)</f>
        <v>6449223.0285</v>
      </c>
      <c r="G66" s="63">
        <f t="shared" ref="G66" si="8">SUM(G57,G60,G65)</f>
        <v>1365406.1839180232</v>
      </c>
    </row>
    <row r="67" spans="1:7">
      <c r="A67" s="39"/>
      <c r="B67" s="39"/>
      <c r="C67" s="42"/>
      <c r="D67" s="42"/>
      <c r="E67" s="42"/>
      <c r="F67" s="42"/>
      <c r="G67" s="42"/>
    </row>
    <row r="68" spans="1:7">
      <c r="A68" s="42"/>
      <c r="C68" s="42"/>
      <c r="D68" s="64"/>
      <c r="E68" s="42"/>
      <c r="F68" s="42"/>
      <c r="G68" s="42"/>
    </row>
    <row r="69" spans="1:7">
      <c r="A69" s="39"/>
      <c r="B69" s="65" t="s">
        <v>37</v>
      </c>
      <c r="C69" s="39"/>
      <c r="D69" s="66"/>
      <c r="E69" s="39"/>
      <c r="F69" s="39"/>
      <c r="G69" s="39"/>
    </row>
    <row r="70" spans="1:7">
      <c r="A70" s="39"/>
      <c r="B70" s="65" t="str">
        <f>'Date Generale'!$C$7</f>
        <v>S.C. Tehno Consoulting Solutions S.R.L.</v>
      </c>
      <c r="C70" s="39"/>
      <c r="D70" s="39"/>
      <c r="E70" s="39"/>
      <c r="F70" s="39"/>
      <c r="G70" s="39"/>
    </row>
    <row r="71" spans="1:7">
      <c r="A71" s="39"/>
      <c r="B71" s="39"/>
      <c r="C71" s="39"/>
      <c r="D71" s="39"/>
      <c r="E71" s="39"/>
      <c r="F71" s="39"/>
      <c r="G71" s="39"/>
    </row>
    <row r="72" spans="1:7">
      <c r="A72" s="39"/>
      <c r="B72" s="39"/>
      <c r="C72" s="39"/>
      <c r="D72" s="39"/>
      <c r="E72" s="39"/>
      <c r="F72" s="39"/>
      <c r="G72" s="39"/>
    </row>
    <row r="73" spans="1:7">
      <c r="A73" s="67"/>
      <c r="B73" s="67"/>
      <c r="C73" s="67"/>
      <c r="D73" s="67"/>
      <c r="E73" s="67"/>
      <c r="F73" s="67"/>
      <c r="G73" s="67"/>
    </row>
    <row r="74" spans="1:7" ht="15.75">
      <c r="A74" s="41" t="str">
        <f>"Beneficiar: " &amp;'Date Generale'!$C$6</f>
        <v xml:space="preserve">Beneficiar: Judetul Arges </v>
      </c>
      <c r="B74" s="41"/>
      <c r="C74" s="42"/>
      <c r="D74" s="42"/>
      <c r="E74" s="42"/>
      <c r="F74" s="42"/>
      <c r="G74" s="42"/>
    </row>
    <row r="75" spans="1:7" ht="36.75" customHeight="1">
      <c r="A75" s="690" t="str">
        <f>"Denumire proiect: " &amp; 'Date Generale'!$C$3</f>
        <v>Denumire proiect: Modernizare DJ 703B Serbanesti (DJ659) - Silistea, km 70+410 - 77+826, 7.416km, in comunele Rociu si Cateasca</v>
      </c>
      <c r="B75" s="690"/>
      <c r="C75" s="690"/>
      <c r="D75" s="690"/>
      <c r="E75" s="690"/>
      <c r="F75" s="690"/>
      <c r="G75" s="690"/>
    </row>
    <row r="76" spans="1:7" ht="15.75">
      <c r="A76" s="235"/>
      <c r="B76" s="41"/>
      <c r="C76" s="44"/>
      <c r="D76" s="44"/>
      <c r="E76" s="44"/>
      <c r="F76" s="44"/>
      <c r="G76" s="44"/>
    </row>
    <row r="77" spans="1:7" ht="15.75">
      <c r="A77" s="235"/>
      <c r="B77" s="41"/>
      <c r="C77" s="44"/>
      <c r="D77" s="44"/>
      <c r="E77" s="44"/>
      <c r="F77" s="44"/>
      <c r="G77" s="44"/>
    </row>
    <row r="78" spans="1:7">
      <c r="A78" s="687" t="str">
        <f>"Devizul Obiectului: " &amp;'Date Generale'!$E$63</f>
        <v>Devizul Obiectului: Obiect 003: Instalatii electrice</v>
      </c>
      <c r="B78" s="687"/>
      <c r="C78" s="687"/>
      <c r="D78" s="687"/>
      <c r="E78" s="687"/>
      <c r="F78" s="687"/>
      <c r="G78" s="687"/>
    </row>
    <row r="79" spans="1:7">
      <c r="A79" s="136"/>
      <c r="B79" s="136"/>
      <c r="C79" s="136"/>
      <c r="D79" s="136"/>
      <c r="E79" s="136"/>
      <c r="F79" s="136"/>
      <c r="G79" s="136"/>
    </row>
    <row r="80" spans="1:7" ht="15.75" thickBot="1">
      <c r="A80" s="45"/>
      <c r="B80" s="46"/>
      <c r="C80" s="33"/>
      <c r="D80" s="47" t="s">
        <v>2</v>
      </c>
      <c r="E80" s="48">
        <f>'Date Generale'!$C$54</f>
        <v>4.7233000000000001</v>
      </c>
      <c r="F80" s="49" t="s">
        <v>3</v>
      </c>
      <c r="G80" s="50" t="str">
        <f>'Date Generale'!$D$54</f>
        <v>21,06,2019</v>
      </c>
    </row>
    <row r="81" spans="1:7" ht="15.75" customHeight="1" thickBot="1">
      <c r="A81" s="688" t="s">
        <v>4</v>
      </c>
      <c r="B81" s="688" t="s">
        <v>5</v>
      </c>
      <c r="C81" s="689" t="s">
        <v>160</v>
      </c>
      <c r="D81" s="689"/>
      <c r="E81" s="24" t="s">
        <v>7</v>
      </c>
      <c r="F81" s="689" t="s">
        <v>159</v>
      </c>
      <c r="G81" s="689"/>
    </row>
    <row r="82" spans="1:7" ht="15.75" customHeight="1" thickBot="1">
      <c r="A82" s="688"/>
      <c r="B82" s="688"/>
      <c r="C82" s="51" t="s">
        <v>9</v>
      </c>
      <c r="D82" s="51" t="s">
        <v>10</v>
      </c>
      <c r="E82" s="51" t="s">
        <v>9</v>
      </c>
      <c r="F82" s="51" t="s">
        <v>9</v>
      </c>
      <c r="G82" s="51" t="s">
        <v>10</v>
      </c>
    </row>
    <row r="83" spans="1:7" ht="15.75" thickBot="1">
      <c r="A83" s="1">
        <v>1</v>
      </c>
      <c r="B83" s="1">
        <v>2</v>
      </c>
      <c r="C83" s="1">
        <v>3</v>
      </c>
      <c r="D83" s="1">
        <v>4</v>
      </c>
      <c r="E83" s="1">
        <v>5</v>
      </c>
      <c r="F83" s="1">
        <v>6</v>
      </c>
      <c r="G83" s="1">
        <v>7</v>
      </c>
    </row>
    <row r="84" spans="1:7" ht="15" customHeight="1" thickBot="1">
      <c r="A84" s="683" t="s">
        <v>11</v>
      </c>
      <c r="B84" s="684"/>
      <c r="C84" s="119"/>
      <c r="D84" s="119"/>
      <c r="E84" s="119"/>
      <c r="F84" s="119"/>
      <c r="G84" s="120"/>
    </row>
    <row r="85" spans="1:7" ht="15" customHeight="1">
      <c r="A85" s="162" t="s">
        <v>12</v>
      </c>
      <c r="B85" s="116" t="s">
        <v>13</v>
      </c>
      <c r="C85" s="117">
        <f>'Devize obiecte evaluari'!F309</f>
        <v>0</v>
      </c>
      <c r="D85" s="117">
        <f>'Devize obiecte evaluari'!G309</f>
        <v>0</v>
      </c>
      <c r="E85" s="117">
        <f>'Devize obiecte evaluari'!H309</f>
        <v>0</v>
      </c>
      <c r="F85" s="117">
        <f>'Devize obiecte evaluari'!I309</f>
        <v>0</v>
      </c>
      <c r="G85" s="118">
        <f>'Devize obiecte evaluari'!J309</f>
        <v>0</v>
      </c>
    </row>
    <row r="86" spans="1:7">
      <c r="A86" s="74" t="s">
        <v>14</v>
      </c>
      <c r="B86" s="2" t="s">
        <v>15</v>
      </c>
      <c r="C86" s="54">
        <f>'Devize obiecte evaluari'!F312</f>
        <v>0</v>
      </c>
      <c r="D86" s="54">
        <f>'Devize obiecte evaluari'!G312</f>
        <v>0</v>
      </c>
      <c r="E86" s="54">
        <f>'Devize obiecte evaluari'!H312</f>
        <v>0</v>
      </c>
      <c r="F86" s="54">
        <f>'Devize obiecte evaluari'!I312</f>
        <v>0</v>
      </c>
      <c r="G86" s="55">
        <f>'Devize obiecte evaluari'!J312</f>
        <v>0</v>
      </c>
    </row>
    <row r="87" spans="1:7">
      <c r="A87" s="74" t="s">
        <v>16</v>
      </c>
      <c r="B87" s="2" t="s">
        <v>17</v>
      </c>
      <c r="C87" s="52">
        <f>'Devize obiecte evaluari'!F315</f>
        <v>0</v>
      </c>
      <c r="D87" s="52">
        <f>'Devize obiecte evaluari'!G315</f>
        <v>0</v>
      </c>
      <c r="E87" s="52">
        <f>'Devize obiecte evaluari'!H315</f>
        <v>0</v>
      </c>
      <c r="F87" s="52">
        <f>'Devize obiecte evaluari'!I315</f>
        <v>0</v>
      </c>
      <c r="G87" s="53">
        <f>'Devize obiecte evaluari'!J315</f>
        <v>0</v>
      </c>
    </row>
    <row r="88" spans="1:7">
      <c r="A88" s="74" t="s">
        <v>18</v>
      </c>
      <c r="B88" s="2" t="s">
        <v>19</v>
      </c>
      <c r="C88" s="52">
        <f>'Devize obiecte evaluari'!F318</f>
        <v>1517828.8931607141</v>
      </c>
      <c r="D88" s="52">
        <f>'Devize obiecte evaluari'!G318</f>
        <v>321349.24590026343</v>
      </c>
      <c r="E88" s="52">
        <f>'Devize obiecte evaluari'!H318</f>
        <v>288387.48970053566</v>
      </c>
      <c r="F88" s="52">
        <f>'Devize obiecte evaluari'!I318</f>
        <v>1806216.3828612498</v>
      </c>
      <c r="G88" s="53">
        <f>'Devize obiecte evaluari'!J318</f>
        <v>382405.60262131342</v>
      </c>
    </row>
    <row r="89" spans="1:7">
      <c r="A89" s="74" t="s">
        <v>20</v>
      </c>
      <c r="B89" s="2" t="s">
        <v>21</v>
      </c>
      <c r="C89" s="52">
        <f>'Devize obiecte evaluari'!F338</f>
        <v>0</v>
      </c>
      <c r="D89" s="52">
        <f>'Devize obiecte evaluari'!G338</f>
        <v>0</v>
      </c>
      <c r="E89" s="52">
        <f>'Devize obiecte evaluari'!H338</f>
        <v>0</v>
      </c>
      <c r="F89" s="52">
        <f>'Devize obiecte evaluari'!I338</f>
        <v>0</v>
      </c>
      <c r="G89" s="53">
        <f>'Devize obiecte evaluari'!J338</f>
        <v>0</v>
      </c>
    </row>
    <row r="90" spans="1:7" ht="25.5">
      <c r="A90" s="74" t="s">
        <v>22</v>
      </c>
      <c r="B90" s="2" t="s">
        <v>23</v>
      </c>
      <c r="C90" s="36">
        <f>'Devize obiecte evaluari'!F341</f>
        <v>0</v>
      </c>
      <c r="D90" s="36">
        <f>'Devize obiecte evaluari'!G341</f>
        <v>0</v>
      </c>
      <c r="E90" s="36">
        <f>'Devize obiecte evaluari'!H341</f>
        <v>0</v>
      </c>
      <c r="F90" s="36">
        <f>'Devize obiecte evaluari'!I341</f>
        <v>0</v>
      </c>
      <c r="G90" s="37">
        <f>'Devize obiecte evaluari'!J341</f>
        <v>0</v>
      </c>
    </row>
    <row r="91" spans="1:7">
      <c r="A91" s="74" t="s">
        <v>24</v>
      </c>
      <c r="B91" s="2" t="s">
        <v>25</v>
      </c>
      <c r="C91" s="52">
        <f>'Devize obiecte evaluari'!F344</f>
        <v>0</v>
      </c>
      <c r="D91" s="52">
        <f>'Devize obiecte evaluari'!G344</f>
        <v>0</v>
      </c>
      <c r="E91" s="52">
        <f>'Devize obiecte evaluari'!H344</f>
        <v>0</v>
      </c>
      <c r="F91" s="52">
        <f>'Devize obiecte evaluari'!I344</f>
        <v>0</v>
      </c>
      <c r="G91" s="53">
        <f>'Devize obiecte evaluari'!J344</f>
        <v>0</v>
      </c>
    </row>
    <row r="92" spans="1:7" ht="15.75" thickBot="1">
      <c r="A92" s="163" t="s">
        <v>99</v>
      </c>
      <c r="B92" s="121" t="s">
        <v>26</v>
      </c>
      <c r="C92" s="122">
        <f>'Devize obiecte evaluari'!F347</f>
        <v>0</v>
      </c>
      <c r="D92" s="122">
        <f>'Devize obiecte evaluari'!G347</f>
        <v>0</v>
      </c>
      <c r="E92" s="122">
        <f>'Devize obiecte evaluari'!H347</f>
        <v>0</v>
      </c>
      <c r="F92" s="122">
        <f>'Devize obiecte evaluari'!I347</f>
        <v>0</v>
      </c>
      <c r="G92" s="123">
        <f>'Devize obiecte evaluari'!J347</f>
        <v>0</v>
      </c>
    </row>
    <row r="93" spans="1:7" ht="15" customHeight="1" thickBot="1">
      <c r="A93" s="685" t="s">
        <v>27</v>
      </c>
      <c r="B93" s="686"/>
      <c r="C93" s="82">
        <f>SUM(C85:C92)</f>
        <v>1517828.8931607141</v>
      </c>
      <c r="D93" s="82">
        <f t="shared" ref="D93:E93" si="9">SUM(D85:D92)</f>
        <v>321349.24590026343</v>
      </c>
      <c r="E93" s="82">
        <f t="shared" si="9"/>
        <v>288387.48970053566</v>
      </c>
      <c r="F93" s="82">
        <f>SUM(F85:F92)</f>
        <v>1806216.3828612498</v>
      </c>
      <c r="G93" s="83">
        <f t="shared" ref="G93" si="10">SUM(G85:G92)</f>
        <v>382405.60262131342</v>
      </c>
    </row>
    <row r="94" spans="1:7" ht="15" customHeight="1" thickBot="1">
      <c r="A94" s="683" t="s">
        <v>28</v>
      </c>
      <c r="B94" s="684"/>
      <c r="C94" s="119"/>
      <c r="D94" s="119"/>
      <c r="E94" s="119"/>
      <c r="F94" s="119"/>
      <c r="G94" s="120"/>
    </row>
    <row r="95" spans="1:7" ht="15" customHeight="1" thickBot="1">
      <c r="A95" s="126"/>
      <c r="B95" s="127" t="s">
        <v>29</v>
      </c>
      <c r="C95" s="128">
        <f>'Devize obiecte evaluari'!F352</f>
        <v>0</v>
      </c>
      <c r="D95" s="128">
        <f>'Devize obiecte evaluari'!G352</f>
        <v>0</v>
      </c>
      <c r="E95" s="128">
        <f>'Devize obiecte evaluari'!H352</f>
        <v>0</v>
      </c>
      <c r="F95" s="128">
        <f>'Devize obiecte evaluari'!I352</f>
        <v>0</v>
      </c>
      <c r="G95" s="129">
        <f>'Devize obiecte evaluari'!J352</f>
        <v>0</v>
      </c>
    </row>
    <row r="96" spans="1:7" ht="15" customHeight="1" thickBot="1">
      <c r="A96" s="685" t="s">
        <v>30</v>
      </c>
      <c r="B96" s="686"/>
      <c r="C96" s="62">
        <f>C95</f>
        <v>0</v>
      </c>
      <c r="D96" s="62">
        <f>D95</f>
        <v>0</v>
      </c>
      <c r="E96" s="62">
        <f>E95</f>
        <v>0</v>
      </c>
      <c r="F96" s="62">
        <f>F95</f>
        <v>0</v>
      </c>
      <c r="G96" s="63">
        <f>G95</f>
        <v>0</v>
      </c>
    </row>
    <row r="97" spans="1:7" ht="15" customHeight="1" thickBot="1">
      <c r="A97" s="683" t="s">
        <v>31</v>
      </c>
      <c r="B97" s="684"/>
      <c r="C97" s="119"/>
      <c r="D97" s="119"/>
      <c r="E97" s="119"/>
      <c r="F97" s="119"/>
      <c r="G97" s="120"/>
    </row>
    <row r="98" spans="1:7" ht="15" customHeight="1">
      <c r="A98" s="124"/>
      <c r="B98" s="125" t="s">
        <v>32</v>
      </c>
      <c r="C98" s="130">
        <f>'Devize obiecte evaluari'!F357</f>
        <v>0</v>
      </c>
      <c r="D98" s="130">
        <f>'Devize obiecte evaluari'!G357</f>
        <v>0</v>
      </c>
      <c r="E98" s="130">
        <f>'Devize obiecte evaluari'!H357</f>
        <v>0</v>
      </c>
      <c r="F98" s="130">
        <f>'Devize obiecte evaluari'!I357</f>
        <v>0</v>
      </c>
      <c r="G98" s="131">
        <f>'Devize obiecte evaluari'!J357</f>
        <v>0</v>
      </c>
    </row>
    <row r="99" spans="1:7">
      <c r="A99" s="58"/>
      <c r="B99" s="59" t="s">
        <v>33</v>
      </c>
      <c r="C99" s="60">
        <f>'Devize obiecte evaluari'!F360</f>
        <v>0</v>
      </c>
      <c r="D99" s="60">
        <f>'Devize obiecte evaluari'!G360</f>
        <v>0</v>
      </c>
      <c r="E99" s="60">
        <f>'Devize obiecte evaluari'!H360</f>
        <v>0</v>
      </c>
      <c r="F99" s="60">
        <f>'Devize obiecte evaluari'!I360</f>
        <v>0</v>
      </c>
      <c r="G99" s="61">
        <f>'Devize obiecte evaluari'!J360</f>
        <v>0</v>
      </c>
    </row>
    <row r="100" spans="1:7" ht="15.75" thickBot="1">
      <c r="A100" s="132"/>
      <c r="B100" s="133" t="s">
        <v>34</v>
      </c>
      <c r="C100" s="134">
        <f>'Devize obiecte evaluari'!F363</f>
        <v>0</v>
      </c>
      <c r="D100" s="134">
        <f>'Devize obiecte evaluari'!G363</f>
        <v>0</v>
      </c>
      <c r="E100" s="134">
        <f>'Devize obiecte evaluari'!H363</f>
        <v>0</v>
      </c>
      <c r="F100" s="134">
        <f>'Devize obiecte evaluari'!I363</f>
        <v>0</v>
      </c>
      <c r="G100" s="135">
        <f>'Devize obiecte evaluari'!J363</f>
        <v>0</v>
      </c>
    </row>
    <row r="101" spans="1:7" ht="15.75" customHeight="1" thickBot="1">
      <c r="A101" s="685" t="s">
        <v>35</v>
      </c>
      <c r="B101" s="686"/>
      <c r="C101" s="62">
        <f>SUM(C98:C100)</f>
        <v>0</v>
      </c>
      <c r="D101" s="62">
        <f t="shared" ref="D101:E101" si="11">SUM(D98:D100)</f>
        <v>0</v>
      </c>
      <c r="E101" s="62">
        <f t="shared" si="11"/>
        <v>0</v>
      </c>
      <c r="F101" s="62">
        <f>SUM(F98:F100)</f>
        <v>0</v>
      </c>
      <c r="G101" s="63">
        <f t="shared" ref="G101" si="12">SUM(G98:G100)</f>
        <v>0</v>
      </c>
    </row>
    <row r="102" spans="1:7" ht="15.75" customHeight="1" thickBot="1">
      <c r="A102" s="685" t="s">
        <v>36</v>
      </c>
      <c r="B102" s="686"/>
      <c r="C102" s="62">
        <f>SUM(C93,C96,C101)</f>
        <v>1517828.8931607141</v>
      </c>
      <c r="D102" s="62">
        <f t="shared" ref="D102:E102" si="13">SUM(D93,D96,D101)</f>
        <v>321349.24590026343</v>
      </c>
      <c r="E102" s="62">
        <f t="shared" si="13"/>
        <v>288387.48970053566</v>
      </c>
      <c r="F102" s="62">
        <f>SUM(F93,F96,F101)</f>
        <v>1806216.3828612498</v>
      </c>
      <c r="G102" s="63">
        <f t="shared" ref="G102" si="14">SUM(G93,G96,G101)</f>
        <v>382405.60262131342</v>
      </c>
    </row>
    <row r="103" spans="1:7" ht="15.75" customHeight="1">
      <c r="A103" s="39"/>
      <c r="B103" s="39"/>
      <c r="C103" s="42"/>
      <c r="D103" s="42"/>
      <c r="E103" s="42"/>
      <c r="F103" s="42"/>
      <c r="G103" s="42"/>
    </row>
    <row r="104" spans="1:7">
      <c r="A104" s="42"/>
      <c r="C104" s="42"/>
      <c r="D104" s="64"/>
      <c r="E104" s="42"/>
      <c r="F104" s="42"/>
      <c r="G104" s="42"/>
    </row>
    <row r="105" spans="1:7">
      <c r="A105" s="39"/>
      <c r="B105" s="65" t="s">
        <v>37</v>
      </c>
      <c r="C105" s="39"/>
      <c r="D105" s="66"/>
      <c r="E105" s="39"/>
      <c r="F105" s="39"/>
      <c r="G105" s="39"/>
    </row>
    <row r="106" spans="1:7">
      <c r="A106" s="39"/>
      <c r="B106" s="65" t="str">
        <f>'Date Generale'!$C$7</f>
        <v>S.C. Tehno Consoulting Solutions S.R.L.</v>
      </c>
      <c r="C106" s="39"/>
      <c r="D106" s="39"/>
      <c r="E106" s="39"/>
      <c r="F106" s="39"/>
      <c r="G106" s="39"/>
    </row>
    <row r="107" spans="1:7">
      <c r="A107" s="39"/>
      <c r="B107" s="39"/>
      <c r="C107" s="39"/>
      <c r="D107" s="39"/>
      <c r="E107" s="39"/>
      <c r="F107" s="39"/>
      <c r="G107" s="39"/>
    </row>
    <row r="108" spans="1:7">
      <c r="A108" s="39"/>
      <c r="B108" s="39"/>
      <c r="C108" s="39"/>
      <c r="D108" s="39"/>
      <c r="E108" s="39"/>
      <c r="F108" s="39"/>
      <c r="G108" s="39"/>
    </row>
    <row r="109" spans="1:7">
      <c r="A109" s="67"/>
      <c r="B109" s="67"/>
      <c r="C109" s="67"/>
      <c r="D109" s="67"/>
      <c r="E109" s="67"/>
      <c r="F109" s="67"/>
      <c r="G109" s="67"/>
    </row>
    <row r="110" spans="1:7" ht="15.75">
      <c r="A110" s="41" t="str">
        <f>"Beneficiar: " &amp;'Date Generale'!$C$6</f>
        <v xml:space="preserve">Beneficiar: Judetul Arges </v>
      </c>
      <c r="B110" s="41"/>
      <c r="C110" s="42"/>
      <c r="D110" s="42"/>
      <c r="E110" s="42"/>
      <c r="F110" s="42"/>
      <c r="G110" s="42"/>
    </row>
    <row r="111" spans="1:7" ht="36" customHeight="1">
      <c r="A111" s="690" t="str">
        <f>"Denumire proiect: " &amp; 'Date Generale'!$C$3</f>
        <v>Denumire proiect: Modernizare DJ 703B Serbanesti (DJ659) - Silistea, km 70+410 - 77+826, 7.416km, in comunele Rociu si Cateasca</v>
      </c>
      <c r="B111" s="690"/>
      <c r="C111" s="690"/>
      <c r="D111" s="690"/>
      <c r="E111" s="690"/>
      <c r="F111" s="690"/>
      <c r="G111" s="690"/>
    </row>
    <row r="112" spans="1:7" ht="15.75">
      <c r="A112" s="235" t="str">
        <f>"Denumire Obiect: " &amp; 'Date Generale'!$C$4</f>
        <v>Denumire Obiect: Deviz actualizat 21.06.2019</v>
      </c>
      <c r="B112" s="41"/>
      <c r="C112" s="44"/>
      <c r="D112" s="44"/>
      <c r="E112" s="44"/>
      <c r="F112" s="44"/>
      <c r="G112" s="44"/>
    </row>
    <row r="113" spans="1:7" ht="15.75">
      <c r="A113" s="235"/>
      <c r="B113" s="41"/>
      <c r="C113" s="44"/>
      <c r="D113" s="44"/>
      <c r="E113" s="44"/>
      <c r="F113" s="44"/>
      <c r="G113" s="44"/>
    </row>
    <row r="114" spans="1:7">
      <c r="A114" s="687" t="str">
        <f>"Devizul Obiectului: " &amp;'Date Generale'!$E$64</f>
        <v>Devizul Obiectului: Obiect 004: 0</v>
      </c>
      <c r="B114" s="687"/>
      <c r="C114" s="687"/>
      <c r="D114" s="687"/>
      <c r="E114" s="687"/>
      <c r="F114" s="687"/>
      <c r="G114" s="687"/>
    </row>
    <row r="115" spans="1:7">
      <c r="A115" s="136"/>
      <c r="B115" s="136"/>
      <c r="C115" s="136"/>
      <c r="D115" s="136"/>
      <c r="E115" s="136"/>
      <c r="F115" s="136"/>
      <c r="G115" s="136"/>
    </row>
    <row r="116" spans="1:7" ht="15.75" thickBot="1">
      <c r="A116" s="45"/>
      <c r="B116" s="46"/>
      <c r="C116" s="33"/>
      <c r="D116" s="47" t="s">
        <v>2</v>
      </c>
      <c r="E116" s="48">
        <f>'Date Generale'!$C$54</f>
        <v>4.7233000000000001</v>
      </c>
      <c r="F116" s="49" t="s">
        <v>3</v>
      </c>
      <c r="G116" s="50" t="str">
        <f>'Date Generale'!$D$54</f>
        <v>21,06,2019</v>
      </c>
    </row>
    <row r="117" spans="1:7" ht="15.75" customHeight="1" thickBot="1">
      <c r="A117" s="688" t="s">
        <v>4</v>
      </c>
      <c r="B117" s="688" t="s">
        <v>5</v>
      </c>
      <c r="C117" s="689" t="s">
        <v>160</v>
      </c>
      <c r="D117" s="689"/>
      <c r="E117" s="24" t="s">
        <v>7</v>
      </c>
      <c r="F117" s="689" t="s">
        <v>159</v>
      </c>
      <c r="G117" s="689"/>
    </row>
    <row r="118" spans="1:7" ht="15.75" thickBot="1">
      <c r="A118" s="688"/>
      <c r="B118" s="688"/>
      <c r="C118" s="51" t="s">
        <v>9</v>
      </c>
      <c r="D118" s="51" t="s">
        <v>10</v>
      </c>
      <c r="E118" s="51" t="s">
        <v>9</v>
      </c>
      <c r="F118" s="51" t="s">
        <v>9</v>
      </c>
      <c r="G118" s="51" t="s">
        <v>10</v>
      </c>
    </row>
    <row r="119" spans="1:7" ht="15.75" thickBot="1">
      <c r="A119" s="1">
        <v>1</v>
      </c>
      <c r="B119" s="1">
        <v>2</v>
      </c>
      <c r="C119" s="1">
        <v>3</v>
      </c>
      <c r="D119" s="1">
        <v>4</v>
      </c>
      <c r="E119" s="1">
        <v>5</v>
      </c>
      <c r="F119" s="1">
        <v>6</v>
      </c>
      <c r="G119" s="1">
        <v>7</v>
      </c>
    </row>
    <row r="120" spans="1:7" ht="15" customHeight="1" thickBot="1">
      <c r="A120" s="683" t="s">
        <v>11</v>
      </c>
      <c r="B120" s="684"/>
      <c r="C120" s="119"/>
      <c r="D120" s="119"/>
      <c r="E120" s="119"/>
      <c r="F120" s="119"/>
      <c r="G120" s="120"/>
    </row>
    <row r="121" spans="1:7">
      <c r="A121" s="162" t="s">
        <v>12</v>
      </c>
      <c r="B121" s="116" t="s">
        <v>13</v>
      </c>
      <c r="C121" s="117">
        <f>'Devize obiecte evaluari'!F386</f>
        <v>0</v>
      </c>
      <c r="D121" s="117">
        <f>'Devize obiecte evaluari'!G386</f>
        <v>0</v>
      </c>
      <c r="E121" s="117">
        <f>'Devize obiecte evaluari'!H386</f>
        <v>0</v>
      </c>
      <c r="F121" s="117">
        <f>'Devize obiecte evaluari'!I386</f>
        <v>0</v>
      </c>
      <c r="G121" s="118">
        <f>'Devize obiecte evaluari'!J386</f>
        <v>0</v>
      </c>
    </row>
    <row r="122" spans="1:7">
      <c r="A122" s="74" t="s">
        <v>14</v>
      </c>
      <c r="B122" s="2" t="s">
        <v>15</v>
      </c>
      <c r="C122" s="54">
        <f>'Devize obiecte evaluari'!F389</f>
        <v>0</v>
      </c>
      <c r="D122" s="54">
        <f>'Devize obiecte evaluari'!G389</f>
        <v>0</v>
      </c>
      <c r="E122" s="54">
        <f>'Devize obiecte evaluari'!H389</f>
        <v>0</v>
      </c>
      <c r="F122" s="54">
        <f>'Devize obiecte evaluari'!I389</f>
        <v>0</v>
      </c>
      <c r="G122" s="55">
        <f>'Devize obiecte evaluari'!J389</f>
        <v>0</v>
      </c>
    </row>
    <row r="123" spans="1:7">
      <c r="A123" s="74" t="s">
        <v>16</v>
      </c>
      <c r="B123" s="2" t="s">
        <v>17</v>
      </c>
      <c r="C123" s="52">
        <f>'Devize obiecte evaluari'!F392</f>
        <v>0</v>
      </c>
      <c r="D123" s="52">
        <f>'Devize obiecte evaluari'!G392</f>
        <v>0</v>
      </c>
      <c r="E123" s="52">
        <f>'Devize obiecte evaluari'!H392</f>
        <v>0</v>
      </c>
      <c r="F123" s="52">
        <f>'Devize obiecte evaluari'!I392</f>
        <v>0</v>
      </c>
      <c r="G123" s="53">
        <f>'Devize obiecte evaluari'!J392</f>
        <v>0</v>
      </c>
    </row>
    <row r="124" spans="1:7">
      <c r="A124" s="74" t="s">
        <v>18</v>
      </c>
      <c r="B124" s="2" t="s">
        <v>19</v>
      </c>
      <c r="C124" s="52">
        <f>'Devize obiecte evaluari'!F395</f>
        <v>0</v>
      </c>
      <c r="D124" s="52">
        <f>'Devize obiecte evaluari'!G395</f>
        <v>0</v>
      </c>
      <c r="E124" s="52">
        <f>'Devize obiecte evaluari'!H395</f>
        <v>0</v>
      </c>
      <c r="F124" s="52">
        <f>'Devize obiecte evaluari'!I395</f>
        <v>0</v>
      </c>
      <c r="G124" s="53">
        <f>'Devize obiecte evaluari'!J395</f>
        <v>0</v>
      </c>
    </row>
    <row r="125" spans="1:7">
      <c r="A125" s="74" t="s">
        <v>20</v>
      </c>
      <c r="B125" s="2" t="s">
        <v>21</v>
      </c>
      <c r="C125" s="52">
        <f>'Devize obiecte evaluari'!F409</f>
        <v>0</v>
      </c>
      <c r="D125" s="52">
        <f>'Devize obiecte evaluari'!G409</f>
        <v>0</v>
      </c>
      <c r="E125" s="52">
        <f>'Devize obiecte evaluari'!H409</f>
        <v>0</v>
      </c>
      <c r="F125" s="52">
        <f>'Devize obiecte evaluari'!I409</f>
        <v>0</v>
      </c>
      <c r="G125" s="53">
        <f>'Devize obiecte evaluari'!J409</f>
        <v>0</v>
      </c>
    </row>
    <row r="126" spans="1:7" ht="25.5">
      <c r="A126" s="74" t="s">
        <v>22</v>
      </c>
      <c r="B126" s="2" t="s">
        <v>23</v>
      </c>
      <c r="C126" s="36">
        <f>'Devize obiecte evaluari'!F412</f>
        <v>0</v>
      </c>
      <c r="D126" s="36">
        <f>'Devize obiecte evaluari'!G412</f>
        <v>0</v>
      </c>
      <c r="E126" s="36">
        <f>'Devize obiecte evaluari'!H412</f>
        <v>0</v>
      </c>
      <c r="F126" s="36">
        <f>'Devize obiecte evaluari'!I412</f>
        <v>0</v>
      </c>
      <c r="G126" s="37">
        <f>'Devize obiecte evaluari'!J412</f>
        <v>0</v>
      </c>
    </row>
    <row r="127" spans="1:7">
      <c r="A127" s="74" t="s">
        <v>24</v>
      </c>
      <c r="B127" s="2" t="s">
        <v>25</v>
      </c>
      <c r="C127" s="52">
        <f>'Devize obiecte evaluari'!F415</f>
        <v>0</v>
      </c>
      <c r="D127" s="52">
        <f>'Devize obiecte evaluari'!G415</f>
        <v>0</v>
      </c>
      <c r="E127" s="52">
        <f>'Devize obiecte evaluari'!H415</f>
        <v>0</v>
      </c>
      <c r="F127" s="52">
        <f>'Devize obiecte evaluari'!I415</f>
        <v>0</v>
      </c>
      <c r="G127" s="53">
        <f>'Devize obiecte evaluari'!J415</f>
        <v>0</v>
      </c>
    </row>
    <row r="128" spans="1:7" ht="15.75" thickBot="1">
      <c r="A128" s="163" t="s">
        <v>99</v>
      </c>
      <c r="B128" s="121" t="s">
        <v>26</v>
      </c>
      <c r="C128" s="122">
        <f>'Devize obiecte evaluari'!F418</f>
        <v>0</v>
      </c>
      <c r="D128" s="122">
        <f>'Devize obiecte evaluari'!G418</f>
        <v>0</v>
      </c>
      <c r="E128" s="122">
        <f>'Devize obiecte evaluari'!H418</f>
        <v>0</v>
      </c>
      <c r="F128" s="122">
        <f>'Devize obiecte evaluari'!I418</f>
        <v>0</v>
      </c>
      <c r="G128" s="123">
        <f>'Devize obiecte evaluari'!J418</f>
        <v>0</v>
      </c>
    </row>
    <row r="129" spans="1:7" ht="15" customHeight="1" thickBot="1">
      <c r="A129" s="685" t="s">
        <v>27</v>
      </c>
      <c r="B129" s="686"/>
      <c r="C129" s="82">
        <f>SUM(C121:C128)</f>
        <v>0</v>
      </c>
      <c r="D129" s="82">
        <f t="shared" ref="D129:E129" si="15">SUM(D121:D128)</f>
        <v>0</v>
      </c>
      <c r="E129" s="82">
        <f t="shared" si="15"/>
        <v>0</v>
      </c>
      <c r="F129" s="82">
        <f>SUM(F121:F128)</f>
        <v>0</v>
      </c>
      <c r="G129" s="83">
        <f t="shared" ref="G129" si="16">SUM(G121:G128)</f>
        <v>0</v>
      </c>
    </row>
    <row r="130" spans="1:7" ht="15" customHeight="1" thickBot="1">
      <c r="A130" s="683" t="s">
        <v>28</v>
      </c>
      <c r="B130" s="684"/>
      <c r="C130" s="119"/>
      <c r="D130" s="119"/>
      <c r="E130" s="119"/>
      <c r="F130" s="119"/>
      <c r="G130" s="120"/>
    </row>
    <row r="131" spans="1:7" ht="15.75" thickBot="1">
      <c r="A131" s="126"/>
      <c r="B131" s="127" t="s">
        <v>29</v>
      </c>
      <c r="C131" s="128">
        <f>'Devize obiecte evaluari'!F423</f>
        <v>0</v>
      </c>
      <c r="D131" s="128">
        <f>'Devize obiecte evaluari'!G423</f>
        <v>0</v>
      </c>
      <c r="E131" s="128">
        <f>'Devize obiecte evaluari'!H423</f>
        <v>0</v>
      </c>
      <c r="F131" s="128">
        <f>'Devize obiecte evaluari'!I423</f>
        <v>0</v>
      </c>
      <c r="G131" s="129">
        <f>'Devize obiecte evaluari'!J423</f>
        <v>0</v>
      </c>
    </row>
    <row r="132" spans="1:7" ht="15" customHeight="1" thickBot="1">
      <c r="A132" s="685" t="s">
        <v>30</v>
      </c>
      <c r="B132" s="686"/>
      <c r="C132" s="62">
        <f>C131</f>
        <v>0</v>
      </c>
      <c r="D132" s="62">
        <f>D131</f>
        <v>0</v>
      </c>
      <c r="E132" s="62">
        <f>E131</f>
        <v>0</v>
      </c>
      <c r="F132" s="62">
        <f>F131</f>
        <v>0</v>
      </c>
      <c r="G132" s="63">
        <f>G131</f>
        <v>0</v>
      </c>
    </row>
    <row r="133" spans="1:7" ht="15" customHeight="1" thickBot="1">
      <c r="A133" s="683" t="s">
        <v>31</v>
      </c>
      <c r="B133" s="684"/>
      <c r="C133" s="119"/>
      <c r="D133" s="119"/>
      <c r="E133" s="119"/>
      <c r="F133" s="119"/>
      <c r="G133" s="120"/>
    </row>
    <row r="134" spans="1:7">
      <c r="A134" s="124"/>
      <c r="B134" s="125" t="s">
        <v>32</v>
      </c>
      <c r="C134" s="130">
        <f>'Devize obiecte evaluari'!F428</f>
        <v>0</v>
      </c>
      <c r="D134" s="130">
        <f>'Devize obiecte evaluari'!G428</f>
        <v>0</v>
      </c>
      <c r="E134" s="130">
        <f>'Devize obiecte evaluari'!H428</f>
        <v>0</v>
      </c>
      <c r="F134" s="130">
        <f>'Devize obiecte evaluari'!I428</f>
        <v>0</v>
      </c>
      <c r="G134" s="131">
        <f>'Devize obiecte evaluari'!J428</f>
        <v>0</v>
      </c>
    </row>
    <row r="135" spans="1:7">
      <c r="A135" s="58"/>
      <c r="B135" s="59" t="s">
        <v>33</v>
      </c>
      <c r="C135" s="60">
        <f>'Devize obiecte evaluari'!F431</f>
        <v>0</v>
      </c>
      <c r="D135" s="60">
        <f>'Devize obiecte evaluari'!G431</f>
        <v>0</v>
      </c>
      <c r="E135" s="60">
        <f>'Devize obiecte evaluari'!H431</f>
        <v>0</v>
      </c>
      <c r="F135" s="60">
        <f>'Devize obiecte evaluari'!I431</f>
        <v>0</v>
      </c>
      <c r="G135" s="61">
        <f>'Devize obiecte evaluari'!J431</f>
        <v>0</v>
      </c>
    </row>
    <row r="136" spans="1:7" ht="15.75" thickBot="1">
      <c r="A136" s="132"/>
      <c r="B136" s="133" t="s">
        <v>34</v>
      </c>
      <c r="C136" s="134">
        <f>'Devize obiecte evaluari'!F434</f>
        <v>0</v>
      </c>
      <c r="D136" s="134">
        <f>'Devize obiecte evaluari'!G434</f>
        <v>0</v>
      </c>
      <c r="E136" s="134">
        <f>'Devize obiecte evaluari'!H434</f>
        <v>0</v>
      </c>
      <c r="F136" s="134">
        <f>'Devize obiecte evaluari'!I434</f>
        <v>0</v>
      </c>
      <c r="G136" s="135">
        <f>'Devize obiecte evaluari'!J434</f>
        <v>0</v>
      </c>
    </row>
    <row r="137" spans="1:7" ht="15.75" customHeight="1" thickBot="1">
      <c r="A137" s="685" t="s">
        <v>35</v>
      </c>
      <c r="B137" s="686"/>
      <c r="C137" s="62">
        <f>SUM(C134:C136)</f>
        <v>0</v>
      </c>
      <c r="D137" s="62">
        <f t="shared" ref="D137:E137" si="17">SUM(D134:D136)</f>
        <v>0</v>
      </c>
      <c r="E137" s="62">
        <f t="shared" si="17"/>
        <v>0</v>
      </c>
      <c r="F137" s="62">
        <f>SUM(F134:F136)</f>
        <v>0</v>
      </c>
      <c r="G137" s="63">
        <f t="shared" ref="G137" si="18">SUM(G134:G136)</f>
        <v>0</v>
      </c>
    </row>
    <row r="138" spans="1:7" ht="15.75" customHeight="1" thickBot="1">
      <c r="A138" s="685" t="s">
        <v>36</v>
      </c>
      <c r="B138" s="686"/>
      <c r="C138" s="62">
        <f>SUM(C129,C132,C137)</f>
        <v>0</v>
      </c>
      <c r="D138" s="62">
        <f t="shared" ref="D138:E138" si="19">SUM(D129,D132,D137)</f>
        <v>0</v>
      </c>
      <c r="E138" s="62">
        <f t="shared" si="19"/>
        <v>0</v>
      </c>
      <c r="F138" s="62">
        <f>SUM(F129,F132,F137)</f>
        <v>0</v>
      </c>
      <c r="G138" s="63">
        <f t="shared" ref="G138" si="20">SUM(G129,G132,G137)</f>
        <v>0</v>
      </c>
    </row>
    <row r="139" spans="1:7">
      <c r="A139" s="39"/>
      <c r="B139" s="39"/>
      <c r="C139" s="42"/>
      <c r="D139" s="42"/>
      <c r="E139" s="42"/>
      <c r="F139" s="42"/>
      <c r="G139" s="42"/>
    </row>
    <row r="140" spans="1:7">
      <c r="A140" s="42"/>
      <c r="C140" s="42"/>
      <c r="D140" s="64"/>
      <c r="E140" s="42"/>
      <c r="F140" s="42"/>
      <c r="G140" s="42"/>
    </row>
    <row r="141" spans="1:7">
      <c r="A141" s="39"/>
      <c r="B141" s="65" t="s">
        <v>37</v>
      </c>
      <c r="C141" s="39"/>
      <c r="D141" s="66"/>
      <c r="E141" s="39"/>
      <c r="F141" s="39"/>
      <c r="G141" s="39"/>
    </row>
    <row r="142" spans="1:7">
      <c r="A142" s="39"/>
      <c r="B142" s="65" t="str">
        <f>'Date Generale'!$C$7</f>
        <v>S.C. Tehno Consoulting Solutions S.R.L.</v>
      </c>
      <c r="C142" s="39"/>
      <c r="D142" s="39"/>
      <c r="E142" s="39"/>
      <c r="F142" s="39"/>
      <c r="G142" s="39"/>
    </row>
    <row r="143" spans="1:7">
      <c r="A143" s="39"/>
      <c r="B143" s="39"/>
      <c r="C143" s="39"/>
      <c r="D143" s="39"/>
      <c r="E143" s="39"/>
      <c r="F143" s="39"/>
      <c r="G143" s="39"/>
    </row>
    <row r="144" spans="1:7">
      <c r="A144" s="39"/>
      <c r="B144" s="39"/>
      <c r="C144" s="39"/>
      <c r="D144" s="39"/>
      <c r="E144" s="39"/>
      <c r="F144" s="39"/>
      <c r="G144" s="39"/>
    </row>
    <row r="145" spans="1:7">
      <c r="A145" s="67"/>
      <c r="B145" s="67"/>
      <c r="C145" s="67"/>
      <c r="D145" s="67"/>
      <c r="E145" s="67"/>
      <c r="F145" s="67"/>
      <c r="G145" s="67"/>
    </row>
    <row r="146" spans="1:7" ht="15.75">
      <c r="A146" s="41" t="str">
        <f>"Beneficiar: " &amp;'Date Generale'!$C$6</f>
        <v xml:space="preserve">Beneficiar: Judetul Arges </v>
      </c>
      <c r="B146" s="41"/>
      <c r="C146" s="42"/>
      <c r="D146" s="42"/>
      <c r="E146" s="42"/>
      <c r="F146" s="42"/>
      <c r="G146" s="42"/>
    </row>
    <row r="147" spans="1:7" ht="30.75" customHeight="1">
      <c r="A147" s="690" t="str">
        <f>"Denumire proiect: " &amp; 'Date Generale'!$C$3</f>
        <v>Denumire proiect: Modernizare DJ 703B Serbanesti (DJ659) - Silistea, km 70+410 - 77+826, 7.416km, in comunele Rociu si Cateasca</v>
      </c>
      <c r="B147" s="690"/>
      <c r="C147" s="690"/>
      <c r="D147" s="690"/>
      <c r="E147" s="690"/>
      <c r="F147" s="690"/>
      <c r="G147" s="690"/>
    </row>
    <row r="148" spans="1:7" ht="15.75">
      <c r="A148" s="235" t="str">
        <f>"Denumire Obiect: " &amp; 'Date Generale'!$C$4</f>
        <v>Denumire Obiect: Deviz actualizat 21.06.2019</v>
      </c>
      <c r="B148" s="41"/>
      <c r="C148" s="44"/>
      <c r="D148" s="44"/>
      <c r="E148" s="44"/>
      <c r="F148" s="44"/>
      <c r="G148" s="44"/>
    </row>
    <row r="149" spans="1:7" ht="15.75">
      <c r="A149" s="235"/>
      <c r="B149" s="41"/>
      <c r="C149" s="44"/>
      <c r="D149" s="44"/>
      <c r="E149" s="44"/>
      <c r="F149" s="44"/>
      <c r="G149" s="44"/>
    </row>
    <row r="150" spans="1:7">
      <c r="A150" s="687" t="str">
        <f>"Devizul Obiectului: " &amp;'Date Generale'!$E$65</f>
        <v>Devizul Obiectului: Obiect 005: 0</v>
      </c>
      <c r="B150" s="687"/>
      <c r="C150" s="687"/>
      <c r="D150" s="687"/>
      <c r="E150" s="687"/>
      <c r="F150" s="687"/>
      <c r="G150" s="687"/>
    </row>
    <row r="151" spans="1:7">
      <c r="A151" s="136"/>
      <c r="B151" s="136"/>
      <c r="C151" s="136"/>
      <c r="D151" s="136"/>
      <c r="E151" s="136"/>
      <c r="F151" s="136"/>
      <c r="G151" s="136"/>
    </row>
    <row r="152" spans="1:7" ht="15.75" thickBot="1">
      <c r="A152" s="45"/>
      <c r="B152" s="46"/>
      <c r="C152" s="33"/>
      <c r="D152" s="47" t="s">
        <v>2</v>
      </c>
      <c r="E152" s="48">
        <f>'Date Generale'!$C$54</f>
        <v>4.7233000000000001</v>
      </c>
      <c r="F152" s="49" t="s">
        <v>3</v>
      </c>
      <c r="G152" s="50" t="str">
        <f>'Date Generale'!$D$54</f>
        <v>21,06,2019</v>
      </c>
    </row>
    <row r="153" spans="1:7" ht="15.75" customHeight="1" thickBot="1">
      <c r="A153" s="688" t="s">
        <v>4</v>
      </c>
      <c r="B153" s="688" t="s">
        <v>5</v>
      </c>
      <c r="C153" s="689" t="s">
        <v>160</v>
      </c>
      <c r="D153" s="689"/>
      <c r="E153" s="24" t="s">
        <v>7</v>
      </c>
      <c r="F153" s="689" t="s">
        <v>159</v>
      </c>
      <c r="G153" s="689"/>
    </row>
    <row r="154" spans="1:7" ht="15.75" thickBot="1">
      <c r="A154" s="688"/>
      <c r="B154" s="688"/>
      <c r="C154" s="51" t="s">
        <v>9</v>
      </c>
      <c r="D154" s="51" t="s">
        <v>10</v>
      </c>
      <c r="E154" s="51" t="s">
        <v>9</v>
      </c>
      <c r="F154" s="51" t="s">
        <v>9</v>
      </c>
      <c r="G154" s="51" t="s">
        <v>10</v>
      </c>
    </row>
    <row r="155" spans="1:7" ht="15.75" thickBot="1">
      <c r="A155" s="1">
        <v>1</v>
      </c>
      <c r="B155" s="1">
        <v>2</v>
      </c>
      <c r="C155" s="1">
        <v>3</v>
      </c>
      <c r="D155" s="1">
        <v>4</v>
      </c>
      <c r="E155" s="1">
        <v>5</v>
      </c>
      <c r="F155" s="1">
        <v>6</v>
      </c>
      <c r="G155" s="1">
        <v>7</v>
      </c>
    </row>
    <row r="156" spans="1:7" ht="15" customHeight="1" thickBot="1">
      <c r="A156" s="683" t="s">
        <v>11</v>
      </c>
      <c r="B156" s="684"/>
      <c r="C156" s="119"/>
      <c r="D156" s="119"/>
      <c r="E156" s="119"/>
      <c r="F156" s="119"/>
      <c r="G156" s="120"/>
    </row>
    <row r="157" spans="1:7">
      <c r="A157" s="162" t="s">
        <v>12</v>
      </c>
      <c r="B157" s="116" t="s">
        <v>13</v>
      </c>
      <c r="C157" s="117">
        <f>'Devize obiecte evaluari'!F457</f>
        <v>0</v>
      </c>
      <c r="D157" s="117">
        <f>'Devize obiecte evaluari'!G457</f>
        <v>0</v>
      </c>
      <c r="E157" s="117">
        <f>'Devize obiecte evaluari'!H457</f>
        <v>0</v>
      </c>
      <c r="F157" s="117">
        <f>'Devize obiecte evaluari'!I457</f>
        <v>0</v>
      </c>
      <c r="G157" s="118">
        <f>'Devize obiecte evaluari'!J457</f>
        <v>0</v>
      </c>
    </row>
    <row r="158" spans="1:7">
      <c r="A158" s="74" t="s">
        <v>14</v>
      </c>
      <c r="B158" s="2" t="s">
        <v>15</v>
      </c>
      <c r="C158" s="54">
        <f>'Devize obiecte evaluari'!F460</f>
        <v>0</v>
      </c>
      <c r="D158" s="54">
        <f>'Devize obiecte evaluari'!G460</f>
        <v>0</v>
      </c>
      <c r="E158" s="54">
        <f>'Devize obiecte evaluari'!H460</f>
        <v>0</v>
      </c>
      <c r="F158" s="54">
        <f>'Devize obiecte evaluari'!I460</f>
        <v>0</v>
      </c>
      <c r="G158" s="55">
        <f>'Devize obiecte evaluari'!J460</f>
        <v>0</v>
      </c>
    </row>
    <row r="159" spans="1:7">
      <c r="A159" s="74" t="s">
        <v>16</v>
      </c>
      <c r="B159" s="2" t="s">
        <v>17</v>
      </c>
      <c r="C159" s="52">
        <f>'Devize obiecte evaluari'!F463</f>
        <v>0</v>
      </c>
      <c r="D159" s="52">
        <f>'Devize obiecte evaluari'!G463</f>
        <v>0</v>
      </c>
      <c r="E159" s="52">
        <f>'Devize obiecte evaluari'!H463</f>
        <v>0</v>
      </c>
      <c r="F159" s="52">
        <f>'Devize obiecte evaluari'!I463</f>
        <v>0</v>
      </c>
      <c r="G159" s="53">
        <f>'Devize obiecte evaluari'!J463</f>
        <v>0</v>
      </c>
    </row>
    <row r="160" spans="1:7">
      <c r="A160" s="74" t="s">
        <v>18</v>
      </c>
      <c r="B160" s="2" t="s">
        <v>19</v>
      </c>
      <c r="C160" s="52">
        <f>'Devize obiecte evaluari'!F466</f>
        <v>0</v>
      </c>
      <c r="D160" s="52">
        <f>'Devize obiecte evaluari'!G466</f>
        <v>0</v>
      </c>
      <c r="E160" s="52">
        <f>'Devize obiecte evaluari'!H466</f>
        <v>0</v>
      </c>
      <c r="F160" s="52">
        <f>'Devize obiecte evaluari'!I466</f>
        <v>0</v>
      </c>
      <c r="G160" s="53">
        <f>'Devize obiecte evaluari'!J466</f>
        <v>0</v>
      </c>
    </row>
    <row r="161" spans="1:7">
      <c r="A161" s="74" t="s">
        <v>20</v>
      </c>
      <c r="B161" s="2" t="s">
        <v>21</v>
      </c>
      <c r="C161" s="52">
        <f>'Devize obiecte evaluari'!F478</f>
        <v>0</v>
      </c>
      <c r="D161" s="52">
        <f>'Devize obiecte evaluari'!G478</f>
        <v>0</v>
      </c>
      <c r="E161" s="52">
        <f>'Devize obiecte evaluari'!H478</f>
        <v>0</v>
      </c>
      <c r="F161" s="52">
        <f>'Devize obiecte evaluari'!I478</f>
        <v>0</v>
      </c>
      <c r="G161" s="53">
        <f>'Devize obiecte evaluari'!J478</f>
        <v>0</v>
      </c>
    </row>
    <row r="162" spans="1:7" ht="25.5">
      <c r="A162" s="74" t="s">
        <v>22</v>
      </c>
      <c r="B162" s="2" t="s">
        <v>23</v>
      </c>
      <c r="C162" s="36">
        <f>'Devize obiecte evaluari'!F481</f>
        <v>0</v>
      </c>
      <c r="D162" s="36">
        <f>'Devize obiecte evaluari'!G481</f>
        <v>0</v>
      </c>
      <c r="E162" s="36">
        <f>'Devize obiecte evaluari'!H481</f>
        <v>0</v>
      </c>
      <c r="F162" s="36">
        <f>'Devize obiecte evaluari'!I481</f>
        <v>0</v>
      </c>
      <c r="G162" s="37">
        <f>'Devize obiecte evaluari'!J481</f>
        <v>0</v>
      </c>
    </row>
    <row r="163" spans="1:7">
      <c r="A163" s="74" t="s">
        <v>24</v>
      </c>
      <c r="B163" s="2" t="s">
        <v>25</v>
      </c>
      <c r="C163" s="52">
        <f>'Devize obiecte evaluari'!F484</f>
        <v>0</v>
      </c>
      <c r="D163" s="52">
        <f>'Devize obiecte evaluari'!G484</f>
        <v>0</v>
      </c>
      <c r="E163" s="52">
        <f>'Devize obiecte evaluari'!H484</f>
        <v>0</v>
      </c>
      <c r="F163" s="52">
        <f>'Devize obiecte evaluari'!I484</f>
        <v>0</v>
      </c>
      <c r="G163" s="53">
        <f>'Devize obiecte evaluari'!J484</f>
        <v>0</v>
      </c>
    </row>
    <row r="164" spans="1:7" ht="15.75" thickBot="1">
      <c r="A164" s="163" t="s">
        <v>99</v>
      </c>
      <c r="B164" s="121" t="s">
        <v>26</v>
      </c>
      <c r="C164" s="122">
        <f>'Devize obiecte evaluari'!F487</f>
        <v>0</v>
      </c>
      <c r="D164" s="122">
        <f>'Devize obiecte evaluari'!G487</f>
        <v>0</v>
      </c>
      <c r="E164" s="122">
        <f>'Devize obiecte evaluari'!H487</f>
        <v>0</v>
      </c>
      <c r="F164" s="122">
        <f>'Devize obiecte evaluari'!I487</f>
        <v>0</v>
      </c>
      <c r="G164" s="123">
        <f>'Devize obiecte evaluari'!J487</f>
        <v>0</v>
      </c>
    </row>
    <row r="165" spans="1:7" ht="15" customHeight="1" thickBot="1">
      <c r="A165" s="685" t="s">
        <v>27</v>
      </c>
      <c r="B165" s="686"/>
      <c r="C165" s="82">
        <f>SUM(C157:C164)</f>
        <v>0</v>
      </c>
      <c r="D165" s="82">
        <f t="shared" ref="D165:E165" si="21">SUM(D157:D164)</f>
        <v>0</v>
      </c>
      <c r="E165" s="82">
        <f t="shared" si="21"/>
        <v>0</v>
      </c>
      <c r="F165" s="82">
        <f>SUM(F157:F164)</f>
        <v>0</v>
      </c>
      <c r="G165" s="83">
        <f t="shared" ref="G165" si="22">SUM(G157:G164)</f>
        <v>0</v>
      </c>
    </row>
    <row r="166" spans="1:7" ht="15" customHeight="1" thickBot="1">
      <c r="A166" s="683" t="s">
        <v>28</v>
      </c>
      <c r="B166" s="684"/>
      <c r="C166" s="119"/>
      <c r="D166" s="119"/>
      <c r="E166" s="119"/>
      <c r="F166" s="119"/>
      <c r="G166" s="120"/>
    </row>
    <row r="167" spans="1:7" ht="15.75" thickBot="1">
      <c r="A167" s="126"/>
      <c r="B167" s="127" t="s">
        <v>29</v>
      </c>
      <c r="C167" s="128">
        <f>'Devize obiecte evaluari'!F492</f>
        <v>0</v>
      </c>
      <c r="D167" s="128">
        <f>'Devize obiecte evaluari'!G492</f>
        <v>0</v>
      </c>
      <c r="E167" s="128">
        <f>'Devize obiecte evaluari'!H492</f>
        <v>0</v>
      </c>
      <c r="F167" s="128">
        <f>'Devize obiecte evaluari'!I492</f>
        <v>0</v>
      </c>
      <c r="G167" s="129">
        <f>'Devize obiecte evaluari'!J492</f>
        <v>0</v>
      </c>
    </row>
    <row r="168" spans="1:7" ht="15" customHeight="1" thickBot="1">
      <c r="A168" s="685" t="s">
        <v>30</v>
      </c>
      <c r="B168" s="686"/>
      <c r="C168" s="62">
        <f>C167</f>
        <v>0</v>
      </c>
      <c r="D168" s="62">
        <f>D167</f>
        <v>0</v>
      </c>
      <c r="E168" s="62">
        <f>E167</f>
        <v>0</v>
      </c>
      <c r="F168" s="62">
        <f>F167</f>
        <v>0</v>
      </c>
      <c r="G168" s="63">
        <f>G167</f>
        <v>0</v>
      </c>
    </row>
    <row r="169" spans="1:7" ht="15" customHeight="1" thickBot="1">
      <c r="A169" s="683" t="s">
        <v>31</v>
      </c>
      <c r="B169" s="684"/>
      <c r="C169" s="119"/>
      <c r="D169" s="119"/>
      <c r="E169" s="119"/>
      <c r="F169" s="119"/>
      <c r="G169" s="120"/>
    </row>
    <row r="170" spans="1:7">
      <c r="A170" s="124"/>
      <c r="B170" s="125" t="s">
        <v>32</v>
      </c>
      <c r="C170" s="130">
        <f>'Devize obiecte evaluari'!F497</f>
        <v>0</v>
      </c>
      <c r="D170" s="130">
        <f>'Devize obiecte evaluari'!G497</f>
        <v>0</v>
      </c>
      <c r="E170" s="130">
        <f>'Devize obiecte evaluari'!H497</f>
        <v>0</v>
      </c>
      <c r="F170" s="130">
        <f>'Devize obiecte evaluari'!I497</f>
        <v>0</v>
      </c>
      <c r="G170" s="131">
        <f>'Devize obiecte evaluari'!J497</f>
        <v>0</v>
      </c>
    </row>
    <row r="171" spans="1:7">
      <c r="A171" s="58"/>
      <c r="B171" s="59" t="s">
        <v>33</v>
      </c>
      <c r="C171" s="60">
        <f>'Devize obiecte evaluari'!F500</f>
        <v>0</v>
      </c>
      <c r="D171" s="60">
        <f>'Devize obiecte evaluari'!G500</f>
        <v>0</v>
      </c>
      <c r="E171" s="60">
        <f>'Devize obiecte evaluari'!H500</f>
        <v>0</v>
      </c>
      <c r="F171" s="60">
        <f>'Devize obiecte evaluari'!I500</f>
        <v>0</v>
      </c>
      <c r="G171" s="61">
        <f>'Devize obiecte evaluari'!J500</f>
        <v>0</v>
      </c>
    </row>
    <row r="172" spans="1:7" ht="15.75" thickBot="1">
      <c r="A172" s="132"/>
      <c r="B172" s="133" t="s">
        <v>34</v>
      </c>
      <c r="C172" s="134">
        <f>'Devize obiecte evaluari'!F503</f>
        <v>0</v>
      </c>
      <c r="D172" s="134">
        <f>'Devize obiecte evaluari'!G503</f>
        <v>0</v>
      </c>
      <c r="E172" s="134">
        <f>'Devize obiecte evaluari'!H503</f>
        <v>0</v>
      </c>
      <c r="F172" s="134">
        <f>'Devize obiecte evaluari'!I503</f>
        <v>0</v>
      </c>
      <c r="G172" s="135">
        <f>'Devize obiecte evaluari'!J503</f>
        <v>0</v>
      </c>
    </row>
    <row r="173" spans="1:7" ht="15.75" customHeight="1" thickBot="1">
      <c r="A173" s="685" t="s">
        <v>35</v>
      </c>
      <c r="B173" s="686"/>
      <c r="C173" s="62">
        <f>SUM(C170:C172)</f>
        <v>0</v>
      </c>
      <c r="D173" s="62">
        <f t="shared" ref="D173:E173" si="23">SUM(D170:D172)</f>
        <v>0</v>
      </c>
      <c r="E173" s="62">
        <f t="shared" si="23"/>
        <v>0</v>
      </c>
      <c r="F173" s="62">
        <f>SUM(F170:F172)</f>
        <v>0</v>
      </c>
      <c r="G173" s="63">
        <f t="shared" ref="G173" si="24">SUM(G170:G172)</f>
        <v>0</v>
      </c>
    </row>
    <row r="174" spans="1:7" ht="15.75" customHeight="1" thickBot="1">
      <c r="A174" s="685" t="s">
        <v>36</v>
      </c>
      <c r="B174" s="686"/>
      <c r="C174" s="62">
        <f>SUM(C165,C168,C173)</f>
        <v>0</v>
      </c>
      <c r="D174" s="62">
        <f t="shared" ref="D174:E174" si="25">SUM(D165,D168,D173)</f>
        <v>0</v>
      </c>
      <c r="E174" s="62">
        <f t="shared" si="25"/>
        <v>0</v>
      </c>
      <c r="F174" s="62">
        <f>SUM(F165,F168,F173)</f>
        <v>0</v>
      </c>
      <c r="G174" s="63">
        <f t="shared" ref="G174" si="26">SUM(G165,G168,G173)</f>
        <v>0</v>
      </c>
    </row>
    <row r="175" spans="1:7">
      <c r="A175" s="39"/>
      <c r="B175" s="39"/>
      <c r="C175" s="42"/>
      <c r="D175" s="42"/>
      <c r="E175" s="42"/>
      <c r="F175" s="42"/>
      <c r="G175" s="42"/>
    </row>
    <row r="176" spans="1:7">
      <c r="A176" s="42"/>
      <c r="C176" s="42"/>
      <c r="D176" s="64"/>
      <c r="E176" s="42"/>
      <c r="F176" s="42"/>
      <c r="G176" s="42"/>
    </row>
    <row r="177" spans="1:7">
      <c r="A177" s="39"/>
      <c r="B177" s="65" t="s">
        <v>37</v>
      </c>
      <c r="C177" s="39"/>
      <c r="D177" s="66"/>
      <c r="E177" s="39"/>
      <c r="F177" s="39"/>
      <c r="G177" s="39"/>
    </row>
    <row r="178" spans="1:7">
      <c r="A178" s="39"/>
      <c r="B178" s="65" t="str">
        <f>'Date Generale'!$C$7</f>
        <v>S.C. Tehno Consoulting Solutions S.R.L.</v>
      </c>
      <c r="C178" s="39"/>
      <c r="D178" s="39"/>
      <c r="E178" s="39"/>
      <c r="F178" s="39"/>
      <c r="G178" s="39"/>
    </row>
    <row r="179" spans="1:7">
      <c r="A179" s="39"/>
      <c r="B179" s="39"/>
      <c r="C179" s="39"/>
      <c r="D179" s="39"/>
      <c r="E179" s="39"/>
      <c r="F179" s="39"/>
      <c r="G179" s="39"/>
    </row>
    <row r="180" spans="1:7">
      <c r="A180" s="39"/>
      <c r="B180" s="39"/>
      <c r="C180" s="39"/>
      <c r="D180" s="39"/>
      <c r="E180" s="39"/>
      <c r="F180" s="39"/>
      <c r="G180" s="39"/>
    </row>
    <row r="181" spans="1:7">
      <c r="A181" s="67"/>
      <c r="B181" s="67"/>
      <c r="C181" s="67"/>
      <c r="D181" s="67"/>
      <c r="E181" s="67"/>
      <c r="F181" s="67"/>
      <c r="G181" s="67"/>
    </row>
    <row r="182" spans="1:7" ht="15.75">
      <c r="A182" s="41" t="str">
        <f>"Beneficiar: " &amp;'Date Generale'!$C$6</f>
        <v xml:space="preserve">Beneficiar: Judetul Arges </v>
      </c>
      <c r="B182" s="41"/>
      <c r="C182" s="42"/>
      <c r="D182" s="42"/>
      <c r="E182" s="42"/>
      <c r="F182" s="42"/>
      <c r="G182" s="42"/>
    </row>
    <row r="183" spans="1:7" ht="34.5" customHeight="1">
      <c r="A183" s="690" t="str">
        <f>"Denumire proiect: " &amp; 'Date Generale'!$C$3</f>
        <v>Denumire proiect: Modernizare DJ 703B Serbanesti (DJ659) - Silistea, km 70+410 - 77+826, 7.416km, in comunele Rociu si Cateasca</v>
      </c>
      <c r="B183" s="690"/>
      <c r="C183" s="690"/>
      <c r="D183" s="690"/>
      <c r="E183" s="690"/>
      <c r="F183" s="690"/>
      <c r="G183" s="690"/>
    </row>
    <row r="184" spans="1:7" ht="15.75">
      <c r="A184" s="235" t="str">
        <f>"Denumire Obiect: " &amp; 'Date Generale'!$C$4</f>
        <v>Denumire Obiect: Deviz actualizat 21.06.2019</v>
      </c>
      <c r="B184" s="41"/>
      <c r="C184" s="44"/>
      <c r="D184" s="44"/>
      <c r="E184" s="44"/>
      <c r="F184" s="44"/>
      <c r="G184" s="44"/>
    </row>
    <row r="185" spans="1:7" ht="15.75">
      <c r="A185" s="235"/>
      <c r="B185" s="41"/>
      <c r="C185" s="44"/>
      <c r="D185" s="44"/>
      <c r="E185" s="44"/>
      <c r="F185" s="44"/>
      <c r="G185" s="44"/>
    </row>
    <row r="186" spans="1:7">
      <c r="A186" s="687" t="str">
        <f>"Devizul Obiectului: " &amp;'Date Generale'!$E$66</f>
        <v>Devizul Obiectului: Obiect 006: 0</v>
      </c>
      <c r="B186" s="687"/>
      <c r="C186" s="687"/>
      <c r="D186" s="687"/>
      <c r="E186" s="687"/>
      <c r="F186" s="687"/>
      <c r="G186" s="687"/>
    </row>
    <row r="187" spans="1:7">
      <c r="A187" s="136"/>
      <c r="B187" s="136"/>
      <c r="C187" s="136"/>
      <c r="D187" s="136"/>
      <c r="E187" s="136"/>
      <c r="F187" s="136"/>
      <c r="G187" s="136"/>
    </row>
    <row r="188" spans="1:7" ht="15.75" thickBot="1">
      <c r="A188" s="45"/>
      <c r="B188" s="46"/>
      <c r="C188" s="33"/>
      <c r="D188" s="47" t="s">
        <v>2</v>
      </c>
      <c r="E188" s="48">
        <f>'Date Generale'!$C$54</f>
        <v>4.7233000000000001</v>
      </c>
      <c r="F188" s="49" t="s">
        <v>3</v>
      </c>
      <c r="G188" s="50" t="str">
        <f>'Date Generale'!$D$54</f>
        <v>21,06,2019</v>
      </c>
    </row>
    <row r="189" spans="1:7" ht="15.75" customHeight="1" thickBot="1">
      <c r="A189" s="688" t="s">
        <v>4</v>
      </c>
      <c r="B189" s="688" t="s">
        <v>5</v>
      </c>
      <c r="C189" s="689" t="s">
        <v>160</v>
      </c>
      <c r="D189" s="689"/>
      <c r="E189" s="24" t="s">
        <v>7</v>
      </c>
      <c r="F189" s="689" t="s">
        <v>159</v>
      </c>
      <c r="G189" s="689"/>
    </row>
    <row r="190" spans="1:7" ht="15.75" thickBot="1">
      <c r="A190" s="688"/>
      <c r="B190" s="688"/>
      <c r="C190" s="51" t="s">
        <v>9</v>
      </c>
      <c r="D190" s="51" t="s">
        <v>10</v>
      </c>
      <c r="E190" s="51" t="s">
        <v>9</v>
      </c>
      <c r="F190" s="51" t="s">
        <v>9</v>
      </c>
      <c r="G190" s="51" t="s">
        <v>10</v>
      </c>
    </row>
    <row r="191" spans="1:7" ht="15.75" thickBot="1">
      <c r="A191" s="1">
        <v>1</v>
      </c>
      <c r="B191" s="1">
        <v>2</v>
      </c>
      <c r="C191" s="1">
        <v>3</v>
      </c>
      <c r="D191" s="1">
        <v>4</v>
      </c>
      <c r="E191" s="1">
        <v>5</v>
      </c>
      <c r="F191" s="1">
        <v>6</v>
      </c>
      <c r="G191" s="1">
        <v>7</v>
      </c>
    </row>
    <row r="192" spans="1:7" ht="15" customHeight="1" thickBot="1">
      <c r="A192" s="683" t="s">
        <v>11</v>
      </c>
      <c r="B192" s="684"/>
      <c r="C192" s="119"/>
      <c r="D192" s="119"/>
      <c r="E192" s="119"/>
      <c r="F192" s="119"/>
      <c r="G192" s="120"/>
    </row>
    <row r="193" spans="1:7">
      <c r="A193" s="162" t="s">
        <v>12</v>
      </c>
      <c r="B193" s="116" t="s">
        <v>13</v>
      </c>
      <c r="C193" s="117">
        <f>'Devize obiecte evaluari'!F526</f>
        <v>0</v>
      </c>
      <c r="D193" s="117">
        <f>'Devize obiecte evaluari'!G526</f>
        <v>0</v>
      </c>
      <c r="E193" s="117">
        <f>'Devize obiecte evaluari'!H526</f>
        <v>0</v>
      </c>
      <c r="F193" s="117">
        <f>'Devize obiecte evaluari'!I526</f>
        <v>0</v>
      </c>
      <c r="G193" s="118">
        <f>'Devize obiecte evaluari'!J526</f>
        <v>0</v>
      </c>
    </row>
    <row r="194" spans="1:7">
      <c r="A194" s="74" t="s">
        <v>14</v>
      </c>
      <c r="B194" s="2" t="s">
        <v>15</v>
      </c>
      <c r="C194" s="54">
        <f>'Devize obiecte evaluari'!F529</f>
        <v>0</v>
      </c>
      <c r="D194" s="54">
        <f>'Devize obiecte evaluari'!G529</f>
        <v>0</v>
      </c>
      <c r="E194" s="54">
        <f>'Devize obiecte evaluari'!H529</f>
        <v>0</v>
      </c>
      <c r="F194" s="54">
        <f>'Devize obiecte evaluari'!I529</f>
        <v>0</v>
      </c>
      <c r="G194" s="55">
        <f>'Devize obiecte evaluari'!J529</f>
        <v>0</v>
      </c>
    </row>
    <row r="195" spans="1:7">
      <c r="A195" s="74" t="s">
        <v>16</v>
      </c>
      <c r="B195" s="2" t="s">
        <v>17</v>
      </c>
      <c r="C195" s="52">
        <f>'Devize obiecte evaluari'!F532</f>
        <v>0</v>
      </c>
      <c r="D195" s="52">
        <f>'Devize obiecte evaluari'!G532</f>
        <v>0</v>
      </c>
      <c r="E195" s="52">
        <f>'Devize obiecte evaluari'!H532</f>
        <v>0</v>
      </c>
      <c r="F195" s="52">
        <f>'Devize obiecte evaluari'!I532</f>
        <v>0</v>
      </c>
      <c r="G195" s="53">
        <f>'Devize obiecte evaluari'!J532</f>
        <v>0</v>
      </c>
    </row>
    <row r="196" spans="1:7">
      <c r="A196" s="74" t="s">
        <v>18</v>
      </c>
      <c r="B196" s="2" t="s">
        <v>19</v>
      </c>
      <c r="C196" s="52">
        <f>'Devize obiecte evaluari'!F535</f>
        <v>0</v>
      </c>
      <c r="D196" s="52">
        <f>'Devize obiecte evaluari'!G535</f>
        <v>0</v>
      </c>
      <c r="E196" s="52">
        <f>'Devize obiecte evaluari'!H535</f>
        <v>0</v>
      </c>
      <c r="F196" s="52">
        <f>'Devize obiecte evaluari'!I535</f>
        <v>0</v>
      </c>
      <c r="G196" s="53">
        <f>'Devize obiecte evaluari'!J535</f>
        <v>0</v>
      </c>
    </row>
    <row r="197" spans="1:7">
      <c r="A197" s="74" t="s">
        <v>20</v>
      </c>
      <c r="B197" s="2" t="s">
        <v>21</v>
      </c>
      <c r="C197" s="52">
        <f>'Devize obiecte evaluari'!F549</f>
        <v>0</v>
      </c>
      <c r="D197" s="52">
        <f>'Devize obiecte evaluari'!G549</f>
        <v>0</v>
      </c>
      <c r="E197" s="52">
        <f>'Devize obiecte evaluari'!H549</f>
        <v>0</v>
      </c>
      <c r="F197" s="52">
        <f>'Devize obiecte evaluari'!I549</f>
        <v>0</v>
      </c>
      <c r="G197" s="53">
        <f>'Devize obiecte evaluari'!J549</f>
        <v>0</v>
      </c>
    </row>
    <row r="198" spans="1:7" ht="25.5">
      <c r="A198" s="74" t="s">
        <v>22</v>
      </c>
      <c r="B198" s="2" t="s">
        <v>23</v>
      </c>
      <c r="C198" s="36">
        <f>'Devize obiecte evaluari'!F552</f>
        <v>0</v>
      </c>
      <c r="D198" s="36">
        <f>'Devize obiecte evaluari'!G552</f>
        <v>0</v>
      </c>
      <c r="E198" s="36">
        <f>'Devize obiecte evaluari'!H552</f>
        <v>0</v>
      </c>
      <c r="F198" s="36">
        <f>'Devize obiecte evaluari'!I552</f>
        <v>0</v>
      </c>
      <c r="G198" s="37">
        <f>'Devize obiecte evaluari'!J552</f>
        <v>0</v>
      </c>
    </row>
    <row r="199" spans="1:7">
      <c r="A199" s="74" t="s">
        <v>24</v>
      </c>
      <c r="B199" s="2" t="s">
        <v>25</v>
      </c>
      <c r="C199" s="52">
        <f>'Devize obiecte evaluari'!F555</f>
        <v>0</v>
      </c>
      <c r="D199" s="52">
        <f>'Devize obiecte evaluari'!G555</f>
        <v>0</v>
      </c>
      <c r="E199" s="52">
        <f>'Devize obiecte evaluari'!H555</f>
        <v>0</v>
      </c>
      <c r="F199" s="52">
        <f>'Devize obiecte evaluari'!I555</f>
        <v>0</v>
      </c>
      <c r="G199" s="53">
        <f>'Devize obiecte evaluari'!J555</f>
        <v>0</v>
      </c>
    </row>
    <row r="200" spans="1:7" ht="15.75" thickBot="1">
      <c r="A200" s="163" t="s">
        <v>99</v>
      </c>
      <c r="B200" s="121" t="s">
        <v>26</v>
      </c>
      <c r="C200" s="122">
        <f>'Devize obiecte evaluari'!F558</f>
        <v>0</v>
      </c>
      <c r="D200" s="122">
        <f>'Devize obiecte evaluari'!G558</f>
        <v>0</v>
      </c>
      <c r="E200" s="122">
        <f>'Devize obiecte evaluari'!H558</f>
        <v>0</v>
      </c>
      <c r="F200" s="122">
        <f>'Devize obiecte evaluari'!I558</f>
        <v>0</v>
      </c>
      <c r="G200" s="123">
        <f>'Devize obiecte evaluari'!J558</f>
        <v>0</v>
      </c>
    </row>
    <row r="201" spans="1:7" ht="15" customHeight="1" thickBot="1">
      <c r="A201" s="685" t="s">
        <v>27</v>
      </c>
      <c r="B201" s="686"/>
      <c r="C201" s="82">
        <f>SUM(C193:C200)</f>
        <v>0</v>
      </c>
      <c r="D201" s="82">
        <f t="shared" ref="D201:E201" si="27">SUM(D193:D200)</f>
        <v>0</v>
      </c>
      <c r="E201" s="82">
        <f t="shared" si="27"/>
        <v>0</v>
      </c>
      <c r="F201" s="82">
        <f>SUM(F193:F200)</f>
        <v>0</v>
      </c>
      <c r="G201" s="83">
        <f t="shared" ref="G201" si="28">SUM(G193:G200)</f>
        <v>0</v>
      </c>
    </row>
    <row r="202" spans="1:7" ht="15" customHeight="1" thickBot="1">
      <c r="A202" s="683" t="s">
        <v>28</v>
      </c>
      <c r="B202" s="684"/>
      <c r="C202" s="119"/>
      <c r="D202" s="119"/>
      <c r="E202" s="119"/>
      <c r="F202" s="119"/>
      <c r="G202" s="120"/>
    </row>
    <row r="203" spans="1:7" ht="15.75" thickBot="1">
      <c r="A203" s="126"/>
      <c r="B203" s="127" t="s">
        <v>29</v>
      </c>
      <c r="C203" s="128">
        <f>'Devize obiecte evaluari'!F563</f>
        <v>0</v>
      </c>
      <c r="D203" s="128">
        <f>'Devize obiecte evaluari'!G563</f>
        <v>0</v>
      </c>
      <c r="E203" s="128">
        <f>'Devize obiecte evaluari'!H563</f>
        <v>0</v>
      </c>
      <c r="F203" s="128">
        <f>'Devize obiecte evaluari'!I563</f>
        <v>0</v>
      </c>
      <c r="G203" s="129">
        <f>'Devize obiecte evaluari'!J563</f>
        <v>0</v>
      </c>
    </row>
    <row r="204" spans="1:7" ht="15" customHeight="1" thickBot="1">
      <c r="A204" s="685" t="s">
        <v>30</v>
      </c>
      <c r="B204" s="686"/>
      <c r="C204" s="62">
        <f>C203</f>
        <v>0</v>
      </c>
      <c r="D204" s="62">
        <f>D203</f>
        <v>0</v>
      </c>
      <c r="E204" s="62">
        <f>E203</f>
        <v>0</v>
      </c>
      <c r="F204" s="62">
        <f>F203</f>
        <v>0</v>
      </c>
      <c r="G204" s="63">
        <f>G203</f>
        <v>0</v>
      </c>
    </row>
    <row r="205" spans="1:7" ht="15" customHeight="1" thickBot="1">
      <c r="A205" s="683" t="s">
        <v>31</v>
      </c>
      <c r="B205" s="684"/>
      <c r="C205" s="119"/>
      <c r="D205" s="119"/>
      <c r="E205" s="119"/>
      <c r="F205" s="119"/>
      <c r="G205" s="120"/>
    </row>
    <row r="206" spans="1:7">
      <c r="A206" s="124"/>
      <c r="B206" s="125" t="s">
        <v>32</v>
      </c>
      <c r="C206" s="130">
        <f>'Devize obiecte evaluari'!F568</f>
        <v>0</v>
      </c>
      <c r="D206" s="130">
        <f>'Devize obiecte evaluari'!G568</f>
        <v>0</v>
      </c>
      <c r="E206" s="130">
        <f>'Devize obiecte evaluari'!H568</f>
        <v>0</v>
      </c>
      <c r="F206" s="130">
        <f>'Devize obiecte evaluari'!I568</f>
        <v>0</v>
      </c>
      <c r="G206" s="131">
        <f>'Devize obiecte evaluari'!J568</f>
        <v>0</v>
      </c>
    </row>
    <row r="207" spans="1:7">
      <c r="A207" s="58"/>
      <c r="B207" s="59" t="s">
        <v>33</v>
      </c>
      <c r="C207" s="60">
        <f>'Devize obiecte evaluari'!F571</f>
        <v>0</v>
      </c>
      <c r="D207" s="60">
        <f>'Devize obiecte evaluari'!G571</f>
        <v>0</v>
      </c>
      <c r="E207" s="60">
        <f>'Devize obiecte evaluari'!H571</f>
        <v>0</v>
      </c>
      <c r="F207" s="60">
        <f>'Devize obiecte evaluari'!I571</f>
        <v>0</v>
      </c>
      <c r="G207" s="61">
        <f>'Devize obiecte evaluari'!J571</f>
        <v>0</v>
      </c>
    </row>
    <row r="208" spans="1:7" ht="15.75" thickBot="1">
      <c r="A208" s="132"/>
      <c r="B208" s="133" t="s">
        <v>34</v>
      </c>
      <c r="C208" s="134">
        <f>'Devize obiecte evaluari'!F574</f>
        <v>0</v>
      </c>
      <c r="D208" s="134">
        <f>'Devize obiecte evaluari'!G574</f>
        <v>0</v>
      </c>
      <c r="E208" s="134">
        <f>'Devize obiecte evaluari'!H574</f>
        <v>0</v>
      </c>
      <c r="F208" s="134">
        <f>'Devize obiecte evaluari'!I574</f>
        <v>0</v>
      </c>
      <c r="G208" s="135">
        <f>'Devize obiecte evaluari'!J574</f>
        <v>0</v>
      </c>
    </row>
    <row r="209" spans="1:7" ht="15.75" customHeight="1" thickBot="1">
      <c r="A209" s="685" t="s">
        <v>35</v>
      </c>
      <c r="B209" s="686"/>
      <c r="C209" s="62">
        <f>SUM(C206:C208)</f>
        <v>0</v>
      </c>
      <c r="D209" s="62">
        <f t="shared" ref="D209:E209" si="29">SUM(D206:D208)</f>
        <v>0</v>
      </c>
      <c r="E209" s="62">
        <f t="shared" si="29"/>
        <v>0</v>
      </c>
      <c r="F209" s="62">
        <f>SUM(F206:F208)</f>
        <v>0</v>
      </c>
      <c r="G209" s="63">
        <f t="shared" ref="G209" si="30">SUM(G206:G208)</f>
        <v>0</v>
      </c>
    </row>
    <row r="210" spans="1:7" ht="15.75" customHeight="1" thickBot="1">
      <c r="A210" s="685" t="s">
        <v>36</v>
      </c>
      <c r="B210" s="686"/>
      <c r="C210" s="62">
        <f>SUM(C201,C204,C209)</f>
        <v>0</v>
      </c>
      <c r="D210" s="62">
        <f t="shared" ref="D210:E210" si="31">SUM(D201,D204,D209)</f>
        <v>0</v>
      </c>
      <c r="E210" s="62">
        <f t="shared" si="31"/>
        <v>0</v>
      </c>
      <c r="F210" s="62">
        <f>SUM(F201,F204,F209)</f>
        <v>0</v>
      </c>
      <c r="G210" s="63">
        <f t="shared" ref="G210" si="32">SUM(G201,G204,G209)</f>
        <v>0</v>
      </c>
    </row>
    <row r="211" spans="1:7">
      <c r="A211" s="39"/>
      <c r="B211" s="39"/>
      <c r="C211" s="42"/>
      <c r="D211" s="42"/>
      <c r="E211" s="42"/>
      <c r="F211" s="42"/>
      <c r="G211" s="42"/>
    </row>
    <row r="212" spans="1:7">
      <c r="A212" s="42"/>
      <c r="C212" s="42"/>
      <c r="D212" s="64"/>
      <c r="E212" s="42"/>
      <c r="F212" s="42"/>
      <c r="G212" s="42"/>
    </row>
    <row r="213" spans="1:7">
      <c r="A213" s="39"/>
      <c r="B213" s="65" t="s">
        <v>37</v>
      </c>
      <c r="C213" s="39"/>
      <c r="D213" s="66"/>
      <c r="E213" s="39"/>
      <c r="F213" s="39"/>
      <c r="G213" s="39"/>
    </row>
    <row r="214" spans="1:7">
      <c r="A214" s="39"/>
      <c r="B214" s="65" t="str">
        <f>'Date Generale'!$C$7</f>
        <v>S.C. Tehno Consoulting Solutions S.R.L.</v>
      </c>
      <c r="C214" s="39"/>
      <c r="D214" s="39"/>
      <c r="E214" s="39"/>
      <c r="F214" s="39"/>
      <c r="G214" s="39"/>
    </row>
    <row r="215" spans="1:7">
      <c r="A215" s="39"/>
      <c r="B215" s="39"/>
      <c r="C215" s="39"/>
      <c r="D215" s="39"/>
      <c r="E215" s="39"/>
      <c r="F215" s="39"/>
      <c r="G215" s="39"/>
    </row>
    <row r="216" spans="1:7">
      <c r="A216" s="39"/>
      <c r="B216" s="39"/>
      <c r="C216" s="39"/>
      <c r="D216" s="39"/>
      <c r="E216" s="39"/>
      <c r="F216" s="39"/>
      <c r="G216" s="39"/>
    </row>
    <row r="217" spans="1:7">
      <c r="A217" s="67"/>
      <c r="B217" s="67"/>
      <c r="C217" s="67"/>
      <c r="D217" s="67"/>
      <c r="E217" s="67"/>
      <c r="F217" s="67"/>
      <c r="G217" s="67"/>
    </row>
    <row r="218" spans="1:7" ht="15.75">
      <c r="A218" s="41" t="str">
        <f>"Beneficiar: " &amp;'Date Generale'!$C$6</f>
        <v xml:space="preserve">Beneficiar: Judetul Arges </v>
      </c>
      <c r="B218" s="41"/>
      <c r="C218" s="42"/>
      <c r="D218" s="42"/>
      <c r="E218" s="42"/>
      <c r="F218" s="42"/>
      <c r="G218" s="42"/>
    </row>
    <row r="219" spans="1:7" ht="33.75" customHeight="1">
      <c r="A219" s="690" t="str">
        <f>"Denumire proiect: " &amp; 'Date Generale'!$C$3</f>
        <v>Denumire proiect: Modernizare DJ 703B Serbanesti (DJ659) - Silistea, km 70+410 - 77+826, 7.416km, in comunele Rociu si Cateasca</v>
      </c>
      <c r="B219" s="690"/>
      <c r="C219" s="690"/>
      <c r="D219" s="690"/>
      <c r="E219" s="690"/>
      <c r="F219" s="690"/>
      <c r="G219" s="690"/>
    </row>
    <row r="220" spans="1:7" ht="15.75">
      <c r="A220" s="235" t="str">
        <f>"Denumire Obiect: " &amp; 'Date Generale'!$C$4</f>
        <v>Denumire Obiect: Deviz actualizat 21.06.2019</v>
      </c>
      <c r="B220" s="41"/>
      <c r="C220" s="44"/>
      <c r="D220" s="44"/>
      <c r="E220" s="44"/>
      <c r="F220" s="44"/>
      <c r="G220" s="44"/>
    </row>
    <row r="221" spans="1:7" ht="15.75">
      <c r="A221" s="235"/>
      <c r="B221" s="41"/>
      <c r="C221" s="44"/>
      <c r="D221" s="44"/>
      <c r="E221" s="44"/>
      <c r="F221" s="44"/>
      <c r="G221" s="44"/>
    </row>
    <row r="222" spans="1:7">
      <c r="A222" s="687" t="str">
        <f>"Devizul Obiectului: " &amp;'Date Generale'!$E$67</f>
        <v>Devizul Obiectului: Obiect 007: 0</v>
      </c>
      <c r="B222" s="687"/>
      <c r="C222" s="687"/>
      <c r="D222" s="687"/>
      <c r="E222" s="687"/>
      <c r="F222" s="687"/>
      <c r="G222" s="687"/>
    </row>
    <row r="223" spans="1:7">
      <c r="A223" s="136"/>
      <c r="B223" s="136"/>
      <c r="C223" s="136"/>
      <c r="D223" s="136"/>
      <c r="E223" s="136"/>
      <c r="F223" s="136"/>
      <c r="G223" s="136"/>
    </row>
    <row r="224" spans="1:7" ht="15.75" thickBot="1">
      <c r="A224" s="45"/>
      <c r="B224" s="46"/>
      <c r="C224" s="33"/>
      <c r="D224" s="47" t="s">
        <v>2</v>
      </c>
      <c r="E224" s="48">
        <f>'Date Generale'!$C$54</f>
        <v>4.7233000000000001</v>
      </c>
      <c r="F224" s="49" t="s">
        <v>3</v>
      </c>
      <c r="G224" s="50" t="str">
        <f>'Date Generale'!$D$54</f>
        <v>21,06,2019</v>
      </c>
    </row>
    <row r="225" spans="1:7" ht="15.75" customHeight="1" thickBot="1">
      <c r="A225" s="688" t="s">
        <v>4</v>
      </c>
      <c r="B225" s="688" t="s">
        <v>5</v>
      </c>
      <c r="C225" s="689" t="s">
        <v>160</v>
      </c>
      <c r="D225" s="689"/>
      <c r="E225" s="24" t="s">
        <v>7</v>
      </c>
      <c r="F225" s="689" t="s">
        <v>159</v>
      </c>
      <c r="G225" s="689"/>
    </row>
    <row r="226" spans="1:7" ht="15.75" thickBot="1">
      <c r="A226" s="688"/>
      <c r="B226" s="688"/>
      <c r="C226" s="51" t="s">
        <v>9</v>
      </c>
      <c r="D226" s="51" t="s">
        <v>10</v>
      </c>
      <c r="E226" s="51" t="s">
        <v>9</v>
      </c>
      <c r="F226" s="51" t="s">
        <v>9</v>
      </c>
      <c r="G226" s="51" t="s">
        <v>10</v>
      </c>
    </row>
    <row r="227" spans="1:7" ht="15.75" thickBot="1">
      <c r="A227" s="1">
        <v>1</v>
      </c>
      <c r="B227" s="1">
        <v>2</v>
      </c>
      <c r="C227" s="1">
        <v>3</v>
      </c>
      <c r="D227" s="1">
        <v>4</v>
      </c>
      <c r="E227" s="1">
        <v>5</v>
      </c>
      <c r="F227" s="1">
        <v>6</v>
      </c>
      <c r="G227" s="1">
        <v>7</v>
      </c>
    </row>
    <row r="228" spans="1:7" ht="15" customHeight="1" thickBot="1">
      <c r="A228" s="683" t="s">
        <v>11</v>
      </c>
      <c r="B228" s="684"/>
      <c r="C228" s="119"/>
      <c r="D228" s="119"/>
      <c r="E228" s="119"/>
      <c r="F228" s="119"/>
      <c r="G228" s="120"/>
    </row>
    <row r="229" spans="1:7">
      <c r="A229" s="162" t="s">
        <v>12</v>
      </c>
      <c r="B229" s="116" t="s">
        <v>13</v>
      </c>
      <c r="C229" s="117">
        <f>'Devize obiecte evaluari'!F597</f>
        <v>0</v>
      </c>
      <c r="D229" s="117">
        <f>'Devize obiecte evaluari'!G597</f>
        <v>0</v>
      </c>
      <c r="E229" s="117">
        <f>'Devize obiecte evaluari'!H597</f>
        <v>0</v>
      </c>
      <c r="F229" s="117">
        <f>'Devize obiecte evaluari'!I597</f>
        <v>0</v>
      </c>
      <c r="G229" s="118">
        <f>'Devize obiecte evaluari'!J597</f>
        <v>0</v>
      </c>
    </row>
    <row r="230" spans="1:7">
      <c r="A230" s="74" t="s">
        <v>14</v>
      </c>
      <c r="B230" s="2" t="s">
        <v>15</v>
      </c>
      <c r="C230" s="54">
        <f>'Devize obiecte evaluari'!F600</f>
        <v>0</v>
      </c>
      <c r="D230" s="54">
        <f>'Devize obiecte evaluari'!G600</f>
        <v>0</v>
      </c>
      <c r="E230" s="54">
        <f>'Devize obiecte evaluari'!H600</f>
        <v>0</v>
      </c>
      <c r="F230" s="54">
        <f>'Devize obiecte evaluari'!I600</f>
        <v>0</v>
      </c>
      <c r="G230" s="55">
        <f>'Devize obiecte evaluari'!J600</f>
        <v>0</v>
      </c>
    </row>
    <row r="231" spans="1:7">
      <c r="A231" s="74" t="s">
        <v>16</v>
      </c>
      <c r="B231" s="2" t="s">
        <v>17</v>
      </c>
      <c r="C231" s="52">
        <f>'Devize obiecte evaluari'!F603</f>
        <v>0</v>
      </c>
      <c r="D231" s="52">
        <f>'Devize obiecte evaluari'!G603</f>
        <v>0</v>
      </c>
      <c r="E231" s="52">
        <f>'Devize obiecte evaluari'!H603</f>
        <v>0</v>
      </c>
      <c r="F231" s="52">
        <f>'Devize obiecte evaluari'!I603</f>
        <v>0</v>
      </c>
      <c r="G231" s="53">
        <f>'Devize obiecte evaluari'!J603</f>
        <v>0</v>
      </c>
    </row>
    <row r="232" spans="1:7">
      <c r="A232" s="74" t="s">
        <v>18</v>
      </c>
      <c r="B232" s="2" t="s">
        <v>19</v>
      </c>
      <c r="C232" s="52">
        <f>'Devize obiecte evaluari'!F606</f>
        <v>0</v>
      </c>
      <c r="D232" s="52">
        <f>'Devize obiecte evaluari'!G606</f>
        <v>0</v>
      </c>
      <c r="E232" s="52">
        <f>'Devize obiecte evaluari'!H606</f>
        <v>0</v>
      </c>
      <c r="F232" s="52">
        <f>'Devize obiecte evaluari'!I606</f>
        <v>0</v>
      </c>
      <c r="G232" s="53">
        <f>'Devize obiecte evaluari'!J606</f>
        <v>0</v>
      </c>
    </row>
    <row r="233" spans="1:7">
      <c r="A233" s="74" t="s">
        <v>20</v>
      </c>
      <c r="B233" s="2" t="s">
        <v>21</v>
      </c>
      <c r="C233" s="52">
        <f>'Devize obiecte evaluari'!F621</f>
        <v>0</v>
      </c>
      <c r="D233" s="52">
        <f>'Devize obiecte evaluari'!G621</f>
        <v>0</v>
      </c>
      <c r="E233" s="52">
        <f>'Devize obiecte evaluari'!H621</f>
        <v>0</v>
      </c>
      <c r="F233" s="52">
        <f>'Devize obiecte evaluari'!I621</f>
        <v>0</v>
      </c>
      <c r="G233" s="53">
        <f>'Devize obiecte evaluari'!J621</f>
        <v>0</v>
      </c>
    </row>
    <row r="234" spans="1:7" ht="25.5">
      <c r="A234" s="74" t="s">
        <v>22</v>
      </c>
      <c r="B234" s="2" t="s">
        <v>23</v>
      </c>
      <c r="C234" s="36">
        <f>'Devize obiecte evaluari'!F624</f>
        <v>0</v>
      </c>
      <c r="D234" s="36">
        <f>'Devize obiecte evaluari'!G624</f>
        <v>0</v>
      </c>
      <c r="E234" s="36">
        <f>'Devize obiecte evaluari'!H624</f>
        <v>0</v>
      </c>
      <c r="F234" s="36">
        <f>'Devize obiecte evaluari'!I624</f>
        <v>0</v>
      </c>
      <c r="G234" s="37">
        <f>'Devize obiecte evaluari'!J624</f>
        <v>0</v>
      </c>
    </row>
    <row r="235" spans="1:7">
      <c r="A235" s="74" t="s">
        <v>24</v>
      </c>
      <c r="B235" s="2" t="s">
        <v>25</v>
      </c>
      <c r="C235" s="52">
        <f>'Devize obiecte evaluari'!F627</f>
        <v>0</v>
      </c>
      <c r="D235" s="52">
        <f>'Devize obiecte evaluari'!G627</f>
        <v>0</v>
      </c>
      <c r="E235" s="52">
        <f>'Devize obiecte evaluari'!H627</f>
        <v>0</v>
      </c>
      <c r="F235" s="52">
        <f>'Devize obiecte evaluari'!I627</f>
        <v>0</v>
      </c>
      <c r="G235" s="53">
        <f>'Devize obiecte evaluari'!J627</f>
        <v>0</v>
      </c>
    </row>
    <row r="236" spans="1:7" ht="15.75" thickBot="1">
      <c r="A236" s="163" t="s">
        <v>99</v>
      </c>
      <c r="B236" s="121" t="s">
        <v>26</v>
      </c>
      <c r="C236" s="122">
        <f>'Devize obiecte evaluari'!F630</f>
        <v>0</v>
      </c>
      <c r="D236" s="122">
        <f>'Devize obiecte evaluari'!G630</f>
        <v>0</v>
      </c>
      <c r="E236" s="122">
        <f>'Devize obiecte evaluari'!H630</f>
        <v>0</v>
      </c>
      <c r="F236" s="122">
        <f>'Devize obiecte evaluari'!I630</f>
        <v>0</v>
      </c>
      <c r="G236" s="123">
        <f>'Devize obiecte evaluari'!J630</f>
        <v>0</v>
      </c>
    </row>
    <row r="237" spans="1:7" ht="15" customHeight="1" thickBot="1">
      <c r="A237" s="685" t="s">
        <v>27</v>
      </c>
      <c r="B237" s="686"/>
      <c r="C237" s="82">
        <f>SUM(C229:C236)</f>
        <v>0</v>
      </c>
      <c r="D237" s="82">
        <f t="shared" ref="D237:E237" si="33">SUM(D229:D236)</f>
        <v>0</v>
      </c>
      <c r="E237" s="82">
        <f t="shared" si="33"/>
        <v>0</v>
      </c>
      <c r="F237" s="82">
        <f>SUM(F229:F236)</f>
        <v>0</v>
      </c>
      <c r="G237" s="83">
        <f t="shared" ref="G237" si="34">SUM(G229:G236)</f>
        <v>0</v>
      </c>
    </row>
    <row r="238" spans="1:7" ht="15" customHeight="1" thickBot="1">
      <c r="A238" s="683" t="s">
        <v>28</v>
      </c>
      <c r="B238" s="684"/>
      <c r="C238" s="119"/>
      <c r="D238" s="119"/>
      <c r="E238" s="119"/>
      <c r="F238" s="119"/>
      <c r="G238" s="120"/>
    </row>
    <row r="239" spans="1:7" ht="15.75" thickBot="1">
      <c r="A239" s="126"/>
      <c r="B239" s="127" t="s">
        <v>29</v>
      </c>
      <c r="C239" s="128">
        <f>'Devize obiecte evaluari'!F635</f>
        <v>0</v>
      </c>
      <c r="D239" s="128">
        <f>'Devize obiecte evaluari'!G635</f>
        <v>0</v>
      </c>
      <c r="E239" s="128">
        <f>'Devize obiecte evaluari'!H635</f>
        <v>0</v>
      </c>
      <c r="F239" s="128">
        <f>'Devize obiecte evaluari'!I635</f>
        <v>0</v>
      </c>
      <c r="G239" s="129">
        <f>'Devize obiecte evaluari'!J635</f>
        <v>0</v>
      </c>
    </row>
    <row r="240" spans="1:7" ht="15" customHeight="1" thickBot="1">
      <c r="A240" s="685" t="s">
        <v>30</v>
      </c>
      <c r="B240" s="686"/>
      <c r="C240" s="62">
        <f>C239</f>
        <v>0</v>
      </c>
      <c r="D240" s="62">
        <f>D239</f>
        <v>0</v>
      </c>
      <c r="E240" s="62">
        <f>E239</f>
        <v>0</v>
      </c>
      <c r="F240" s="62">
        <f>F239</f>
        <v>0</v>
      </c>
      <c r="G240" s="63">
        <f>G239</f>
        <v>0</v>
      </c>
    </row>
    <row r="241" spans="1:7" ht="15" customHeight="1" thickBot="1">
      <c r="A241" s="683" t="s">
        <v>31</v>
      </c>
      <c r="B241" s="684"/>
      <c r="C241" s="119"/>
      <c r="D241" s="119"/>
      <c r="E241" s="119"/>
      <c r="F241" s="119"/>
      <c r="G241" s="120"/>
    </row>
    <row r="242" spans="1:7">
      <c r="A242" s="124"/>
      <c r="B242" s="125" t="s">
        <v>32</v>
      </c>
      <c r="C242" s="130">
        <f>'Devize obiecte evaluari'!F640</f>
        <v>0</v>
      </c>
      <c r="D242" s="130">
        <f>'Devize obiecte evaluari'!G640</f>
        <v>0</v>
      </c>
      <c r="E242" s="130">
        <f>'Devize obiecte evaluari'!H640</f>
        <v>0</v>
      </c>
      <c r="F242" s="130">
        <f>'Devize obiecte evaluari'!I640</f>
        <v>0</v>
      </c>
      <c r="G242" s="131">
        <f>'Devize obiecte evaluari'!J640</f>
        <v>0</v>
      </c>
    </row>
    <row r="243" spans="1:7">
      <c r="A243" s="58"/>
      <c r="B243" s="59" t="s">
        <v>33</v>
      </c>
      <c r="C243" s="60">
        <f>'Devize obiecte evaluari'!F643</f>
        <v>0</v>
      </c>
      <c r="D243" s="60">
        <f>'Devize obiecte evaluari'!G643</f>
        <v>0</v>
      </c>
      <c r="E243" s="60">
        <f>'Devize obiecte evaluari'!H643</f>
        <v>0</v>
      </c>
      <c r="F243" s="60">
        <f>'Devize obiecte evaluari'!I643</f>
        <v>0</v>
      </c>
      <c r="G243" s="61">
        <f>'Devize obiecte evaluari'!J643</f>
        <v>0</v>
      </c>
    </row>
    <row r="244" spans="1:7" ht="15.75" thickBot="1">
      <c r="A244" s="132"/>
      <c r="B244" s="133" t="s">
        <v>34</v>
      </c>
      <c r="C244" s="134">
        <f>'Devize obiecte evaluari'!F646</f>
        <v>0</v>
      </c>
      <c r="D244" s="134">
        <f>'Devize obiecte evaluari'!G646</f>
        <v>0</v>
      </c>
      <c r="E244" s="134">
        <f>'Devize obiecte evaluari'!H646</f>
        <v>0</v>
      </c>
      <c r="F244" s="134">
        <f>'Devize obiecte evaluari'!I646</f>
        <v>0</v>
      </c>
      <c r="G244" s="135">
        <f>'Devize obiecte evaluari'!J646</f>
        <v>0</v>
      </c>
    </row>
    <row r="245" spans="1:7" ht="15.75" customHeight="1" thickBot="1">
      <c r="A245" s="685" t="s">
        <v>35</v>
      </c>
      <c r="B245" s="686"/>
      <c r="C245" s="62">
        <f>SUM(C242:C244)</f>
        <v>0</v>
      </c>
      <c r="D245" s="62">
        <f t="shared" ref="D245:E245" si="35">SUM(D242:D244)</f>
        <v>0</v>
      </c>
      <c r="E245" s="62">
        <f t="shared" si="35"/>
        <v>0</v>
      </c>
      <c r="F245" s="62">
        <f>SUM(F242:F244)</f>
        <v>0</v>
      </c>
      <c r="G245" s="63">
        <f t="shared" ref="G245" si="36">SUM(G242:G244)</f>
        <v>0</v>
      </c>
    </row>
    <row r="246" spans="1:7" ht="15.75" customHeight="1" thickBot="1">
      <c r="A246" s="685" t="s">
        <v>36</v>
      </c>
      <c r="B246" s="686"/>
      <c r="C246" s="62">
        <f>SUM(C237,C240,C245)</f>
        <v>0</v>
      </c>
      <c r="D246" s="62">
        <f t="shared" ref="D246:E246" si="37">SUM(D237,D240,D245)</f>
        <v>0</v>
      </c>
      <c r="E246" s="62">
        <f t="shared" si="37"/>
        <v>0</v>
      </c>
      <c r="F246" s="62">
        <f>SUM(F237,F240,F245)</f>
        <v>0</v>
      </c>
      <c r="G246" s="63">
        <f t="shared" ref="G246" si="38">SUM(G237,G240,G245)</f>
        <v>0</v>
      </c>
    </row>
    <row r="247" spans="1:7">
      <c r="A247" s="39"/>
      <c r="B247" s="39"/>
      <c r="C247" s="42"/>
      <c r="D247" s="42"/>
      <c r="E247" s="42"/>
      <c r="F247" s="42"/>
      <c r="G247" s="42"/>
    </row>
    <row r="248" spans="1:7">
      <c r="A248" s="42"/>
      <c r="C248" s="42"/>
      <c r="D248" s="64"/>
      <c r="E248" s="42"/>
      <c r="F248" s="42"/>
      <c r="G248" s="42"/>
    </row>
    <row r="249" spans="1:7">
      <c r="A249" s="39"/>
      <c r="B249" s="65" t="s">
        <v>37</v>
      </c>
      <c r="C249" s="39"/>
      <c r="D249" s="66"/>
      <c r="E249" s="39"/>
      <c r="F249" s="39"/>
      <c r="G249" s="39"/>
    </row>
    <row r="250" spans="1:7">
      <c r="A250" s="39"/>
      <c r="B250" s="65" t="str">
        <f>'Date Generale'!$C$7</f>
        <v>S.C. Tehno Consoulting Solutions S.R.L.</v>
      </c>
      <c r="C250" s="39"/>
      <c r="D250" s="39"/>
      <c r="E250" s="39"/>
      <c r="F250" s="39"/>
      <c r="G250" s="39"/>
    </row>
    <row r="251" spans="1:7">
      <c r="A251" s="39"/>
      <c r="B251" s="39"/>
      <c r="C251" s="39"/>
      <c r="D251" s="39"/>
      <c r="E251" s="39"/>
      <c r="F251" s="39"/>
      <c r="G251" s="39"/>
    </row>
    <row r="252" spans="1:7">
      <c r="A252" s="39"/>
      <c r="B252" s="39"/>
      <c r="C252" s="39"/>
      <c r="D252" s="39"/>
      <c r="E252" s="39"/>
      <c r="F252" s="39"/>
      <c r="G252" s="39"/>
    </row>
    <row r="253" spans="1:7">
      <c r="A253" s="67"/>
      <c r="B253" s="67"/>
      <c r="C253" s="67"/>
      <c r="D253" s="67"/>
      <c r="E253" s="67"/>
      <c r="F253" s="67"/>
      <c r="G253" s="67"/>
    </row>
    <row r="254" spans="1:7" ht="15.75">
      <c r="A254" s="41" t="str">
        <f>"Beneficiar: " &amp;'Date Generale'!$C$6</f>
        <v xml:space="preserve">Beneficiar: Judetul Arges </v>
      </c>
      <c r="B254" s="41"/>
      <c r="C254" s="42"/>
      <c r="D254" s="42"/>
      <c r="E254" s="42"/>
      <c r="F254" s="42"/>
      <c r="G254" s="42"/>
    </row>
    <row r="255" spans="1:7" ht="32.25" customHeight="1">
      <c r="A255" s="690" t="str">
        <f>"Denumire proiect: " &amp; 'Date Generale'!$C$3</f>
        <v>Denumire proiect: Modernizare DJ 703B Serbanesti (DJ659) - Silistea, km 70+410 - 77+826, 7.416km, in comunele Rociu si Cateasca</v>
      </c>
      <c r="B255" s="690"/>
      <c r="C255" s="690"/>
      <c r="D255" s="690"/>
      <c r="E255" s="690"/>
      <c r="F255" s="690"/>
      <c r="G255" s="690"/>
    </row>
    <row r="256" spans="1:7" ht="15.75">
      <c r="A256" s="235" t="str">
        <f>"Denumire Obiect: " &amp; 'Date Generale'!$C$4</f>
        <v>Denumire Obiect: Deviz actualizat 21.06.2019</v>
      </c>
      <c r="B256" s="41"/>
      <c r="C256" s="44"/>
      <c r="D256" s="44"/>
      <c r="E256" s="44"/>
      <c r="F256" s="44"/>
      <c r="G256" s="44"/>
    </row>
    <row r="257" spans="1:7" ht="15.75">
      <c r="A257" s="235"/>
      <c r="B257" s="41"/>
      <c r="C257" s="44"/>
      <c r="D257" s="44"/>
      <c r="E257" s="44"/>
      <c r="F257" s="44"/>
      <c r="G257" s="44"/>
    </row>
    <row r="258" spans="1:7">
      <c r="A258" s="687" t="str">
        <f>"Devizul Obiectului: " &amp;'Date Generale'!$E$68</f>
        <v>Devizul Obiectului: Obiect 008: 0</v>
      </c>
      <c r="B258" s="687"/>
      <c r="C258" s="687"/>
      <c r="D258" s="687"/>
      <c r="E258" s="687"/>
      <c r="F258" s="687"/>
      <c r="G258" s="687"/>
    </row>
    <row r="259" spans="1:7">
      <c r="A259" s="136"/>
      <c r="B259" s="136"/>
      <c r="C259" s="136"/>
      <c r="D259" s="136"/>
      <c r="E259" s="136"/>
      <c r="F259" s="136"/>
      <c r="G259" s="136"/>
    </row>
    <row r="260" spans="1:7" ht="15.75" thickBot="1">
      <c r="A260" s="45"/>
      <c r="B260" s="46"/>
      <c r="C260" s="33"/>
      <c r="D260" s="47" t="s">
        <v>2</v>
      </c>
      <c r="E260" s="48">
        <f>'Date Generale'!$C$54</f>
        <v>4.7233000000000001</v>
      </c>
      <c r="F260" s="49" t="s">
        <v>3</v>
      </c>
      <c r="G260" s="50" t="str">
        <f>'Date Generale'!$D$54</f>
        <v>21,06,2019</v>
      </c>
    </row>
    <row r="261" spans="1:7" ht="15.75" customHeight="1" thickBot="1">
      <c r="A261" s="688" t="s">
        <v>4</v>
      </c>
      <c r="B261" s="688" t="s">
        <v>5</v>
      </c>
      <c r="C261" s="689" t="s">
        <v>160</v>
      </c>
      <c r="D261" s="689"/>
      <c r="E261" s="24" t="s">
        <v>7</v>
      </c>
      <c r="F261" s="689" t="s">
        <v>159</v>
      </c>
      <c r="G261" s="689"/>
    </row>
    <row r="262" spans="1:7" ht="15.75" thickBot="1">
      <c r="A262" s="688"/>
      <c r="B262" s="688"/>
      <c r="C262" s="51" t="s">
        <v>9</v>
      </c>
      <c r="D262" s="51" t="s">
        <v>10</v>
      </c>
      <c r="E262" s="51" t="s">
        <v>9</v>
      </c>
      <c r="F262" s="51" t="s">
        <v>9</v>
      </c>
      <c r="G262" s="51" t="s">
        <v>10</v>
      </c>
    </row>
    <row r="263" spans="1:7" ht="15.75" thickBot="1">
      <c r="A263" s="1">
        <v>1</v>
      </c>
      <c r="B263" s="1">
        <v>2</v>
      </c>
      <c r="C263" s="1">
        <v>3</v>
      </c>
      <c r="D263" s="1">
        <v>4</v>
      </c>
      <c r="E263" s="1">
        <v>5</v>
      </c>
      <c r="F263" s="1">
        <v>6</v>
      </c>
      <c r="G263" s="1">
        <v>7</v>
      </c>
    </row>
    <row r="264" spans="1:7" ht="15" customHeight="1" thickBot="1">
      <c r="A264" s="683" t="s">
        <v>11</v>
      </c>
      <c r="B264" s="684"/>
      <c r="C264" s="119"/>
      <c r="D264" s="119"/>
      <c r="E264" s="119"/>
      <c r="F264" s="119"/>
      <c r="G264" s="120"/>
    </row>
    <row r="265" spans="1:7">
      <c r="A265" s="162" t="s">
        <v>12</v>
      </c>
      <c r="B265" s="116" t="s">
        <v>13</v>
      </c>
      <c r="C265" s="117">
        <f>'Devize obiecte evaluari'!F669</f>
        <v>0</v>
      </c>
      <c r="D265" s="117">
        <f>'Devize obiecte evaluari'!G669</f>
        <v>0</v>
      </c>
      <c r="E265" s="117">
        <f>'Devize obiecte evaluari'!H669</f>
        <v>0</v>
      </c>
      <c r="F265" s="117">
        <f>'Devize obiecte evaluari'!I669</f>
        <v>0</v>
      </c>
      <c r="G265" s="118">
        <f>'Devize obiecte evaluari'!J669</f>
        <v>0</v>
      </c>
    </row>
    <row r="266" spans="1:7">
      <c r="A266" s="74" t="s">
        <v>14</v>
      </c>
      <c r="B266" s="2" t="s">
        <v>15</v>
      </c>
      <c r="C266" s="54">
        <f>'Devize obiecte evaluari'!F672</f>
        <v>0</v>
      </c>
      <c r="D266" s="54">
        <f>'Devize obiecte evaluari'!G672</f>
        <v>0</v>
      </c>
      <c r="E266" s="54">
        <f>'Devize obiecte evaluari'!H672</f>
        <v>0</v>
      </c>
      <c r="F266" s="54">
        <f>'Devize obiecte evaluari'!I672</f>
        <v>0</v>
      </c>
      <c r="G266" s="55">
        <f>'Devize obiecte evaluari'!J672</f>
        <v>0</v>
      </c>
    </row>
    <row r="267" spans="1:7">
      <c r="A267" s="74" t="s">
        <v>16</v>
      </c>
      <c r="B267" s="2" t="s">
        <v>17</v>
      </c>
      <c r="C267" s="52">
        <f>'Devize obiecte evaluari'!F675</f>
        <v>0</v>
      </c>
      <c r="D267" s="52">
        <f>'Devize obiecte evaluari'!G675</f>
        <v>0</v>
      </c>
      <c r="E267" s="52">
        <f>'Devize obiecte evaluari'!H675</f>
        <v>0</v>
      </c>
      <c r="F267" s="52">
        <f>'Devize obiecte evaluari'!I675</f>
        <v>0</v>
      </c>
      <c r="G267" s="53">
        <f>'Devize obiecte evaluari'!J675</f>
        <v>0</v>
      </c>
    </row>
    <row r="268" spans="1:7">
      <c r="A268" s="74" t="s">
        <v>18</v>
      </c>
      <c r="B268" s="2" t="s">
        <v>19</v>
      </c>
      <c r="C268" s="52">
        <f>'Devize obiecte evaluari'!F678</f>
        <v>0</v>
      </c>
      <c r="D268" s="52">
        <f>'Devize obiecte evaluari'!G678</f>
        <v>0</v>
      </c>
      <c r="E268" s="52">
        <f>'Devize obiecte evaluari'!H678</f>
        <v>0</v>
      </c>
      <c r="F268" s="52">
        <f>'Devize obiecte evaluari'!I678</f>
        <v>0</v>
      </c>
      <c r="G268" s="53">
        <f>'Devize obiecte evaluari'!J678</f>
        <v>0</v>
      </c>
    </row>
    <row r="269" spans="1:7">
      <c r="A269" s="74" t="s">
        <v>20</v>
      </c>
      <c r="B269" s="2" t="s">
        <v>21</v>
      </c>
      <c r="C269" s="52">
        <f>'Devize obiecte evaluari'!F690</f>
        <v>0</v>
      </c>
      <c r="D269" s="52">
        <f>'Devize obiecte evaluari'!G690</f>
        <v>0</v>
      </c>
      <c r="E269" s="52">
        <f>'Devize obiecte evaluari'!H690</f>
        <v>0</v>
      </c>
      <c r="F269" s="52">
        <f>'Devize obiecte evaluari'!I690</f>
        <v>0</v>
      </c>
      <c r="G269" s="53">
        <f>'Devize obiecte evaluari'!J690</f>
        <v>0</v>
      </c>
    </row>
    <row r="270" spans="1:7" ht="25.5">
      <c r="A270" s="74" t="s">
        <v>22</v>
      </c>
      <c r="B270" s="2" t="s">
        <v>23</v>
      </c>
      <c r="C270" s="36">
        <f>'Devize obiecte evaluari'!F693</f>
        <v>0</v>
      </c>
      <c r="D270" s="36">
        <f>'Devize obiecte evaluari'!G693</f>
        <v>0</v>
      </c>
      <c r="E270" s="36">
        <f>'Devize obiecte evaluari'!H693</f>
        <v>0</v>
      </c>
      <c r="F270" s="36">
        <f>'Devize obiecte evaluari'!I693</f>
        <v>0</v>
      </c>
      <c r="G270" s="37">
        <f>'Devize obiecte evaluari'!J693</f>
        <v>0</v>
      </c>
    </row>
    <row r="271" spans="1:7">
      <c r="A271" s="74" t="s">
        <v>24</v>
      </c>
      <c r="B271" s="2" t="s">
        <v>25</v>
      </c>
      <c r="C271" s="52">
        <f>'Devize obiecte evaluari'!F696</f>
        <v>0</v>
      </c>
      <c r="D271" s="52">
        <f>'Devize obiecte evaluari'!G696</f>
        <v>0</v>
      </c>
      <c r="E271" s="52">
        <f>'Devize obiecte evaluari'!H696</f>
        <v>0</v>
      </c>
      <c r="F271" s="52">
        <f>'Devize obiecte evaluari'!I696</f>
        <v>0</v>
      </c>
      <c r="G271" s="53">
        <f>'Devize obiecte evaluari'!J696</f>
        <v>0</v>
      </c>
    </row>
    <row r="272" spans="1:7" ht="15.75" thickBot="1">
      <c r="A272" s="163" t="s">
        <v>99</v>
      </c>
      <c r="B272" s="121" t="s">
        <v>26</v>
      </c>
      <c r="C272" s="122">
        <f>'Devize obiecte evaluari'!F699</f>
        <v>0</v>
      </c>
      <c r="D272" s="122">
        <f>'Devize obiecte evaluari'!G699</f>
        <v>0</v>
      </c>
      <c r="E272" s="122">
        <f>'Devize obiecte evaluari'!H699</f>
        <v>0</v>
      </c>
      <c r="F272" s="122">
        <f>'Devize obiecte evaluari'!I699</f>
        <v>0</v>
      </c>
      <c r="G272" s="123">
        <f>'Devize obiecte evaluari'!J699</f>
        <v>0</v>
      </c>
    </row>
    <row r="273" spans="1:7" ht="15" customHeight="1" thickBot="1">
      <c r="A273" s="685" t="s">
        <v>27</v>
      </c>
      <c r="B273" s="686"/>
      <c r="C273" s="82">
        <f>SUM(C265:C272)</f>
        <v>0</v>
      </c>
      <c r="D273" s="82">
        <f t="shared" ref="D273:E273" si="39">SUM(D265:D272)</f>
        <v>0</v>
      </c>
      <c r="E273" s="82">
        <f t="shared" si="39"/>
        <v>0</v>
      </c>
      <c r="F273" s="82">
        <f>SUM(F265:F272)</f>
        <v>0</v>
      </c>
      <c r="G273" s="83">
        <f t="shared" ref="G273" si="40">SUM(G265:G272)</f>
        <v>0</v>
      </c>
    </row>
    <row r="274" spans="1:7" ht="15" customHeight="1" thickBot="1">
      <c r="A274" s="683" t="s">
        <v>28</v>
      </c>
      <c r="B274" s="684"/>
      <c r="C274" s="119"/>
      <c r="D274" s="119"/>
      <c r="E274" s="119"/>
      <c r="F274" s="119"/>
      <c r="G274" s="120"/>
    </row>
    <row r="275" spans="1:7" ht="15.75" thickBot="1">
      <c r="A275" s="126"/>
      <c r="B275" s="127" t="s">
        <v>29</v>
      </c>
      <c r="C275" s="128">
        <f>'Devize obiecte evaluari'!F704</f>
        <v>0</v>
      </c>
      <c r="D275" s="128">
        <f>'Devize obiecte evaluari'!G704</f>
        <v>0</v>
      </c>
      <c r="E275" s="128">
        <f>'Devize obiecte evaluari'!H704</f>
        <v>0</v>
      </c>
      <c r="F275" s="128">
        <f>'Devize obiecte evaluari'!I704</f>
        <v>0</v>
      </c>
      <c r="G275" s="129">
        <f>'Devize obiecte evaluari'!J704</f>
        <v>0</v>
      </c>
    </row>
    <row r="276" spans="1:7" ht="15" customHeight="1" thickBot="1">
      <c r="A276" s="685" t="s">
        <v>30</v>
      </c>
      <c r="B276" s="686"/>
      <c r="C276" s="62">
        <f>C275</f>
        <v>0</v>
      </c>
      <c r="D276" s="62">
        <f>D275</f>
        <v>0</v>
      </c>
      <c r="E276" s="62">
        <f>E275</f>
        <v>0</v>
      </c>
      <c r="F276" s="62">
        <f>F275</f>
        <v>0</v>
      </c>
      <c r="G276" s="63">
        <f>G275</f>
        <v>0</v>
      </c>
    </row>
    <row r="277" spans="1:7" ht="15" customHeight="1" thickBot="1">
      <c r="A277" s="683" t="s">
        <v>31</v>
      </c>
      <c r="B277" s="684"/>
      <c r="C277" s="119"/>
      <c r="D277" s="119"/>
      <c r="E277" s="119"/>
      <c r="F277" s="119"/>
      <c r="G277" s="120"/>
    </row>
    <row r="278" spans="1:7">
      <c r="A278" s="124"/>
      <c r="B278" s="125" t="s">
        <v>32</v>
      </c>
      <c r="C278" s="130">
        <f>'Devize obiecte evaluari'!F709</f>
        <v>0</v>
      </c>
      <c r="D278" s="130">
        <f>'Devize obiecte evaluari'!G709</f>
        <v>0</v>
      </c>
      <c r="E278" s="130">
        <f>'Devize obiecte evaluari'!H709</f>
        <v>0</v>
      </c>
      <c r="F278" s="130">
        <f>'Devize obiecte evaluari'!I709</f>
        <v>0</v>
      </c>
      <c r="G278" s="131">
        <f>'Devize obiecte evaluari'!J709</f>
        <v>0</v>
      </c>
    </row>
    <row r="279" spans="1:7">
      <c r="A279" s="58"/>
      <c r="B279" s="59" t="s">
        <v>33</v>
      </c>
      <c r="C279" s="60">
        <f>'Devize obiecte evaluari'!F712</f>
        <v>0</v>
      </c>
      <c r="D279" s="60">
        <f>'Devize obiecte evaluari'!G712</f>
        <v>0</v>
      </c>
      <c r="E279" s="60">
        <f>'Devize obiecte evaluari'!H712</f>
        <v>0</v>
      </c>
      <c r="F279" s="60">
        <f>'Devize obiecte evaluari'!I712</f>
        <v>0</v>
      </c>
      <c r="G279" s="61">
        <f>'Devize obiecte evaluari'!J712</f>
        <v>0</v>
      </c>
    </row>
    <row r="280" spans="1:7" ht="15.75" thickBot="1">
      <c r="A280" s="132"/>
      <c r="B280" s="133" t="s">
        <v>34</v>
      </c>
      <c r="C280" s="134">
        <f>'Devize obiecte evaluari'!F715</f>
        <v>0</v>
      </c>
      <c r="D280" s="134">
        <f>'Devize obiecte evaluari'!G715</f>
        <v>0</v>
      </c>
      <c r="E280" s="134">
        <f>'Devize obiecte evaluari'!H715</f>
        <v>0</v>
      </c>
      <c r="F280" s="134">
        <f>'Devize obiecte evaluari'!I715</f>
        <v>0</v>
      </c>
      <c r="G280" s="135">
        <f>'Devize obiecte evaluari'!J715</f>
        <v>0</v>
      </c>
    </row>
    <row r="281" spans="1:7" ht="15.75" customHeight="1" thickBot="1">
      <c r="A281" s="685" t="s">
        <v>35</v>
      </c>
      <c r="B281" s="686"/>
      <c r="C281" s="62">
        <f>SUM(C278:C280)</f>
        <v>0</v>
      </c>
      <c r="D281" s="62">
        <f t="shared" ref="D281:E281" si="41">SUM(D278:D280)</f>
        <v>0</v>
      </c>
      <c r="E281" s="62">
        <f t="shared" si="41"/>
        <v>0</v>
      </c>
      <c r="F281" s="62">
        <f>SUM(F278:F280)</f>
        <v>0</v>
      </c>
      <c r="G281" s="63">
        <f t="shared" ref="G281" si="42">SUM(G278:G280)</f>
        <v>0</v>
      </c>
    </row>
    <row r="282" spans="1:7" ht="15.75" customHeight="1" thickBot="1">
      <c r="A282" s="685" t="s">
        <v>36</v>
      </c>
      <c r="B282" s="686"/>
      <c r="C282" s="62">
        <f>SUM(C273,C276,C281)</f>
        <v>0</v>
      </c>
      <c r="D282" s="62">
        <f t="shared" ref="D282:E282" si="43">SUM(D273,D276,D281)</f>
        <v>0</v>
      </c>
      <c r="E282" s="62">
        <f t="shared" si="43"/>
        <v>0</v>
      </c>
      <c r="F282" s="62">
        <f>SUM(F273,F276,F281)</f>
        <v>0</v>
      </c>
      <c r="G282" s="63">
        <f t="shared" ref="G282" si="44">SUM(G273,G276,G281)</f>
        <v>0</v>
      </c>
    </row>
    <row r="283" spans="1:7">
      <c r="A283" s="39"/>
      <c r="B283" s="39"/>
      <c r="C283" s="42"/>
      <c r="D283" s="42"/>
      <c r="E283" s="42"/>
      <c r="F283" s="42"/>
      <c r="G283" s="42"/>
    </row>
    <row r="284" spans="1:7">
      <c r="A284" s="42"/>
      <c r="C284" s="42"/>
      <c r="D284" s="64"/>
      <c r="E284" s="42"/>
      <c r="F284" s="42"/>
      <c r="G284" s="42"/>
    </row>
    <row r="285" spans="1:7">
      <c r="A285" s="39"/>
      <c r="B285" s="65" t="s">
        <v>37</v>
      </c>
      <c r="C285" s="39"/>
      <c r="D285" s="66"/>
      <c r="E285" s="39"/>
      <c r="F285" s="39"/>
      <c r="G285" s="39"/>
    </row>
    <row r="286" spans="1:7">
      <c r="A286" s="39"/>
      <c r="B286" s="65" t="str">
        <f>'Date Generale'!$C$7</f>
        <v>S.C. Tehno Consoulting Solutions S.R.L.</v>
      </c>
      <c r="C286" s="39"/>
      <c r="D286" s="39"/>
      <c r="E286" s="39"/>
      <c r="F286" s="39"/>
      <c r="G286" s="39"/>
    </row>
    <row r="287" spans="1:7">
      <c r="A287" s="39"/>
      <c r="B287" s="39"/>
      <c r="C287" s="39"/>
      <c r="D287" s="39"/>
      <c r="E287" s="39"/>
      <c r="F287" s="39"/>
      <c r="G287" s="39"/>
    </row>
    <row r="288" spans="1:7">
      <c r="A288" s="39"/>
      <c r="B288" s="39"/>
      <c r="C288" s="39"/>
      <c r="D288" s="39"/>
      <c r="E288" s="39"/>
      <c r="F288" s="39"/>
      <c r="G288" s="39"/>
    </row>
    <row r="289" spans="1:7">
      <c r="A289" s="67"/>
      <c r="B289" s="67"/>
      <c r="C289" s="67"/>
      <c r="D289" s="67"/>
      <c r="E289" s="67"/>
      <c r="F289" s="67"/>
      <c r="G289" s="67"/>
    </row>
    <row r="290" spans="1:7" ht="15.75">
      <c r="A290" s="41" t="str">
        <f>"Beneficiar: " &amp;'Date Generale'!$C$6</f>
        <v xml:space="preserve">Beneficiar: Judetul Arges </v>
      </c>
      <c r="B290" s="41"/>
      <c r="C290" s="42"/>
      <c r="D290" s="42"/>
      <c r="E290" s="42"/>
      <c r="F290" s="42"/>
      <c r="G290" s="42"/>
    </row>
    <row r="291" spans="1:7" ht="15.75">
      <c r="A291" s="41" t="str">
        <f>"Denumire proiect: " &amp; 'Date Generale'!$C$3</f>
        <v>Denumire proiect: Modernizare DJ 703B Serbanesti (DJ659) - Silistea, km 70+410 - 77+826, 7.416km, in comunele Rociu si Cateasca</v>
      </c>
      <c r="B291" s="41"/>
      <c r="C291" s="43"/>
      <c r="D291" s="43"/>
      <c r="E291" s="43"/>
      <c r="F291" s="43"/>
      <c r="G291" s="43"/>
    </row>
    <row r="292" spans="1:7" ht="15.75">
      <c r="A292" s="41"/>
      <c r="B292" s="41"/>
      <c r="C292" s="44"/>
      <c r="D292" s="44"/>
      <c r="E292" s="44"/>
      <c r="F292" s="44"/>
      <c r="G292" s="44"/>
    </row>
    <row r="293" spans="1:7">
      <c r="A293" s="687" t="str">
        <f>"Devizul Obiectului: " &amp;'Date Generale'!$E$69</f>
        <v>Devizul Obiectului: Obiect 009: 0</v>
      </c>
      <c r="B293" s="687"/>
      <c r="C293" s="687"/>
      <c r="D293" s="687"/>
      <c r="E293" s="687"/>
      <c r="F293" s="687"/>
      <c r="G293" s="687"/>
    </row>
    <row r="294" spans="1:7">
      <c r="A294" s="136"/>
      <c r="B294" s="136"/>
      <c r="C294" s="136"/>
      <c r="D294" s="136"/>
      <c r="E294" s="136"/>
      <c r="F294" s="136"/>
      <c r="G294" s="136"/>
    </row>
    <row r="295" spans="1:7" ht="15.75" thickBot="1">
      <c r="A295" s="45"/>
      <c r="B295" s="46"/>
      <c r="C295" s="33"/>
      <c r="D295" s="47" t="s">
        <v>2</v>
      </c>
      <c r="E295" s="48">
        <f>'Date Generale'!$C$54</f>
        <v>4.7233000000000001</v>
      </c>
      <c r="F295" s="49" t="s">
        <v>3</v>
      </c>
      <c r="G295" s="50" t="str">
        <f>'Date Generale'!$D$54</f>
        <v>21,06,2019</v>
      </c>
    </row>
    <row r="296" spans="1:7" ht="15.75" customHeight="1" thickBot="1">
      <c r="A296" s="688" t="s">
        <v>4</v>
      </c>
      <c r="B296" s="688" t="s">
        <v>5</v>
      </c>
      <c r="C296" s="689" t="s">
        <v>160</v>
      </c>
      <c r="D296" s="689"/>
      <c r="E296" s="24" t="s">
        <v>7</v>
      </c>
      <c r="F296" s="689" t="s">
        <v>159</v>
      </c>
      <c r="G296" s="689"/>
    </row>
    <row r="297" spans="1:7" ht="15.75" thickBot="1">
      <c r="A297" s="688"/>
      <c r="B297" s="688"/>
      <c r="C297" s="51" t="s">
        <v>9</v>
      </c>
      <c r="D297" s="51" t="s">
        <v>10</v>
      </c>
      <c r="E297" s="51" t="s">
        <v>9</v>
      </c>
      <c r="F297" s="51" t="s">
        <v>9</v>
      </c>
      <c r="G297" s="51" t="s">
        <v>10</v>
      </c>
    </row>
    <row r="298" spans="1:7" ht="15.75" thickBot="1">
      <c r="A298" s="1">
        <v>1</v>
      </c>
      <c r="B298" s="1">
        <v>2</v>
      </c>
      <c r="C298" s="1">
        <v>3</v>
      </c>
      <c r="D298" s="1">
        <v>4</v>
      </c>
      <c r="E298" s="1">
        <v>5</v>
      </c>
      <c r="F298" s="1">
        <v>6</v>
      </c>
      <c r="G298" s="1">
        <v>7</v>
      </c>
    </row>
    <row r="299" spans="1:7" ht="15" customHeight="1" thickBot="1">
      <c r="A299" s="683" t="s">
        <v>11</v>
      </c>
      <c r="B299" s="684"/>
      <c r="C299" s="119"/>
      <c r="D299" s="119"/>
      <c r="E299" s="119"/>
      <c r="F299" s="119"/>
      <c r="G299" s="120"/>
    </row>
    <row r="300" spans="1:7">
      <c r="A300" s="162" t="s">
        <v>12</v>
      </c>
      <c r="B300" s="116" t="s">
        <v>13</v>
      </c>
      <c r="C300" s="117">
        <f>'Devize obiecte evaluari'!F738</f>
        <v>0</v>
      </c>
      <c r="D300" s="117">
        <f>'Devize obiecte evaluari'!G738</f>
        <v>0</v>
      </c>
      <c r="E300" s="117">
        <f>'Devize obiecte evaluari'!H738</f>
        <v>0</v>
      </c>
      <c r="F300" s="117">
        <f>'Devize obiecte evaluari'!I738</f>
        <v>0</v>
      </c>
      <c r="G300" s="118">
        <f>'Devize obiecte evaluari'!J738</f>
        <v>0</v>
      </c>
    </row>
    <row r="301" spans="1:7">
      <c r="A301" s="74" t="s">
        <v>14</v>
      </c>
      <c r="B301" s="2" t="s">
        <v>15</v>
      </c>
      <c r="C301" s="54">
        <f>'Devize obiecte evaluari'!F741</f>
        <v>0</v>
      </c>
      <c r="D301" s="54">
        <f>'Devize obiecte evaluari'!G741</f>
        <v>0</v>
      </c>
      <c r="E301" s="54">
        <f>'Devize obiecte evaluari'!H741</f>
        <v>0</v>
      </c>
      <c r="F301" s="54">
        <f>'Devize obiecte evaluari'!I741</f>
        <v>0</v>
      </c>
      <c r="G301" s="55">
        <f>'Devize obiecte evaluari'!J741</f>
        <v>0</v>
      </c>
    </row>
    <row r="302" spans="1:7">
      <c r="A302" s="74" t="s">
        <v>16</v>
      </c>
      <c r="B302" s="2" t="s">
        <v>17</v>
      </c>
      <c r="C302" s="52">
        <f>'Devize obiecte evaluari'!F744</f>
        <v>0</v>
      </c>
      <c r="D302" s="52">
        <f>'Devize obiecte evaluari'!G744</f>
        <v>0</v>
      </c>
      <c r="E302" s="52">
        <f>'Devize obiecte evaluari'!H744</f>
        <v>0</v>
      </c>
      <c r="F302" s="52">
        <f>'Devize obiecte evaluari'!I744</f>
        <v>0</v>
      </c>
      <c r="G302" s="53">
        <f>'Devize obiecte evaluari'!J744</f>
        <v>0</v>
      </c>
    </row>
    <row r="303" spans="1:7">
      <c r="A303" s="74" t="s">
        <v>18</v>
      </c>
      <c r="B303" s="2" t="s">
        <v>19</v>
      </c>
      <c r="C303" s="52">
        <f>'Devize obiecte evaluari'!F747</f>
        <v>0</v>
      </c>
      <c r="D303" s="52">
        <f>'Devize obiecte evaluari'!G747</f>
        <v>0</v>
      </c>
      <c r="E303" s="52">
        <f>'Devize obiecte evaluari'!H747</f>
        <v>0</v>
      </c>
      <c r="F303" s="52">
        <f>'Devize obiecte evaluari'!I747</f>
        <v>0</v>
      </c>
      <c r="G303" s="53">
        <f>'Devize obiecte evaluari'!J747</f>
        <v>0</v>
      </c>
    </row>
    <row r="304" spans="1:7">
      <c r="A304" s="74" t="s">
        <v>20</v>
      </c>
      <c r="B304" s="2" t="s">
        <v>21</v>
      </c>
      <c r="C304" s="52">
        <f>'Devize obiecte evaluari'!F762</f>
        <v>0</v>
      </c>
      <c r="D304" s="52">
        <f>'Devize obiecte evaluari'!G762</f>
        <v>0</v>
      </c>
      <c r="E304" s="52">
        <f>'Devize obiecte evaluari'!H762</f>
        <v>0</v>
      </c>
      <c r="F304" s="52">
        <f>'Devize obiecte evaluari'!I762</f>
        <v>0</v>
      </c>
      <c r="G304" s="53">
        <f>'Devize obiecte evaluari'!J762</f>
        <v>0</v>
      </c>
    </row>
    <row r="305" spans="1:7" ht="25.5">
      <c r="A305" s="74" t="s">
        <v>22</v>
      </c>
      <c r="B305" s="2" t="s">
        <v>23</v>
      </c>
      <c r="C305" s="36">
        <f>'Devize obiecte evaluari'!F765</f>
        <v>0</v>
      </c>
      <c r="D305" s="36">
        <f>'Devize obiecte evaluari'!G765</f>
        <v>0</v>
      </c>
      <c r="E305" s="36">
        <f>'Devize obiecte evaluari'!H765</f>
        <v>0</v>
      </c>
      <c r="F305" s="36">
        <f>'Devize obiecte evaluari'!I765</f>
        <v>0</v>
      </c>
      <c r="G305" s="37">
        <f>'Devize obiecte evaluari'!J765</f>
        <v>0</v>
      </c>
    </row>
    <row r="306" spans="1:7">
      <c r="A306" s="74" t="s">
        <v>24</v>
      </c>
      <c r="B306" s="2" t="s">
        <v>25</v>
      </c>
      <c r="C306" s="52">
        <f>'Devize obiecte evaluari'!F768</f>
        <v>0</v>
      </c>
      <c r="D306" s="52">
        <f>'Devize obiecte evaluari'!G768</f>
        <v>0</v>
      </c>
      <c r="E306" s="52">
        <f>'Devize obiecte evaluari'!H768</f>
        <v>0</v>
      </c>
      <c r="F306" s="52">
        <f>'Devize obiecte evaluari'!I768</f>
        <v>0</v>
      </c>
      <c r="G306" s="53">
        <f>'Devize obiecte evaluari'!J768</f>
        <v>0</v>
      </c>
    </row>
    <row r="307" spans="1:7" ht="15.75" thickBot="1">
      <c r="A307" s="163" t="s">
        <v>99</v>
      </c>
      <c r="B307" s="121" t="s">
        <v>26</v>
      </c>
      <c r="C307" s="122">
        <f>'Devize obiecte evaluari'!F771</f>
        <v>0</v>
      </c>
      <c r="D307" s="122">
        <f>'Devize obiecte evaluari'!G771</f>
        <v>0</v>
      </c>
      <c r="E307" s="122">
        <f>'Devize obiecte evaluari'!H771</f>
        <v>0</v>
      </c>
      <c r="F307" s="122">
        <f>'Devize obiecte evaluari'!I771</f>
        <v>0</v>
      </c>
      <c r="G307" s="123">
        <f>'Devize obiecte evaluari'!J771</f>
        <v>0</v>
      </c>
    </row>
    <row r="308" spans="1:7" ht="15" customHeight="1" thickBot="1">
      <c r="A308" s="685" t="s">
        <v>27</v>
      </c>
      <c r="B308" s="686"/>
      <c r="C308" s="82">
        <f>SUM(C300:C307)</f>
        <v>0</v>
      </c>
      <c r="D308" s="82">
        <f t="shared" ref="D308:E308" si="45">SUM(D300:D307)</f>
        <v>0</v>
      </c>
      <c r="E308" s="82">
        <f t="shared" si="45"/>
        <v>0</v>
      </c>
      <c r="F308" s="82">
        <f>SUM(F300:F307)</f>
        <v>0</v>
      </c>
      <c r="G308" s="83">
        <f t="shared" ref="G308" si="46">SUM(G300:G307)</f>
        <v>0</v>
      </c>
    </row>
    <row r="309" spans="1:7" ht="15" customHeight="1" thickBot="1">
      <c r="A309" s="683" t="s">
        <v>28</v>
      </c>
      <c r="B309" s="684"/>
      <c r="C309" s="119"/>
      <c r="D309" s="119"/>
      <c r="E309" s="119"/>
      <c r="F309" s="119"/>
      <c r="G309" s="120"/>
    </row>
    <row r="310" spans="1:7" ht="15.75" thickBot="1">
      <c r="A310" s="126"/>
      <c r="B310" s="127" t="s">
        <v>29</v>
      </c>
      <c r="C310" s="128">
        <f>'Devize obiecte evaluari'!F776</f>
        <v>0</v>
      </c>
      <c r="D310" s="128">
        <f>'Devize obiecte evaluari'!G776</f>
        <v>0</v>
      </c>
      <c r="E310" s="128">
        <f>'Devize obiecte evaluari'!H776</f>
        <v>0</v>
      </c>
      <c r="F310" s="128">
        <f>'Devize obiecte evaluari'!I776</f>
        <v>0</v>
      </c>
      <c r="G310" s="129">
        <f>'Devize obiecte evaluari'!J776</f>
        <v>0</v>
      </c>
    </row>
    <row r="311" spans="1:7" ht="15" customHeight="1" thickBot="1">
      <c r="A311" s="685" t="s">
        <v>30</v>
      </c>
      <c r="B311" s="686"/>
      <c r="C311" s="62">
        <f>C310</f>
        <v>0</v>
      </c>
      <c r="D311" s="62">
        <f>D310</f>
        <v>0</v>
      </c>
      <c r="E311" s="62">
        <f>E310</f>
        <v>0</v>
      </c>
      <c r="F311" s="62">
        <f>F310</f>
        <v>0</v>
      </c>
      <c r="G311" s="63">
        <f>G310</f>
        <v>0</v>
      </c>
    </row>
    <row r="312" spans="1:7" ht="15" customHeight="1" thickBot="1">
      <c r="A312" s="683" t="s">
        <v>31</v>
      </c>
      <c r="B312" s="684"/>
      <c r="C312" s="119"/>
      <c r="D312" s="119"/>
      <c r="E312" s="119"/>
      <c r="F312" s="119"/>
      <c r="G312" s="120"/>
    </row>
    <row r="313" spans="1:7">
      <c r="A313" s="124"/>
      <c r="B313" s="125" t="s">
        <v>32</v>
      </c>
      <c r="C313" s="130">
        <f>'Devize obiecte evaluari'!F781</f>
        <v>0</v>
      </c>
      <c r="D313" s="130">
        <f>'Devize obiecte evaluari'!G781</f>
        <v>0</v>
      </c>
      <c r="E313" s="130">
        <f>'Devize obiecte evaluari'!H781</f>
        <v>0</v>
      </c>
      <c r="F313" s="130">
        <f>'Devize obiecte evaluari'!I781</f>
        <v>0</v>
      </c>
      <c r="G313" s="131">
        <f>'Devize obiecte evaluari'!J781</f>
        <v>0</v>
      </c>
    </row>
    <row r="314" spans="1:7">
      <c r="A314" s="58"/>
      <c r="B314" s="59" t="s">
        <v>33</v>
      </c>
      <c r="C314" s="60">
        <f>'Devize obiecte evaluari'!F784</f>
        <v>0</v>
      </c>
      <c r="D314" s="60">
        <f>'Devize obiecte evaluari'!G784</f>
        <v>0</v>
      </c>
      <c r="E314" s="60">
        <f>'Devize obiecte evaluari'!H784</f>
        <v>0</v>
      </c>
      <c r="F314" s="60">
        <f>'Devize obiecte evaluari'!I784</f>
        <v>0</v>
      </c>
      <c r="G314" s="61">
        <f>'Devize obiecte evaluari'!J784</f>
        <v>0</v>
      </c>
    </row>
    <row r="315" spans="1:7" ht="15.75" thickBot="1">
      <c r="A315" s="132"/>
      <c r="B315" s="133" t="s">
        <v>34</v>
      </c>
      <c r="C315" s="134">
        <f>'Devize obiecte evaluari'!F787</f>
        <v>0</v>
      </c>
      <c r="D315" s="134">
        <f>'Devize obiecte evaluari'!G787</f>
        <v>0</v>
      </c>
      <c r="E315" s="134">
        <f>'Devize obiecte evaluari'!H787</f>
        <v>0</v>
      </c>
      <c r="F315" s="134">
        <f>'Devize obiecte evaluari'!I787</f>
        <v>0</v>
      </c>
      <c r="G315" s="135">
        <f>'Devize obiecte evaluari'!J787</f>
        <v>0</v>
      </c>
    </row>
    <row r="316" spans="1:7" ht="15.75" customHeight="1" thickBot="1">
      <c r="A316" s="685" t="s">
        <v>35</v>
      </c>
      <c r="B316" s="686"/>
      <c r="C316" s="62">
        <f>SUM(C313:C315)</f>
        <v>0</v>
      </c>
      <c r="D316" s="62">
        <f t="shared" ref="D316:E316" si="47">SUM(D313:D315)</f>
        <v>0</v>
      </c>
      <c r="E316" s="62">
        <f t="shared" si="47"/>
        <v>0</v>
      </c>
      <c r="F316" s="62">
        <f>SUM(F313:F315)</f>
        <v>0</v>
      </c>
      <c r="G316" s="63">
        <f t="shared" ref="G316" si="48">SUM(G313:G315)</f>
        <v>0</v>
      </c>
    </row>
    <row r="317" spans="1:7" ht="15.75" customHeight="1" thickBot="1">
      <c r="A317" s="685" t="s">
        <v>36</v>
      </c>
      <c r="B317" s="686"/>
      <c r="C317" s="62">
        <f>SUM(C308,C311,C316)</f>
        <v>0</v>
      </c>
      <c r="D317" s="62">
        <f t="shared" ref="D317:E317" si="49">SUM(D308,D311,D316)</f>
        <v>0</v>
      </c>
      <c r="E317" s="62">
        <f t="shared" si="49"/>
        <v>0</v>
      </c>
      <c r="F317" s="62">
        <f>SUM(F308,F311,F316)</f>
        <v>0</v>
      </c>
      <c r="G317" s="63">
        <f t="shared" ref="G317" si="50">SUM(G308,G311,G316)</f>
        <v>0</v>
      </c>
    </row>
    <row r="318" spans="1:7">
      <c r="A318" s="39"/>
      <c r="B318" s="39"/>
      <c r="C318" s="42"/>
      <c r="D318" s="42"/>
      <c r="E318" s="42"/>
      <c r="F318" s="42"/>
      <c r="G318" s="42"/>
    </row>
    <row r="319" spans="1:7">
      <c r="A319" s="42"/>
      <c r="C319" s="42"/>
      <c r="D319" s="64"/>
      <c r="E319" s="42"/>
      <c r="F319" s="42"/>
      <c r="G319" s="42"/>
    </row>
    <row r="320" spans="1:7">
      <c r="A320" s="39"/>
      <c r="B320" s="65" t="s">
        <v>37</v>
      </c>
      <c r="C320" s="39"/>
      <c r="D320" s="66"/>
      <c r="E320" s="39"/>
      <c r="F320" s="39"/>
      <c r="G320" s="39"/>
    </row>
    <row r="321" spans="1:7">
      <c r="A321" s="39"/>
      <c r="B321" s="65" t="str">
        <f>'Date Generale'!$C$7</f>
        <v>S.C. Tehno Consoulting Solutions S.R.L.</v>
      </c>
      <c r="C321" s="39"/>
      <c r="D321" s="39"/>
      <c r="E321" s="39"/>
      <c r="F321" s="39"/>
      <c r="G321" s="39"/>
    </row>
    <row r="322" spans="1:7">
      <c r="A322" s="39"/>
      <c r="B322" s="39"/>
      <c r="C322" s="39"/>
      <c r="D322" s="39"/>
      <c r="E322" s="39"/>
      <c r="F322" s="39"/>
      <c r="G322" s="39"/>
    </row>
    <row r="323" spans="1:7">
      <c r="A323" s="39"/>
      <c r="B323" s="39"/>
      <c r="C323" s="39"/>
      <c r="D323" s="39"/>
      <c r="E323" s="39"/>
      <c r="F323" s="39"/>
      <c r="G323" s="39"/>
    </row>
    <row r="324" spans="1:7">
      <c r="A324" s="67"/>
      <c r="B324" s="67"/>
      <c r="C324" s="67"/>
      <c r="D324" s="67"/>
      <c r="E324" s="67"/>
      <c r="F324" s="67"/>
      <c r="G324" s="67"/>
    </row>
    <row r="325" spans="1:7" ht="15.75">
      <c r="A325" s="41" t="str">
        <f>"Beneficiar: " &amp;'Date Generale'!$C$6</f>
        <v xml:space="preserve">Beneficiar: Judetul Arges </v>
      </c>
      <c r="B325" s="41"/>
      <c r="C325" s="42"/>
      <c r="D325" s="42"/>
      <c r="E325" s="42"/>
      <c r="F325" s="42"/>
      <c r="G325" s="42"/>
    </row>
    <row r="326" spans="1:7" ht="15.75">
      <c r="A326" s="41" t="str">
        <f>"Denumire proiect: " &amp; 'Date Generale'!$C$3</f>
        <v>Denumire proiect: Modernizare DJ 703B Serbanesti (DJ659) - Silistea, km 70+410 - 77+826, 7.416km, in comunele Rociu si Cateasca</v>
      </c>
      <c r="B326" s="41"/>
      <c r="C326" s="43"/>
      <c r="D326" s="43"/>
      <c r="E326" s="43"/>
      <c r="F326" s="43"/>
      <c r="G326" s="43"/>
    </row>
    <row r="327" spans="1:7" ht="15.75">
      <c r="A327" s="41"/>
      <c r="B327" s="41"/>
      <c r="C327" s="44"/>
      <c r="D327" s="44"/>
      <c r="E327" s="44"/>
      <c r="F327" s="44"/>
      <c r="G327" s="44"/>
    </row>
    <row r="328" spans="1:7">
      <c r="A328" s="687" t="str">
        <f>"Devizul Obiectului: " &amp;'Date Generale'!$E$70</f>
        <v>Devizul Obiectului: Obiect 010: 0</v>
      </c>
      <c r="B328" s="687"/>
      <c r="C328" s="687"/>
      <c r="D328" s="687"/>
      <c r="E328" s="687"/>
      <c r="F328" s="687"/>
      <c r="G328" s="687"/>
    </row>
    <row r="329" spans="1:7">
      <c r="A329" s="136"/>
      <c r="B329" s="136"/>
      <c r="C329" s="136"/>
      <c r="D329" s="136"/>
      <c r="E329" s="136"/>
      <c r="F329" s="136"/>
      <c r="G329" s="136"/>
    </row>
    <row r="330" spans="1:7" ht="15.75" thickBot="1">
      <c r="A330" s="45"/>
      <c r="B330" s="46"/>
      <c r="C330" s="33"/>
      <c r="D330" s="47" t="s">
        <v>2</v>
      </c>
      <c r="E330" s="48">
        <f>'Date Generale'!$C$54</f>
        <v>4.7233000000000001</v>
      </c>
      <c r="F330" s="49" t="s">
        <v>3</v>
      </c>
      <c r="G330" s="50" t="str">
        <f>'Date Generale'!$D$54</f>
        <v>21,06,2019</v>
      </c>
    </row>
    <row r="331" spans="1:7" ht="15.75" customHeight="1" thickBot="1">
      <c r="A331" s="688" t="s">
        <v>4</v>
      </c>
      <c r="B331" s="688" t="s">
        <v>5</v>
      </c>
      <c r="C331" s="689" t="s">
        <v>160</v>
      </c>
      <c r="D331" s="689"/>
      <c r="E331" s="24" t="s">
        <v>7</v>
      </c>
      <c r="F331" s="689" t="s">
        <v>159</v>
      </c>
      <c r="G331" s="689"/>
    </row>
    <row r="332" spans="1:7" ht="15.75" thickBot="1">
      <c r="A332" s="688"/>
      <c r="B332" s="688"/>
      <c r="C332" s="51" t="s">
        <v>9</v>
      </c>
      <c r="D332" s="51" t="s">
        <v>10</v>
      </c>
      <c r="E332" s="51" t="s">
        <v>9</v>
      </c>
      <c r="F332" s="51" t="s">
        <v>9</v>
      </c>
      <c r="G332" s="51" t="s">
        <v>10</v>
      </c>
    </row>
    <row r="333" spans="1:7" ht="15.75" thickBot="1">
      <c r="A333" s="1">
        <v>1</v>
      </c>
      <c r="B333" s="1">
        <v>2</v>
      </c>
      <c r="C333" s="1">
        <v>3</v>
      </c>
      <c r="D333" s="1">
        <v>4</v>
      </c>
      <c r="E333" s="1">
        <v>5</v>
      </c>
      <c r="F333" s="1">
        <v>6</v>
      </c>
      <c r="G333" s="1">
        <v>7</v>
      </c>
    </row>
    <row r="334" spans="1:7" ht="15" customHeight="1" thickBot="1">
      <c r="A334" s="683" t="s">
        <v>11</v>
      </c>
      <c r="B334" s="684"/>
      <c r="C334" s="119"/>
      <c r="D334" s="119"/>
      <c r="E334" s="119"/>
      <c r="F334" s="119"/>
      <c r="G334" s="120"/>
    </row>
    <row r="335" spans="1:7">
      <c r="A335" s="162" t="s">
        <v>12</v>
      </c>
      <c r="B335" s="116" t="s">
        <v>13</v>
      </c>
      <c r="C335" s="117">
        <f>'Devize obiecte evaluari'!F810</f>
        <v>0</v>
      </c>
      <c r="D335" s="117">
        <f>'Devize obiecte evaluari'!G810</f>
        <v>0</v>
      </c>
      <c r="E335" s="117">
        <f>'Devize obiecte evaluari'!H810</f>
        <v>0</v>
      </c>
      <c r="F335" s="117">
        <f>'Devize obiecte evaluari'!I810</f>
        <v>0</v>
      </c>
      <c r="G335" s="118">
        <f>'Devize obiecte evaluari'!J810</f>
        <v>0</v>
      </c>
    </row>
    <row r="336" spans="1:7">
      <c r="A336" s="74" t="s">
        <v>14</v>
      </c>
      <c r="B336" s="2" t="s">
        <v>15</v>
      </c>
      <c r="C336" s="54">
        <f>'Devize obiecte evaluari'!F813</f>
        <v>0</v>
      </c>
      <c r="D336" s="54">
        <f>'Devize obiecte evaluari'!G813</f>
        <v>0</v>
      </c>
      <c r="E336" s="54">
        <f>'Devize obiecte evaluari'!H813</f>
        <v>0</v>
      </c>
      <c r="F336" s="54">
        <f>'Devize obiecte evaluari'!I813</f>
        <v>0</v>
      </c>
      <c r="G336" s="55">
        <f>'Devize obiecte evaluari'!J813</f>
        <v>0</v>
      </c>
    </row>
    <row r="337" spans="1:7">
      <c r="A337" s="74" t="s">
        <v>16</v>
      </c>
      <c r="B337" s="2" t="s">
        <v>17</v>
      </c>
      <c r="C337" s="52">
        <f>'Devize obiecte evaluari'!F816</f>
        <v>0</v>
      </c>
      <c r="D337" s="52">
        <f>'Devize obiecte evaluari'!G816</f>
        <v>0</v>
      </c>
      <c r="E337" s="52">
        <f>'Devize obiecte evaluari'!H816</f>
        <v>0</v>
      </c>
      <c r="F337" s="52">
        <f>'Devize obiecte evaluari'!I816</f>
        <v>0</v>
      </c>
      <c r="G337" s="53">
        <f>'Devize obiecte evaluari'!J816</f>
        <v>0</v>
      </c>
    </row>
    <row r="338" spans="1:7">
      <c r="A338" s="74" t="s">
        <v>18</v>
      </c>
      <c r="B338" s="2" t="s">
        <v>19</v>
      </c>
      <c r="C338" s="52">
        <f>'Devize obiecte evaluari'!F819</f>
        <v>0</v>
      </c>
      <c r="D338" s="52">
        <f>'Devize obiecte evaluari'!G819</f>
        <v>0</v>
      </c>
      <c r="E338" s="52">
        <f>'Devize obiecte evaluari'!H819</f>
        <v>0</v>
      </c>
      <c r="F338" s="52">
        <f>'Devize obiecte evaluari'!I819</f>
        <v>0</v>
      </c>
      <c r="G338" s="53">
        <f>'Devize obiecte evaluari'!J819</f>
        <v>0</v>
      </c>
    </row>
    <row r="339" spans="1:7">
      <c r="A339" s="74" t="s">
        <v>20</v>
      </c>
      <c r="B339" s="2" t="s">
        <v>21</v>
      </c>
      <c r="C339" s="52">
        <f>'Devize obiecte evaluari'!F834</f>
        <v>0</v>
      </c>
      <c r="D339" s="52">
        <f>'Devize obiecte evaluari'!G834</f>
        <v>0</v>
      </c>
      <c r="E339" s="52">
        <f>'Devize obiecte evaluari'!H834</f>
        <v>0</v>
      </c>
      <c r="F339" s="52">
        <f>'Devize obiecte evaluari'!I834</f>
        <v>0</v>
      </c>
      <c r="G339" s="53">
        <f>'Devize obiecte evaluari'!J834</f>
        <v>0</v>
      </c>
    </row>
    <row r="340" spans="1:7" ht="25.5">
      <c r="A340" s="74" t="s">
        <v>22</v>
      </c>
      <c r="B340" s="2" t="s">
        <v>23</v>
      </c>
      <c r="C340" s="36">
        <f>'Devize obiecte evaluari'!F837</f>
        <v>0</v>
      </c>
      <c r="D340" s="36">
        <f>'Devize obiecte evaluari'!G837</f>
        <v>0</v>
      </c>
      <c r="E340" s="36">
        <f>'Devize obiecte evaluari'!H837</f>
        <v>0</v>
      </c>
      <c r="F340" s="36">
        <f>'Devize obiecte evaluari'!I837</f>
        <v>0</v>
      </c>
      <c r="G340" s="37">
        <f>'Devize obiecte evaluari'!J837</f>
        <v>0</v>
      </c>
    </row>
    <row r="341" spans="1:7">
      <c r="A341" s="74" t="s">
        <v>24</v>
      </c>
      <c r="B341" s="2" t="s">
        <v>25</v>
      </c>
      <c r="C341" s="52">
        <f>'Devize obiecte evaluari'!F840</f>
        <v>0</v>
      </c>
      <c r="D341" s="52">
        <f>'Devize obiecte evaluari'!G840</f>
        <v>0</v>
      </c>
      <c r="E341" s="52">
        <f>'Devize obiecte evaluari'!H840</f>
        <v>0</v>
      </c>
      <c r="F341" s="52">
        <f>'Devize obiecte evaluari'!I840</f>
        <v>0</v>
      </c>
      <c r="G341" s="53">
        <f>'Devize obiecte evaluari'!J840</f>
        <v>0</v>
      </c>
    </row>
    <row r="342" spans="1:7" ht="15.75" thickBot="1">
      <c r="A342" s="163" t="s">
        <v>99</v>
      </c>
      <c r="B342" s="121" t="s">
        <v>26</v>
      </c>
      <c r="C342" s="122">
        <f>'Devize obiecte evaluari'!F843</f>
        <v>0</v>
      </c>
      <c r="D342" s="122">
        <f>'Devize obiecte evaluari'!G843</f>
        <v>0</v>
      </c>
      <c r="E342" s="122">
        <f>'Devize obiecte evaluari'!H843</f>
        <v>0</v>
      </c>
      <c r="F342" s="122">
        <f>'Devize obiecte evaluari'!I843</f>
        <v>0</v>
      </c>
      <c r="G342" s="123">
        <f>'Devize obiecte evaluari'!J843</f>
        <v>0</v>
      </c>
    </row>
    <row r="343" spans="1:7" ht="15" customHeight="1" thickBot="1">
      <c r="A343" s="685" t="s">
        <v>27</v>
      </c>
      <c r="B343" s="686"/>
      <c r="C343" s="82">
        <f>SUM(C335:C342)</f>
        <v>0</v>
      </c>
      <c r="D343" s="82">
        <f t="shared" ref="D343:E343" si="51">SUM(D335:D342)</f>
        <v>0</v>
      </c>
      <c r="E343" s="82">
        <f t="shared" si="51"/>
        <v>0</v>
      </c>
      <c r="F343" s="82">
        <f>SUM(F335:F342)</f>
        <v>0</v>
      </c>
      <c r="G343" s="83">
        <f t="shared" ref="G343" si="52">SUM(G335:G342)</f>
        <v>0</v>
      </c>
    </row>
    <row r="344" spans="1:7" ht="15" customHeight="1" thickBot="1">
      <c r="A344" s="683" t="s">
        <v>28</v>
      </c>
      <c r="B344" s="684"/>
      <c r="C344" s="119"/>
      <c r="D344" s="119"/>
      <c r="E344" s="119"/>
      <c r="F344" s="119"/>
      <c r="G344" s="120"/>
    </row>
    <row r="345" spans="1:7" ht="15.75" thickBot="1">
      <c r="A345" s="126"/>
      <c r="B345" s="127" t="s">
        <v>29</v>
      </c>
      <c r="C345" s="128">
        <f>'Devize obiecte evaluari'!F848</f>
        <v>0</v>
      </c>
      <c r="D345" s="128">
        <f>'Devize obiecte evaluari'!G848</f>
        <v>0</v>
      </c>
      <c r="E345" s="128">
        <f>'Devize obiecte evaluari'!H848</f>
        <v>0</v>
      </c>
      <c r="F345" s="128">
        <f>'Devize obiecte evaluari'!I848</f>
        <v>0</v>
      </c>
      <c r="G345" s="129">
        <f>'Devize obiecte evaluari'!J848</f>
        <v>0</v>
      </c>
    </row>
    <row r="346" spans="1:7" ht="15" customHeight="1" thickBot="1">
      <c r="A346" s="685" t="s">
        <v>30</v>
      </c>
      <c r="B346" s="686"/>
      <c r="C346" s="62">
        <f>C345</f>
        <v>0</v>
      </c>
      <c r="D346" s="62">
        <f>D345</f>
        <v>0</v>
      </c>
      <c r="E346" s="62">
        <f>E345</f>
        <v>0</v>
      </c>
      <c r="F346" s="62">
        <f>F345</f>
        <v>0</v>
      </c>
      <c r="G346" s="63">
        <f>G345</f>
        <v>0</v>
      </c>
    </row>
    <row r="347" spans="1:7" ht="15" customHeight="1" thickBot="1">
      <c r="A347" s="683" t="s">
        <v>31</v>
      </c>
      <c r="B347" s="684"/>
      <c r="C347" s="119"/>
      <c r="D347" s="119"/>
      <c r="E347" s="119"/>
      <c r="F347" s="119"/>
      <c r="G347" s="120"/>
    </row>
    <row r="348" spans="1:7">
      <c r="A348" s="124"/>
      <c r="B348" s="125" t="s">
        <v>32</v>
      </c>
      <c r="C348" s="130">
        <f>'Devize obiecte evaluari'!F853</f>
        <v>0</v>
      </c>
      <c r="D348" s="130">
        <f>'Devize obiecte evaluari'!G853</f>
        <v>0</v>
      </c>
      <c r="E348" s="130">
        <f>'Devize obiecte evaluari'!H853</f>
        <v>0</v>
      </c>
      <c r="F348" s="130">
        <f>'Devize obiecte evaluari'!I853</f>
        <v>0</v>
      </c>
      <c r="G348" s="131">
        <f>'Devize obiecte evaluari'!J853</f>
        <v>0</v>
      </c>
    </row>
    <row r="349" spans="1:7">
      <c r="A349" s="58"/>
      <c r="B349" s="59" t="s">
        <v>33</v>
      </c>
      <c r="C349" s="60">
        <f>'Devize obiecte evaluari'!F856</f>
        <v>0</v>
      </c>
      <c r="D349" s="60">
        <f>'Devize obiecte evaluari'!G856</f>
        <v>0</v>
      </c>
      <c r="E349" s="60">
        <f>'Devize obiecte evaluari'!H856</f>
        <v>0</v>
      </c>
      <c r="F349" s="60">
        <f>'Devize obiecte evaluari'!I856</f>
        <v>0</v>
      </c>
      <c r="G349" s="61">
        <f>'Devize obiecte evaluari'!J856</f>
        <v>0</v>
      </c>
    </row>
    <row r="350" spans="1:7" ht="15.75" thickBot="1">
      <c r="A350" s="132"/>
      <c r="B350" s="133" t="s">
        <v>34</v>
      </c>
      <c r="C350" s="134">
        <f>'Devize obiecte evaluari'!F859</f>
        <v>0</v>
      </c>
      <c r="D350" s="134">
        <f>'Devize obiecte evaluari'!G859</f>
        <v>0</v>
      </c>
      <c r="E350" s="134">
        <f>'Devize obiecte evaluari'!H859</f>
        <v>0</v>
      </c>
      <c r="F350" s="134">
        <f>'Devize obiecte evaluari'!I859</f>
        <v>0</v>
      </c>
      <c r="G350" s="135">
        <f>'Devize obiecte evaluari'!J859</f>
        <v>0</v>
      </c>
    </row>
    <row r="351" spans="1:7" ht="15.75" customHeight="1" thickBot="1">
      <c r="A351" s="685" t="s">
        <v>35</v>
      </c>
      <c r="B351" s="686"/>
      <c r="C351" s="62">
        <f>SUM(C348:C350)</f>
        <v>0</v>
      </c>
      <c r="D351" s="62">
        <f t="shared" ref="D351:E351" si="53">SUM(D348:D350)</f>
        <v>0</v>
      </c>
      <c r="E351" s="62">
        <f t="shared" si="53"/>
        <v>0</v>
      </c>
      <c r="F351" s="62">
        <f>SUM(F348:F350)</f>
        <v>0</v>
      </c>
      <c r="G351" s="63">
        <f t="shared" ref="G351" si="54">SUM(G348:G350)</f>
        <v>0</v>
      </c>
    </row>
    <row r="352" spans="1:7" ht="15.75" customHeight="1" thickBot="1">
      <c r="A352" s="685" t="s">
        <v>36</v>
      </c>
      <c r="B352" s="686"/>
      <c r="C352" s="62">
        <f>SUM(C343,C346,C351)</f>
        <v>0</v>
      </c>
      <c r="D352" s="62">
        <f t="shared" ref="D352:E352" si="55">SUM(D343,D346,D351)</f>
        <v>0</v>
      </c>
      <c r="E352" s="62">
        <f t="shared" si="55"/>
        <v>0</v>
      </c>
      <c r="F352" s="62">
        <f>SUM(F343,F346,F351)</f>
        <v>0</v>
      </c>
      <c r="G352" s="63">
        <f t="shared" ref="G352" si="56">SUM(G343,G346,G351)</f>
        <v>0</v>
      </c>
    </row>
    <row r="353" spans="1:7">
      <c r="A353" s="39"/>
      <c r="B353" s="39"/>
      <c r="C353" s="42"/>
      <c r="D353" s="42"/>
      <c r="E353" s="42"/>
      <c r="F353" s="42"/>
      <c r="G353" s="42"/>
    </row>
    <row r="354" spans="1:7">
      <c r="A354" s="42"/>
      <c r="C354" s="42"/>
      <c r="D354" s="64"/>
      <c r="E354" s="42"/>
      <c r="F354" s="42"/>
      <c r="G354" s="42"/>
    </row>
    <row r="355" spans="1:7">
      <c r="A355" s="39"/>
      <c r="B355" s="65" t="s">
        <v>37</v>
      </c>
      <c r="C355" s="39"/>
      <c r="D355" s="66"/>
      <c r="E355" s="39"/>
      <c r="F355" s="39"/>
      <c r="G355" s="39"/>
    </row>
    <row r="356" spans="1:7">
      <c r="A356" s="39"/>
      <c r="B356" s="65" t="str">
        <f>'Date Generale'!$C$7</f>
        <v>S.C. Tehno Consoulting Solutions S.R.L.</v>
      </c>
      <c r="C356" s="39"/>
      <c r="D356" s="39"/>
      <c r="E356" s="39"/>
      <c r="F356" s="39"/>
      <c r="G356" s="39"/>
    </row>
    <row r="357" spans="1:7">
      <c r="A357" s="39"/>
      <c r="B357" s="39"/>
      <c r="C357" s="39"/>
      <c r="D357" s="39"/>
      <c r="E357" s="39"/>
      <c r="F357" s="39"/>
      <c r="G357" s="39"/>
    </row>
    <row r="358" spans="1:7">
      <c r="A358" s="39"/>
      <c r="B358" s="39"/>
      <c r="C358" s="39"/>
      <c r="D358" s="39"/>
      <c r="E358" s="39"/>
      <c r="F358" s="39"/>
      <c r="G358" s="39"/>
    </row>
    <row r="359" spans="1:7">
      <c r="A359" s="67"/>
      <c r="B359" s="67"/>
      <c r="C359" s="67"/>
      <c r="D359" s="67"/>
      <c r="E359" s="67"/>
      <c r="F359" s="67"/>
      <c r="G359" s="67"/>
    </row>
    <row r="360" spans="1:7" ht="15.75">
      <c r="A360" s="41" t="str">
        <f>"Beneficiar: " &amp;'Date Generale'!$C$6</f>
        <v xml:space="preserve">Beneficiar: Judetul Arges </v>
      </c>
      <c r="B360" s="41"/>
      <c r="C360" s="42"/>
      <c r="D360" s="42"/>
      <c r="E360" s="42"/>
      <c r="F360" s="42"/>
      <c r="G360" s="42"/>
    </row>
    <row r="361" spans="1:7" ht="15.75">
      <c r="A361" s="41" t="str">
        <f>"Denumire proiect: " &amp; 'Date Generale'!$C$3</f>
        <v>Denumire proiect: Modernizare DJ 703B Serbanesti (DJ659) - Silistea, km 70+410 - 77+826, 7.416km, in comunele Rociu si Cateasca</v>
      </c>
      <c r="B361" s="41"/>
      <c r="C361" s="43"/>
      <c r="D361" s="43"/>
      <c r="E361" s="43"/>
      <c r="F361" s="43"/>
      <c r="G361" s="43"/>
    </row>
    <row r="362" spans="1:7" ht="15.75">
      <c r="A362" s="41"/>
      <c r="B362" s="41"/>
      <c r="C362" s="44"/>
      <c r="D362" s="44"/>
      <c r="E362" s="44"/>
      <c r="F362" s="44"/>
      <c r="G362" s="44"/>
    </row>
    <row r="363" spans="1:7">
      <c r="A363" s="687" t="str">
        <f>"Devizul Obiectului: " &amp;'Date Generale'!$E$71</f>
        <v>Devizul Obiectului: Obiect 011: 0</v>
      </c>
      <c r="B363" s="687"/>
      <c r="C363" s="687"/>
      <c r="D363" s="687"/>
      <c r="E363" s="687"/>
      <c r="F363" s="687"/>
      <c r="G363" s="687"/>
    </row>
    <row r="364" spans="1:7">
      <c r="A364" s="371"/>
      <c r="B364" s="371"/>
      <c r="C364" s="371"/>
      <c r="D364" s="371"/>
      <c r="E364" s="371"/>
      <c r="F364" s="371"/>
      <c r="G364" s="371"/>
    </row>
    <row r="365" spans="1:7" ht="15.75" thickBot="1">
      <c r="A365" s="45"/>
      <c r="B365" s="46"/>
      <c r="C365" s="33"/>
      <c r="D365" s="47" t="s">
        <v>2</v>
      </c>
      <c r="E365" s="48">
        <f>'Date Generale'!$C$54</f>
        <v>4.7233000000000001</v>
      </c>
      <c r="F365" s="49" t="s">
        <v>3</v>
      </c>
      <c r="G365" s="50" t="str">
        <f>'Date Generale'!$D$54</f>
        <v>21,06,2019</v>
      </c>
    </row>
    <row r="366" spans="1:7" ht="15.75" thickBot="1">
      <c r="A366" s="688" t="s">
        <v>4</v>
      </c>
      <c r="B366" s="688" t="s">
        <v>5</v>
      </c>
      <c r="C366" s="689" t="s">
        <v>160</v>
      </c>
      <c r="D366" s="689"/>
      <c r="E366" s="372" t="s">
        <v>7</v>
      </c>
      <c r="F366" s="689" t="s">
        <v>159</v>
      </c>
      <c r="G366" s="689"/>
    </row>
    <row r="367" spans="1:7" ht="15.75" thickBot="1">
      <c r="A367" s="688"/>
      <c r="B367" s="688"/>
      <c r="C367" s="51" t="s">
        <v>9</v>
      </c>
      <c r="D367" s="51" t="s">
        <v>10</v>
      </c>
      <c r="E367" s="51" t="s">
        <v>9</v>
      </c>
      <c r="F367" s="51" t="s">
        <v>9</v>
      </c>
      <c r="G367" s="51" t="s">
        <v>10</v>
      </c>
    </row>
    <row r="368" spans="1:7" ht="15.75" thickBot="1">
      <c r="A368" s="1">
        <v>1</v>
      </c>
      <c r="B368" s="1">
        <v>2</v>
      </c>
      <c r="C368" s="1">
        <v>3</v>
      </c>
      <c r="D368" s="1">
        <v>4</v>
      </c>
      <c r="E368" s="1">
        <v>5</v>
      </c>
      <c r="F368" s="1">
        <v>6</v>
      </c>
      <c r="G368" s="1">
        <v>7</v>
      </c>
    </row>
    <row r="369" spans="1:7" ht="15.75" thickBot="1">
      <c r="A369" s="683" t="s">
        <v>11</v>
      </c>
      <c r="B369" s="684"/>
      <c r="C369" s="119"/>
      <c r="D369" s="119"/>
      <c r="E369" s="119"/>
      <c r="F369" s="119"/>
      <c r="G369" s="120"/>
    </row>
    <row r="370" spans="1:7">
      <c r="A370" s="162" t="s">
        <v>12</v>
      </c>
      <c r="B370" s="116" t="s">
        <v>13</v>
      </c>
      <c r="C370" s="378">
        <f>'Devize obiecte evaluari'!F882</f>
        <v>0</v>
      </c>
      <c r="D370" s="378">
        <f>'Devize obiecte evaluari'!G882</f>
        <v>0</v>
      </c>
      <c r="E370" s="378">
        <f>'Devize obiecte evaluari'!H882</f>
        <v>0</v>
      </c>
      <c r="F370" s="378">
        <f>'Devize obiecte evaluari'!I882</f>
        <v>0</v>
      </c>
      <c r="G370" s="379">
        <f>'Devize obiecte evaluari'!J882</f>
        <v>0</v>
      </c>
    </row>
    <row r="371" spans="1:7">
      <c r="A371" s="74" t="s">
        <v>14</v>
      </c>
      <c r="B371" s="2" t="s">
        <v>15</v>
      </c>
      <c r="C371" s="54">
        <f>'Devize obiecte evaluari'!F885</f>
        <v>0</v>
      </c>
      <c r="D371" s="54">
        <f>'Devize obiecte evaluari'!G885</f>
        <v>0</v>
      </c>
      <c r="E371" s="54">
        <f>'Devize obiecte evaluari'!H885</f>
        <v>0</v>
      </c>
      <c r="F371" s="54">
        <f>'Devize obiecte evaluari'!I885</f>
        <v>0</v>
      </c>
      <c r="G371" s="55">
        <f>'Devize obiecte evaluari'!J885</f>
        <v>0</v>
      </c>
    </row>
    <row r="372" spans="1:7">
      <c r="A372" s="74" t="s">
        <v>16</v>
      </c>
      <c r="B372" s="2" t="s">
        <v>17</v>
      </c>
      <c r="C372" s="52">
        <f>'Devize obiecte evaluari'!F888</f>
        <v>0</v>
      </c>
      <c r="D372" s="52">
        <f>'Devize obiecte evaluari'!G888</f>
        <v>0</v>
      </c>
      <c r="E372" s="52">
        <f>'Devize obiecte evaluari'!H888</f>
        <v>0</v>
      </c>
      <c r="F372" s="52">
        <f>'Devize obiecte evaluari'!I888</f>
        <v>0</v>
      </c>
      <c r="G372" s="53">
        <f>'Devize obiecte evaluari'!J888</f>
        <v>0</v>
      </c>
    </row>
    <row r="373" spans="1:7">
      <c r="A373" s="74" t="s">
        <v>18</v>
      </c>
      <c r="B373" s="2" t="s">
        <v>19</v>
      </c>
      <c r="C373" s="52">
        <f>'Devize obiecte evaluari'!F891</f>
        <v>0</v>
      </c>
      <c r="D373" s="52">
        <f>'Devize obiecte evaluari'!G891</f>
        <v>0</v>
      </c>
      <c r="E373" s="52">
        <f>'Devize obiecte evaluari'!H891</f>
        <v>0</v>
      </c>
      <c r="F373" s="52">
        <f>'Devize obiecte evaluari'!I891</f>
        <v>0</v>
      </c>
      <c r="G373" s="53">
        <f>'Devize obiecte evaluari'!J891</f>
        <v>0</v>
      </c>
    </row>
    <row r="374" spans="1:7">
      <c r="A374" s="74" t="s">
        <v>20</v>
      </c>
      <c r="B374" s="2" t="s">
        <v>21</v>
      </c>
      <c r="C374" s="52">
        <f>'Devize obiecte evaluari'!F906</f>
        <v>0</v>
      </c>
      <c r="D374" s="52">
        <f>'Devize obiecte evaluari'!G906</f>
        <v>0</v>
      </c>
      <c r="E374" s="52">
        <f>'Devize obiecte evaluari'!H906</f>
        <v>0</v>
      </c>
      <c r="F374" s="52">
        <f>'Devize obiecte evaluari'!I906</f>
        <v>0</v>
      </c>
      <c r="G374" s="53">
        <f>'Devize obiecte evaluari'!J906</f>
        <v>0</v>
      </c>
    </row>
    <row r="375" spans="1:7" ht="25.5">
      <c r="A375" s="74" t="s">
        <v>22</v>
      </c>
      <c r="B375" s="2" t="s">
        <v>23</v>
      </c>
      <c r="C375" s="36">
        <f>'Devize obiecte evaluari'!F909</f>
        <v>0</v>
      </c>
      <c r="D375" s="36">
        <f>'Devize obiecte evaluari'!G909</f>
        <v>0</v>
      </c>
      <c r="E375" s="36">
        <f>'Devize obiecte evaluari'!H909</f>
        <v>0</v>
      </c>
      <c r="F375" s="36">
        <f>'Devize obiecte evaluari'!I909</f>
        <v>0</v>
      </c>
      <c r="G375" s="37">
        <f>'Devize obiecte evaluari'!J909</f>
        <v>0</v>
      </c>
    </row>
    <row r="376" spans="1:7">
      <c r="A376" s="74" t="s">
        <v>24</v>
      </c>
      <c r="B376" s="2" t="s">
        <v>25</v>
      </c>
      <c r="C376" s="52">
        <f>'Devize obiecte evaluari'!F912</f>
        <v>0</v>
      </c>
      <c r="D376" s="52">
        <f>'Devize obiecte evaluari'!G912</f>
        <v>0</v>
      </c>
      <c r="E376" s="52">
        <f>'Devize obiecte evaluari'!H912</f>
        <v>0</v>
      </c>
      <c r="F376" s="52">
        <f>'Devize obiecte evaluari'!I912</f>
        <v>0</v>
      </c>
      <c r="G376" s="53">
        <f>'Devize obiecte evaluari'!J912</f>
        <v>0</v>
      </c>
    </row>
    <row r="377" spans="1:7" ht="15.75" thickBot="1">
      <c r="A377" s="163" t="s">
        <v>99</v>
      </c>
      <c r="B377" s="121" t="s">
        <v>26</v>
      </c>
      <c r="C377" s="380">
        <f>'Devize obiecte evaluari'!F915</f>
        <v>0</v>
      </c>
      <c r="D377" s="380">
        <f>'Devize obiecte evaluari'!G915</f>
        <v>0</v>
      </c>
      <c r="E377" s="380">
        <f>'Devize obiecte evaluari'!H915</f>
        <v>0</v>
      </c>
      <c r="F377" s="380">
        <f>'Devize obiecte evaluari'!I915</f>
        <v>0</v>
      </c>
      <c r="G377" s="381">
        <f>'Devize obiecte evaluari'!J915</f>
        <v>0</v>
      </c>
    </row>
    <row r="378" spans="1:7" ht="15.75" thickBot="1">
      <c r="A378" s="685" t="s">
        <v>27</v>
      </c>
      <c r="B378" s="686"/>
      <c r="C378" s="82">
        <f>SUM(C370:C377)</f>
        <v>0</v>
      </c>
      <c r="D378" s="82">
        <f t="shared" ref="D378:E378" si="57">SUM(D370:D377)</f>
        <v>0</v>
      </c>
      <c r="E378" s="82">
        <f t="shared" si="57"/>
        <v>0</v>
      </c>
      <c r="F378" s="82">
        <f>SUM(F370:F377)</f>
        <v>0</v>
      </c>
      <c r="G378" s="83">
        <f t="shared" ref="G378" si="58">SUM(G370:G377)</f>
        <v>0</v>
      </c>
    </row>
    <row r="379" spans="1:7" ht="15.75" thickBot="1">
      <c r="A379" s="683" t="s">
        <v>28</v>
      </c>
      <c r="B379" s="684"/>
      <c r="C379" s="119"/>
      <c r="D379" s="119"/>
      <c r="E379" s="119"/>
      <c r="F379" s="119"/>
      <c r="G379" s="120"/>
    </row>
    <row r="380" spans="1:7" ht="15.75" thickBot="1">
      <c r="A380" s="126"/>
      <c r="B380" s="127" t="s">
        <v>29</v>
      </c>
      <c r="C380" s="128">
        <f>'Devize obiecte evaluari'!F920</f>
        <v>0</v>
      </c>
      <c r="D380" s="128">
        <f>'Devize obiecte evaluari'!G920</f>
        <v>0</v>
      </c>
      <c r="E380" s="128">
        <f>'Devize obiecte evaluari'!H920</f>
        <v>0</v>
      </c>
      <c r="F380" s="128">
        <f>'Devize obiecte evaluari'!I920</f>
        <v>0</v>
      </c>
      <c r="G380" s="129">
        <f>'Devize obiecte evaluari'!J920</f>
        <v>0</v>
      </c>
    </row>
    <row r="381" spans="1:7" ht="15.75" thickBot="1">
      <c r="A381" s="685" t="s">
        <v>30</v>
      </c>
      <c r="B381" s="686"/>
      <c r="C381" s="62">
        <f>C380</f>
        <v>0</v>
      </c>
      <c r="D381" s="62">
        <f>D380</f>
        <v>0</v>
      </c>
      <c r="E381" s="62">
        <f>E380</f>
        <v>0</v>
      </c>
      <c r="F381" s="62">
        <f>F380</f>
        <v>0</v>
      </c>
      <c r="G381" s="63">
        <f>G380</f>
        <v>0</v>
      </c>
    </row>
    <row r="382" spans="1:7" ht="15.75" thickBot="1">
      <c r="A382" s="683" t="s">
        <v>31</v>
      </c>
      <c r="B382" s="684"/>
      <c r="C382" s="119"/>
      <c r="D382" s="119"/>
      <c r="E382" s="119"/>
      <c r="F382" s="119"/>
      <c r="G382" s="120"/>
    </row>
    <row r="383" spans="1:7">
      <c r="A383" s="124"/>
      <c r="B383" s="125" t="s">
        <v>32</v>
      </c>
      <c r="C383" s="382">
        <f>'Devize obiecte evaluari'!F925</f>
        <v>0</v>
      </c>
      <c r="D383" s="382">
        <f>'Devize obiecte evaluari'!G925</f>
        <v>0</v>
      </c>
      <c r="E383" s="382">
        <f>'Devize obiecte evaluari'!H925</f>
        <v>0</v>
      </c>
      <c r="F383" s="382">
        <f>'Devize obiecte evaluari'!I925</f>
        <v>0</v>
      </c>
      <c r="G383" s="383">
        <f>'Devize obiecte evaluari'!J925</f>
        <v>0</v>
      </c>
    </row>
    <row r="384" spans="1:7">
      <c r="A384" s="58"/>
      <c r="B384" s="59" t="s">
        <v>33</v>
      </c>
      <c r="C384" s="60">
        <f>'Devize obiecte evaluari'!F928</f>
        <v>0</v>
      </c>
      <c r="D384" s="60">
        <f>'Devize obiecte evaluari'!G928</f>
        <v>0</v>
      </c>
      <c r="E384" s="60">
        <f>'Devize obiecte evaluari'!H928</f>
        <v>0</v>
      </c>
      <c r="F384" s="60">
        <f>'Devize obiecte evaluari'!I928</f>
        <v>0</v>
      </c>
      <c r="G384" s="61">
        <f>'Devize obiecte evaluari'!J928</f>
        <v>0</v>
      </c>
    </row>
    <row r="385" spans="1:7" ht="15.75" thickBot="1">
      <c r="A385" s="132"/>
      <c r="B385" s="133" t="s">
        <v>34</v>
      </c>
      <c r="C385" s="384">
        <f>'Devize obiecte evaluari'!F931</f>
        <v>0</v>
      </c>
      <c r="D385" s="384">
        <f>'Devize obiecte evaluari'!G931</f>
        <v>0</v>
      </c>
      <c r="E385" s="384">
        <f>'Devize obiecte evaluari'!H931</f>
        <v>0</v>
      </c>
      <c r="F385" s="384">
        <f>'Devize obiecte evaluari'!I931</f>
        <v>0</v>
      </c>
      <c r="G385" s="385">
        <f>'Devize obiecte evaluari'!J931</f>
        <v>0</v>
      </c>
    </row>
    <row r="386" spans="1:7" ht="15.75" thickBot="1">
      <c r="A386" s="685" t="s">
        <v>35</v>
      </c>
      <c r="B386" s="686"/>
      <c r="C386" s="62">
        <f>SUM(C383:C385)</f>
        <v>0</v>
      </c>
      <c r="D386" s="62">
        <f t="shared" ref="D386:E386" si="59">SUM(D383:D385)</f>
        <v>0</v>
      </c>
      <c r="E386" s="62">
        <f t="shared" si="59"/>
        <v>0</v>
      </c>
      <c r="F386" s="62">
        <f>SUM(F383:F385)</f>
        <v>0</v>
      </c>
      <c r="G386" s="63">
        <f t="shared" ref="G386" si="60">SUM(G383:G385)</f>
        <v>0</v>
      </c>
    </row>
    <row r="387" spans="1:7" ht="15.75" thickBot="1">
      <c r="A387" s="685" t="s">
        <v>36</v>
      </c>
      <c r="B387" s="686"/>
      <c r="C387" s="62">
        <f>SUM(C378,C381,C386)</f>
        <v>0</v>
      </c>
      <c r="D387" s="62">
        <f t="shared" ref="D387:E387" si="61">SUM(D378,D381,D386)</f>
        <v>0</v>
      </c>
      <c r="E387" s="62">
        <f t="shared" si="61"/>
        <v>0</v>
      </c>
      <c r="F387" s="62">
        <f>SUM(F378,F381,F386)</f>
        <v>0</v>
      </c>
      <c r="G387" s="63">
        <f t="shared" ref="G387" si="62">SUM(G378,G381,G386)</f>
        <v>0</v>
      </c>
    </row>
    <row r="388" spans="1:7">
      <c r="A388" s="39"/>
      <c r="B388" s="39"/>
      <c r="C388" s="42"/>
      <c r="D388" s="42"/>
      <c r="E388" s="42"/>
      <c r="F388" s="42"/>
      <c r="G388" s="42"/>
    </row>
    <row r="389" spans="1:7">
      <c r="A389" s="42"/>
      <c r="C389" s="42"/>
      <c r="D389" s="64"/>
      <c r="E389" s="42"/>
      <c r="F389" s="42"/>
      <c r="G389" s="42"/>
    </row>
    <row r="390" spans="1:7">
      <c r="A390" s="39"/>
      <c r="B390" s="65" t="s">
        <v>37</v>
      </c>
      <c r="C390" s="39"/>
      <c r="D390" s="66"/>
      <c r="E390" s="39"/>
      <c r="F390" s="39"/>
      <c r="G390" s="39"/>
    </row>
    <row r="391" spans="1:7">
      <c r="A391" s="39"/>
      <c r="B391" s="65" t="str">
        <f>'Date Generale'!$C$7</f>
        <v>S.C. Tehno Consoulting Solutions S.R.L.</v>
      </c>
      <c r="C391" s="39"/>
      <c r="D391" s="39"/>
      <c r="E391" s="39"/>
      <c r="F391" s="39"/>
      <c r="G391" s="39"/>
    </row>
    <row r="392" spans="1:7">
      <c r="A392" s="39"/>
      <c r="B392" s="39"/>
      <c r="C392" s="39"/>
      <c r="D392" s="39"/>
      <c r="E392" s="39"/>
      <c r="F392" s="39"/>
      <c r="G392" s="39"/>
    </row>
    <row r="393" spans="1:7">
      <c r="A393" s="39"/>
      <c r="B393" s="39"/>
      <c r="C393" s="39"/>
      <c r="D393" s="39"/>
      <c r="E393" s="39"/>
      <c r="F393" s="39"/>
      <c r="G393" s="39"/>
    </row>
    <row r="394" spans="1:7">
      <c r="A394" s="67"/>
      <c r="B394" s="67"/>
      <c r="C394" s="67"/>
      <c r="D394" s="67"/>
      <c r="E394" s="67"/>
      <c r="F394" s="67"/>
      <c r="G394" s="67"/>
    </row>
    <row r="395" spans="1:7" ht="15.75">
      <c r="A395" s="41" t="str">
        <f>"Beneficiar: " &amp;'Date Generale'!$C$6</f>
        <v xml:space="preserve">Beneficiar: Judetul Arges </v>
      </c>
      <c r="B395" s="41"/>
      <c r="C395" s="42"/>
      <c r="D395" s="42"/>
      <c r="E395" s="42"/>
      <c r="F395" s="42"/>
      <c r="G395" s="42"/>
    </row>
    <row r="396" spans="1:7" ht="15.75">
      <c r="A396" s="41" t="str">
        <f>"Denumire proiect: " &amp; 'Date Generale'!$C$3</f>
        <v>Denumire proiect: Modernizare DJ 703B Serbanesti (DJ659) - Silistea, km 70+410 - 77+826, 7.416km, in comunele Rociu si Cateasca</v>
      </c>
      <c r="B396" s="41"/>
      <c r="C396" s="43"/>
      <c r="D396" s="43"/>
      <c r="E396" s="43"/>
      <c r="F396" s="43"/>
      <c r="G396" s="43"/>
    </row>
    <row r="397" spans="1:7" ht="15.75">
      <c r="A397" s="41"/>
      <c r="B397" s="41"/>
      <c r="C397" s="44"/>
      <c r="D397" s="44"/>
      <c r="E397" s="44"/>
      <c r="F397" s="44"/>
      <c r="G397" s="44"/>
    </row>
    <row r="398" spans="1:7">
      <c r="A398" s="687" t="str">
        <f>"Devizul Obiectului: " &amp;'Date Generale'!$E$72</f>
        <v>Devizul Obiectului: Obiect 012: 0</v>
      </c>
      <c r="B398" s="687"/>
      <c r="C398" s="687"/>
      <c r="D398" s="687"/>
      <c r="E398" s="687"/>
      <c r="F398" s="687"/>
      <c r="G398" s="687"/>
    </row>
    <row r="399" spans="1:7">
      <c r="A399" s="371"/>
      <c r="B399" s="371"/>
      <c r="C399" s="371"/>
      <c r="D399" s="371"/>
      <c r="E399" s="371"/>
      <c r="F399" s="371"/>
      <c r="G399" s="371"/>
    </row>
    <row r="400" spans="1:7" ht="15.75" thickBot="1">
      <c r="A400" s="45"/>
      <c r="B400" s="46"/>
      <c r="C400" s="33"/>
      <c r="D400" s="47" t="s">
        <v>2</v>
      </c>
      <c r="E400" s="48">
        <f>'Date Generale'!$C$54</f>
        <v>4.7233000000000001</v>
      </c>
      <c r="F400" s="49" t="s">
        <v>3</v>
      </c>
      <c r="G400" s="50" t="str">
        <f>'Date Generale'!$D$54</f>
        <v>21,06,2019</v>
      </c>
    </row>
    <row r="401" spans="1:7" ht="15.75" thickBot="1">
      <c r="A401" s="688" t="s">
        <v>4</v>
      </c>
      <c r="B401" s="688" t="s">
        <v>5</v>
      </c>
      <c r="C401" s="689" t="s">
        <v>160</v>
      </c>
      <c r="D401" s="689"/>
      <c r="E401" s="372" t="s">
        <v>7</v>
      </c>
      <c r="F401" s="689" t="s">
        <v>159</v>
      </c>
      <c r="G401" s="689"/>
    </row>
    <row r="402" spans="1:7" ht="15.75" thickBot="1">
      <c r="A402" s="688"/>
      <c r="B402" s="688"/>
      <c r="C402" s="51" t="s">
        <v>9</v>
      </c>
      <c r="D402" s="51" t="s">
        <v>10</v>
      </c>
      <c r="E402" s="51" t="s">
        <v>9</v>
      </c>
      <c r="F402" s="51" t="s">
        <v>9</v>
      </c>
      <c r="G402" s="51" t="s">
        <v>10</v>
      </c>
    </row>
    <row r="403" spans="1:7" ht="15.75" thickBot="1">
      <c r="A403" s="1">
        <v>1</v>
      </c>
      <c r="B403" s="1">
        <v>2</v>
      </c>
      <c r="C403" s="1">
        <v>3</v>
      </c>
      <c r="D403" s="1">
        <v>4</v>
      </c>
      <c r="E403" s="1">
        <v>5</v>
      </c>
      <c r="F403" s="1">
        <v>6</v>
      </c>
      <c r="G403" s="1">
        <v>7</v>
      </c>
    </row>
    <row r="404" spans="1:7" ht="15.75" thickBot="1">
      <c r="A404" s="683" t="s">
        <v>11</v>
      </c>
      <c r="B404" s="684"/>
      <c r="C404" s="119"/>
      <c r="D404" s="119"/>
      <c r="E404" s="119"/>
      <c r="F404" s="119"/>
      <c r="G404" s="120"/>
    </row>
    <row r="405" spans="1:7">
      <c r="A405" s="162" t="s">
        <v>12</v>
      </c>
      <c r="B405" s="116" t="s">
        <v>13</v>
      </c>
      <c r="C405" s="378">
        <f>'Devize obiecte evaluari'!F954</f>
        <v>0</v>
      </c>
      <c r="D405" s="378">
        <f>'Devize obiecte evaluari'!G954</f>
        <v>0</v>
      </c>
      <c r="E405" s="378">
        <f>'Devize obiecte evaluari'!H954</f>
        <v>0</v>
      </c>
      <c r="F405" s="378">
        <f>'Devize obiecte evaluari'!I954</f>
        <v>0</v>
      </c>
      <c r="G405" s="379">
        <f>'Devize obiecte evaluari'!J954</f>
        <v>0</v>
      </c>
    </row>
    <row r="406" spans="1:7">
      <c r="A406" s="74" t="s">
        <v>14</v>
      </c>
      <c r="B406" s="2" t="s">
        <v>15</v>
      </c>
      <c r="C406" s="54">
        <f>'Devize obiecte evaluari'!F957</f>
        <v>0</v>
      </c>
      <c r="D406" s="54">
        <f>'Devize obiecte evaluari'!G957</f>
        <v>0</v>
      </c>
      <c r="E406" s="54">
        <f>'Devize obiecte evaluari'!H957</f>
        <v>0</v>
      </c>
      <c r="F406" s="54">
        <f>'Devize obiecte evaluari'!I957</f>
        <v>0</v>
      </c>
      <c r="G406" s="55">
        <f>'Devize obiecte evaluari'!J957</f>
        <v>0</v>
      </c>
    </row>
    <row r="407" spans="1:7">
      <c r="A407" s="74" t="s">
        <v>16</v>
      </c>
      <c r="B407" s="2" t="s">
        <v>17</v>
      </c>
      <c r="C407" s="52">
        <f>'Devize obiecte evaluari'!F960</f>
        <v>0</v>
      </c>
      <c r="D407" s="52">
        <f>'Devize obiecte evaluari'!G960</f>
        <v>0</v>
      </c>
      <c r="E407" s="52">
        <f>'Devize obiecte evaluari'!H960</f>
        <v>0</v>
      </c>
      <c r="F407" s="52">
        <f>'Devize obiecte evaluari'!I960</f>
        <v>0</v>
      </c>
      <c r="G407" s="53">
        <f>'Devize obiecte evaluari'!J960</f>
        <v>0</v>
      </c>
    </row>
    <row r="408" spans="1:7">
      <c r="A408" s="74" t="s">
        <v>18</v>
      </c>
      <c r="B408" s="2" t="s">
        <v>19</v>
      </c>
      <c r="C408" s="52">
        <f>'Devize obiecte evaluari'!F963</f>
        <v>0</v>
      </c>
      <c r="D408" s="52">
        <f>'Devize obiecte evaluari'!G963</f>
        <v>0</v>
      </c>
      <c r="E408" s="52">
        <f>'Devize obiecte evaluari'!H963</f>
        <v>0</v>
      </c>
      <c r="F408" s="52">
        <f>'Devize obiecte evaluari'!I963</f>
        <v>0</v>
      </c>
      <c r="G408" s="53">
        <f>'Devize obiecte evaluari'!J963</f>
        <v>0</v>
      </c>
    </row>
    <row r="409" spans="1:7">
      <c r="A409" s="74" t="s">
        <v>20</v>
      </c>
      <c r="B409" s="2" t="s">
        <v>21</v>
      </c>
      <c r="C409" s="52">
        <f>'Devize obiecte evaluari'!F978</f>
        <v>0</v>
      </c>
      <c r="D409" s="52">
        <f>'Devize obiecte evaluari'!G978</f>
        <v>0</v>
      </c>
      <c r="E409" s="52">
        <f>'Devize obiecte evaluari'!H978</f>
        <v>0</v>
      </c>
      <c r="F409" s="52">
        <f>'Devize obiecte evaluari'!I978</f>
        <v>0</v>
      </c>
      <c r="G409" s="53">
        <f>'Devize obiecte evaluari'!J978</f>
        <v>0</v>
      </c>
    </row>
    <row r="410" spans="1:7" ht="25.5">
      <c r="A410" s="74" t="s">
        <v>22</v>
      </c>
      <c r="B410" s="2" t="s">
        <v>23</v>
      </c>
      <c r="C410" s="36">
        <f>'Devize obiecte evaluari'!F981</f>
        <v>0</v>
      </c>
      <c r="D410" s="36">
        <f>'Devize obiecte evaluari'!G981</f>
        <v>0</v>
      </c>
      <c r="E410" s="36">
        <f>'Devize obiecte evaluari'!H981</f>
        <v>0</v>
      </c>
      <c r="F410" s="36">
        <f>'Devize obiecte evaluari'!I981</f>
        <v>0</v>
      </c>
      <c r="G410" s="37">
        <f>'Devize obiecte evaluari'!J981</f>
        <v>0</v>
      </c>
    </row>
    <row r="411" spans="1:7">
      <c r="A411" s="74" t="s">
        <v>24</v>
      </c>
      <c r="B411" s="2" t="s">
        <v>25</v>
      </c>
      <c r="C411" s="52">
        <f>'Devize obiecte evaluari'!F984</f>
        <v>0</v>
      </c>
      <c r="D411" s="52">
        <f>'Devize obiecte evaluari'!G984</f>
        <v>0</v>
      </c>
      <c r="E411" s="52">
        <f>'Devize obiecte evaluari'!H984</f>
        <v>0</v>
      </c>
      <c r="F411" s="52">
        <f>'Devize obiecte evaluari'!I984</f>
        <v>0</v>
      </c>
      <c r="G411" s="53">
        <f>'Devize obiecte evaluari'!J984</f>
        <v>0</v>
      </c>
    </row>
    <row r="412" spans="1:7" ht="15.75" thickBot="1">
      <c r="A412" s="163" t="s">
        <v>99</v>
      </c>
      <c r="B412" s="121" t="s">
        <v>26</v>
      </c>
      <c r="C412" s="380">
        <f>'Devize obiecte evaluari'!F987</f>
        <v>0</v>
      </c>
      <c r="D412" s="380">
        <f>'Devize obiecte evaluari'!G987</f>
        <v>0</v>
      </c>
      <c r="E412" s="380">
        <f>'Devize obiecte evaluari'!H987</f>
        <v>0</v>
      </c>
      <c r="F412" s="380">
        <f>'Devize obiecte evaluari'!I987</f>
        <v>0</v>
      </c>
      <c r="G412" s="381">
        <f>'Devize obiecte evaluari'!J987</f>
        <v>0</v>
      </c>
    </row>
    <row r="413" spans="1:7" ht="15.75" thickBot="1">
      <c r="A413" s="685" t="s">
        <v>27</v>
      </c>
      <c r="B413" s="686"/>
      <c r="C413" s="82">
        <f>SUM(C405:C412)</f>
        <v>0</v>
      </c>
      <c r="D413" s="82">
        <f t="shared" ref="D413:E413" si="63">SUM(D405:D412)</f>
        <v>0</v>
      </c>
      <c r="E413" s="82">
        <f t="shared" si="63"/>
        <v>0</v>
      </c>
      <c r="F413" s="82">
        <f>SUM(F405:F412)</f>
        <v>0</v>
      </c>
      <c r="G413" s="83">
        <f t="shared" ref="G413" si="64">SUM(G405:G412)</f>
        <v>0</v>
      </c>
    </row>
    <row r="414" spans="1:7" ht="15.75" thickBot="1">
      <c r="A414" s="683" t="s">
        <v>28</v>
      </c>
      <c r="B414" s="684"/>
      <c r="C414" s="119"/>
      <c r="D414" s="119"/>
      <c r="E414" s="119"/>
      <c r="F414" s="119"/>
      <c r="G414" s="120"/>
    </row>
    <row r="415" spans="1:7" ht="15.75" thickBot="1">
      <c r="A415" s="126"/>
      <c r="B415" s="127" t="s">
        <v>29</v>
      </c>
      <c r="C415" s="128">
        <f>'Devize obiecte evaluari'!F992</f>
        <v>0</v>
      </c>
      <c r="D415" s="128">
        <f>'Devize obiecte evaluari'!G992</f>
        <v>0</v>
      </c>
      <c r="E415" s="128">
        <f>'Devize obiecte evaluari'!H992</f>
        <v>0</v>
      </c>
      <c r="F415" s="128">
        <f>'Devize obiecte evaluari'!I992</f>
        <v>0</v>
      </c>
      <c r="G415" s="129">
        <f>'Devize obiecte evaluari'!J992</f>
        <v>0</v>
      </c>
    </row>
    <row r="416" spans="1:7" ht="15.75" thickBot="1">
      <c r="A416" s="685" t="s">
        <v>30</v>
      </c>
      <c r="B416" s="686"/>
      <c r="C416" s="62">
        <f>C415</f>
        <v>0</v>
      </c>
      <c r="D416" s="62">
        <f>D415</f>
        <v>0</v>
      </c>
      <c r="E416" s="62">
        <f>E415</f>
        <v>0</v>
      </c>
      <c r="F416" s="62">
        <f>F415</f>
        <v>0</v>
      </c>
      <c r="G416" s="63">
        <f>G415</f>
        <v>0</v>
      </c>
    </row>
    <row r="417" spans="1:7" ht="15.75" thickBot="1">
      <c r="A417" s="683" t="s">
        <v>31</v>
      </c>
      <c r="B417" s="684"/>
      <c r="C417" s="119"/>
      <c r="D417" s="119"/>
      <c r="E417" s="119"/>
      <c r="F417" s="119"/>
      <c r="G417" s="120"/>
    </row>
    <row r="418" spans="1:7">
      <c r="A418" s="124"/>
      <c r="B418" s="125" t="s">
        <v>32</v>
      </c>
      <c r="C418" s="382">
        <f>'Devize obiecte evaluari'!F997</f>
        <v>0</v>
      </c>
      <c r="D418" s="382">
        <f>'Devize obiecte evaluari'!G997</f>
        <v>0</v>
      </c>
      <c r="E418" s="382">
        <f>'Devize obiecte evaluari'!H997</f>
        <v>0</v>
      </c>
      <c r="F418" s="382">
        <f>'Devize obiecte evaluari'!I997</f>
        <v>0</v>
      </c>
      <c r="G418" s="383">
        <f>'Devize obiecte evaluari'!J997</f>
        <v>0</v>
      </c>
    </row>
    <row r="419" spans="1:7">
      <c r="A419" s="58"/>
      <c r="B419" s="59" t="s">
        <v>33</v>
      </c>
      <c r="C419" s="60">
        <f>'Devize obiecte evaluari'!F1000</f>
        <v>0</v>
      </c>
      <c r="D419" s="60">
        <f>'Devize obiecte evaluari'!G1000</f>
        <v>0</v>
      </c>
      <c r="E419" s="60">
        <f>'Devize obiecte evaluari'!H1000</f>
        <v>0</v>
      </c>
      <c r="F419" s="60">
        <f>'Devize obiecte evaluari'!I1000</f>
        <v>0</v>
      </c>
      <c r="G419" s="61">
        <f>'Devize obiecte evaluari'!J1000</f>
        <v>0</v>
      </c>
    </row>
    <row r="420" spans="1:7" ht="15.75" thickBot="1">
      <c r="A420" s="132"/>
      <c r="B420" s="133" t="s">
        <v>34</v>
      </c>
      <c r="C420" s="384">
        <f>'Devize obiecte evaluari'!F1003</f>
        <v>0</v>
      </c>
      <c r="D420" s="384">
        <f>'Devize obiecte evaluari'!G1003</f>
        <v>0</v>
      </c>
      <c r="E420" s="384">
        <f>'Devize obiecte evaluari'!H1003</f>
        <v>0</v>
      </c>
      <c r="F420" s="384">
        <f>'Devize obiecte evaluari'!I1003</f>
        <v>0</v>
      </c>
      <c r="G420" s="385">
        <f>'Devize obiecte evaluari'!J1003</f>
        <v>0</v>
      </c>
    </row>
    <row r="421" spans="1:7" ht="15.75" thickBot="1">
      <c r="A421" s="685" t="s">
        <v>35</v>
      </c>
      <c r="B421" s="686"/>
      <c r="C421" s="62">
        <f>SUM(C418:C420)</f>
        <v>0</v>
      </c>
      <c r="D421" s="62">
        <f t="shared" ref="D421:E421" si="65">SUM(D418:D420)</f>
        <v>0</v>
      </c>
      <c r="E421" s="62">
        <f t="shared" si="65"/>
        <v>0</v>
      </c>
      <c r="F421" s="62">
        <f>SUM(F418:F420)</f>
        <v>0</v>
      </c>
      <c r="G421" s="63">
        <f t="shared" ref="G421" si="66">SUM(G418:G420)</f>
        <v>0</v>
      </c>
    </row>
    <row r="422" spans="1:7" ht="15.75" thickBot="1">
      <c r="A422" s="685" t="s">
        <v>36</v>
      </c>
      <c r="B422" s="686"/>
      <c r="C422" s="62">
        <f>SUM(C413,C416,C421)</f>
        <v>0</v>
      </c>
      <c r="D422" s="62">
        <f t="shared" ref="D422:E422" si="67">SUM(D413,D416,D421)</f>
        <v>0</v>
      </c>
      <c r="E422" s="62">
        <f t="shared" si="67"/>
        <v>0</v>
      </c>
      <c r="F422" s="62">
        <f>SUM(F413,F416,F421)</f>
        <v>0</v>
      </c>
      <c r="G422" s="63">
        <f t="shared" ref="G422" si="68">SUM(G413,G416,G421)</f>
        <v>0</v>
      </c>
    </row>
    <row r="423" spans="1:7">
      <c r="A423" s="39"/>
      <c r="B423" s="39"/>
      <c r="C423" s="42"/>
      <c r="D423" s="42"/>
      <c r="E423" s="42"/>
      <c r="F423" s="42"/>
      <c r="G423" s="42"/>
    </row>
    <row r="424" spans="1:7">
      <c r="A424" s="42"/>
      <c r="C424" s="42"/>
      <c r="D424" s="64"/>
      <c r="E424" s="42"/>
      <c r="F424" s="42"/>
      <c r="G424" s="42"/>
    </row>
    <row r="425" spans="1:7">
      <c r="A425" s="39"/>
      <c r="B425" s="65" t="s">
        <v>37</v>
      </c>
      <c r="C425" s="39"/>
      <c r="D425" s="66"/>
      <c r="E425" s="39"/>
      <c r="F425" s="39"/>
      <c r="G425" s="39"/>
    </row>
    <row r="426" spans="1:7">
      <c r="A426" s="39"/>
      <c r="B426" s="65" t="str">
        <f>'Date Generale'!$C$7</f>
        <v>S.C. Tehno Consoulting Solutions S.R.L.</v>
      </c>
      <c r="C426" s="39"/>
      <c r="D426" s="39"/>
      <c r="E426" s="39"/>
      <c r="F426" s="39"/>
      <c r="G426" s="39"/>
    </row>
    <row r="427" spans="1:7">
      <c r="A427" s="39"/>
      <c r="B427" s="39"/>
      <c r="C427" s="39"/>
      <c r="D427" s="39"/>
      <c r="E427" s="39"/>
      <c r="F427" s="39"/>
      <c r="G427" s="39"/>
    </row>
    <row r="428" spans="1:7">
      <c r="A428" s="39"/>
      <c r="B428" s="39"/>
      <c r="C428" s="39"/>
      <c r="D428" s="39"/>
      <c r="E428" s="39"/>
      <c r="F428" s="39"/>
      <c r="G428" s="39"/>
    </row>
    <row r="429" spans="1:7">
      <c r="A429" s="67"/>
      <c r="B429" s="67"/>
      <c r="C429" s="67"/>
      <c r="D429" s="67"/>
      <c r="E429" s="67"/>
      <c r="F429" s="67"/>
      <c r="G429" s="67"/>
    </row>
    <row r="430" spans="1:7" ht="15.75">
      <c r="A430" s="41" t="str">
        <f>"Beneficiar: " &amp;'Date Generale'!$C$6</f>
        <v xml:space="preserve">Beneficiar: Judetul Arges </v>
      </c>
      <c r="B430" s="41"/>
      <c r="C430" s="42"/>
      <c r="D430" s="42"/>
      <c r="E430" s="42"/>
      <c r="F430" s="42"/>
      <c r="G430" s="42"/>
    </row>
    <row r="431" spans="1:7" ht="15.75">
      <c r="A431" s="41" t="str">
        <f>"Denumire proiect: " &amp; 'Date Generale'!$C$3</f>
        <v>Denumire proiect: Modernizare DJ 703B Serbanesti (DJ659) - Silistea, km 70+410 - 77+826, 7.416km, in comunele Rociu si Cateasca</v>
      </c>
      <c r="B431" s="41"/>
      <c r="C431" s="43"/>
      <c r="D431" s="43"/>
      <c r="E431" s="43"/>
      <c r="F431" s="43"/>
      <c r="G431" s="43"/>
    </row>
    <row r="432" spans="1:7" ht="15.75">
      <c r="A432" s="41"/>
      <c r="B432" s="41"/>
      <c r="C432" s="44"/>
      <c r="D432" s="44"/>
      <c r="E432" s="44"/>
      <c r="F432" s="44"/>
      <c r="G432" s="44"/>
    </row>
    <row r="433" spans="1:7">
      <c r="A433" s="687" t="str">
        <f>"Devizul Obiectului: " &amp;'Date Generale'!$E$73</f>
        <v>Devizul Obiectului: Obiect 013: 0</v>
      </c>
      <c r="B433" s="687"/>
      <c r="C433" s="687"/>
      <c r="D433" s="687"/>
      <c r="E433" s="687"/>
      <c r="F433" s="687"/>
      <c r="G433" s="687"/>
    </row>
    <row r="434" spans="1:7">
      <c r="A434" s="371"/>
      <c r="B434" s="371"/>
      <c r="C434" s="371"/>
      <c r="D434" s="371"/>
      <c r="E434" s="371"/>
      <c r="F434" s="371"/>
      <c r="G434" s="371"/>
    </row>
    <row r="435" spans="1:7" ht="15.75" thickBot="1">
      <c r="A435" s="45"/>
      <c r="B435" s="46"/>
      <c r="C435" s="33"/>
      <c r="D435" s="47" t="s">
        <v>2</v>
      </c>
      <c r="E435" s="48">
        <f>'Date Generale'!$C$54</f>
        <v>4.7233000000000001</v>
      </c>
      <c r="F435" s="49" t="s">
        <v>3</v>
      </c>
      <c r="G435" s="50" t="str">
        <f>'Date Generale'!$D$54</f>
        <v>21,06,2019</v>
      </c>
    </row>
    <row r="436" spans="1:7" ht="15.75" thickBot="1">
      <c r="A436" s="688" t="s">
        <v>4</v>
      </c>
      <c r="B436" s="688" t="s">
        <v>5</v>
      </c>
      <c r="C436" s="689" t="s">
        <v>160</v>
      </c>
      <c r="D436" s="689"/>
      <c r="E436" s="372" t="s">
        <v>7</v>
      </c>
      <c r="F436" s="689" t="s">
        <v>159</v>
      </c>
      <c r="G436" s="689"/>
    </row>
    <row r="437" spans="1:7" ht="15.75" thickBot="1">
      <c r="A437" s="688"/>
      <c r="B437" s="688"/>
      <c r="C437" s="51" t="s">
        <v>9</v>
      </c>
      <c r="D437" s="51" t="s">
        <v>10</v>
      </c>
      <c r="E437" s="51" t="s">
        <v>9</v>
      </c>
      <c r="F437" s="51" t="s">
        <v>9</v>
      </c>
      <c r="G437" s="51" t="s">
        <v>10</v>
      </c>
    </row>
    <row r="438" spans="1:7" ht="15.75" thickBot="1">
      <c r="A438" s="1">
        <v>1</v>
      </c>
      <c r="B438" s="1">
        <v>2</v>
      </c>
      <c r="C438" s="1">
        <v>3</v>
      </c>
      <c r="D438" s="1">
        <v>4</v>
      </c>
      <c r="E438" s="1">
        <v>5</v>
      </c>
      <c r="F438" s="1">
        <v>6</v>
      </c>
      <c r="G438" s="1">
        <v>7</v>
      </c>
    </row>
    <row r="439" spans="1:7" ht="15.75" thickBot="1">
      <c r="A439" s="683" t="s">
        <v>11</v>
      </c>
      <c r="B439" s="684"/>
      <c r="C439" s="119"/>
      <c r="D439" s="119"/>
      <c r="E439" s="119"/>
      <c r="F439" s="119"/>
      <c r="G439" s="120"/>
    </row>
    <row r="440" spans="1:7">
      <c r="A440" s="162" t="s">
        <v>12</v>
      </c>
      <c r="B440" s="116" t="s">
        <v>13</v>
      </c>
      <c r="C440" s="378">
        <f>'Devize obiecte evaluari'!F1026</f>
        <v>0</v>
      </c>
      <c r="D440" s="378">
        <f>'Devize obiecte evaluari'!G1026</f>
        <v>0</v>
      </c>
      <c r="E440" s="378">
        <f>'Devize obiecte evaluari'!H1026</f>
        <v>0</v>
      </c>
      <c r="F440" s="378">
        <f>'Devize obiecte evaluari'!I1026</f>
        <v>0</v>
      </c>
      <c r="G440" s="379">
        <f>'Devize obiecte evaluari'!J1026</f>
        <v>0</v>
      </c>
    </row>
    <row r="441" spans="1:7">
      <c r="A441" s="74" t="s">
        <v>14</v>
      </c>
      <c r="B441" s="2" t="s">
        <v>15</v>
      </c>
      <c r="C441" s="54">
        <f>'Devize obiecte evaluari'!F1029</f>
        <v>0</v>
      </c>
      <c r="D441" s="54">
        <f>'Devize obiecte evaluari'!G1029</f>
        <v>0</v>
      </c>
      <c r="E441" s="54">
        <f>'Devize obiecte evaluari'!H1029</f>
        <v>0</v>
      </c>
      <c r="F441" s="54">
        <f>'Devize obiecte evaluari'!I1029</f>
        <v>0</v>
      </c>
      <c r="G441" s="55">
        <f>'Devize obiecte evaluari'!J1029</f>
        <v>0</v>
      </c>
    </row>
    <row r="442" spans="1:7">
      <c r="A442" s="74" t="s">
        <v>16</v>
      </c>
      <c r="B442" s="2" t="s">
        <v>17</v>
      </c>
      <c r="C442" s="52">
        <f>'Devize obiecte evaluari'!F1032</f>
        <v>0</v>
      </c>
      <c r="D442" s="52">
        <f>'Devize obiecte evaluari'!G1032</f>
        <v>0</v>
      </c>
      <c r="E442" s="52">
        <f>'Devize obiecte evaluari'!H1032</f>
        <v>0</v>
      </c>
      <c r="F442" s="52">
        <f>'Devize obiecte evaluari'!I1032</f>
        <v>0</v>
      </c>
      <c r="G442" s="53">
        <f>'Devize obiecte evaluari'!J1032</f>
        <v>0</v>
      </c>
    </row>
    <row r="443" spans="1:7">
      <c r="A443" s="74" t="s">
        <v>18</v>
      </c>
      <c r="B443" s="2" t="s">
        <v>19</v>
      </c>
      <c r="C443" s="52">
        <f>'Devize obiecte evaluari'!F1035</f>
        <v>0</v>
      </c>
      <c r="D443" s="52">
        <f>'Devize obiecte evaluari'!G1035</f>
        <v>0</v>
      </c>
      <c r="E443" s="52">
        <f>'Devize obiecte evaluari'!H1035</f>
        <v>0</v>
      </c>
      <c r="F443" s="52">
        <f>'Devize obiecte evaluari'!I1035</f>
        <v>0</v>
      </c>
      <c r="G443" s="53">
        <f>'Devize obiecte evaluari'!J1035</f>
        <v>0</v>
      </c>
    </row>
    <row r="444" spans="1:7">
      <c r="A444" s="74" t="s">
        <v>20</v>
      </c>
      <c r="B444" s="2" t="s">
        <v>21</v>
      </c>
      <c r="C444" s="52">
        <f>'Devize obiecte evaluari'!F1050</f>
        <v>0</v>
      </c>
      <c r="D444" s="52">
        <f>'Devize obiecte evaluari'!G1050</f>
        <v>0</v>
      </c>
      <c r="E444" s="52">
        <f>'Devize obiecte evaluari'!H1050</f>
        <v>0</v>
      </c>
      <c r="F444" s="52">
        <f>'Devize obiecte evaluari'!I1050</f>
        <v>0</v>
      </c>
      <c r="G444" s="53">
        <f>'Devize obiecte evaluari'!J1050</f>
        <v>0</v>
      </c>
    </row>
    <row r="445" spans="1:7" ht="25.5">
      <c r="A445" s="74" t="s">
        <v>22</v>
      </c>
      <c r="B445" s="2" t="s">
        <v>23</v>
      </c>
      <c r="C445" s="36">
        <f>'Devize obiecte evaluari'!F1053</f>
        <v>0</v>
      </c>
      <c r="D445" s="36">
        <f>'Devize obiecte evaluari'!G1053</f>
        <v>0</v>
      </c>
      <c r="E445" s="36">
        <f>'Devize obiecte evaluari'!H1053</f>
        <v>0</v>
      </c>
      <c r="F445" s="36">
        <f>'Devize obiecte evaluari'!I1053</f>
        <v>0</v>
      </c>
      <c r="G445" s="37">
        <f>'Devize obiecte evaluari'!J1053</f>
        <v>0</v>
      </c>
    </row>
    <row r="446" spans="1:7">
      <c r="A446" s="74" t="s">
        <v>24</v>
      </c>
      <c r="B446" s="2" t="s">
        <v>25</v>
      </c>
      <c r="C446" s="52">
        <f>'Devize obiecte evaluari'!F1056</f>
        <v>0</v>
      </c>
      <c r="D446" s="52">
        <f>'Devize obiecte evaluari'!G1056</f>
        <v>0</v>
      </c>
      <c r="E446" s="52">
        <f>'Devize obiecte evaluari'!H1056</f>
        <v>0</v>
      </c>
      <c r="F446" s="52">
        <f>'Devize obiecte evaluari'!I1056</f>
        <v>0</v>
      </c>
      <c r="G446" s="53">
        <f>'Devize obiecte evaluari'!J1056</f>
        <v>0</v>
      </c>
    </row>
    <row r="447" spans="1:7" ht="15.75" thickBot="1">
      <c r="A447" s="163" t="s">
        <v>99</v>
      </c>
      <c r="B447" s="121" t="s">
        <v>26</v>
      </c>
      <c r="C447" s="380">
        <f>'Devize obiecte evaluari'!F1059</f>
        <v>0</v>
      </c>
      <c r="D447" s="380">
        <f>'Devize obiecte evaluari'!G1059</f>
        <v>0</v>
      </c>
      <c r="E447" s="380">
        <f>'Devize obiecte evaluari'!H1059</f>
        <v>0</v>
      </c>
      <c r="F447" s="380">
        <f>'Devize obiecte evaluari'!I1059</f>
        <v>0</v>
      </c>
      <c r="G447" s="381">
        <f>'Devize obiecte evaluari'!J1059</f>
        <v>0</v>
      </c>
    </row>
    <row r="448" spans="1:7" ht="15.75" thickBot="1">
      <c r="A448" s="685" t="s">
        <v>27</v>
      </c>
      <c r="B448" s="686"/>
      <c r="C448" s="82">
        <f>SUM(C440:C447)</f>
        <v>0</v>
      </c>
      <c r="D448" s="82">
        <f t="shared" ref="D448:E448" si="69">SUM(D440:D447)</f>
        <v>0</v>
      </c>
      <c r="E448" s="82">
        <f t="shared" si="69"/>
        <v>0</v>
      </c>
      <c r="F448" s="82">
        <f>SUM(F440:F447)</f>
        <v>0</v>
      </c>
      <c r="G448" s="83">
        <f t="shared" ref="G448" si="70">SUM(G440:G447)</f>
        <v>0</v>
      </c>
    </row>
    <row r="449" spans="1:7" ht="15.75" thickBot="1">
      <c r="A449" s="683" t="s">
        <v>28</v>
      </c>
      <c r="B449" s="684"/>
      <c r="C449" s="119"/>
      <c r="D449" s="119"/>
      <c r="E449" s="119"/>
      <c r="F449" s="119"/>
      <c r="G449" s="120"/>
    </row>
    <row r="450" spans="1:7" ht="15.75" thickBot="1">
      <c r="A450" s="126"/>
      <c r="B450" s="127" t="s">
        <v>29</v>
      </c>
      <c r="C450" s="128">
        <f>'Devize obiecte evaluari'!F1064</f>
        <v>0</v>
      </c>
      <c r="D450" s="128">
        <f>'Devize obiecte evaluari'!G1064</f>
        <v>0</v>
      </c>
      <c r="E450" s="128">
        <f>'Devize obiecte evaluari'!H1064</f>
        <v>0</v>
      </c>
      <c r="F450" s="128">
        <f>'Devize obiecte evaluari'!I1064</f>
        <v>0</v>
      </c>
      <c r="G450" s="129">
        <f>'Devize obiecte evaluari'!J1064</f>
        <v>0</v>
      </c>
    </row>
    <row r="451" spans="1:7" ht="15.75" thickBot="1">
      <c r="A451" s="685" t="s">
        <v>30</v>
      </c>
      <c r="B451" s="686"/>
      <c r="C451" s="62">
        <f>C450</f>
        <v>0</v>
      </c>
      <c r="D451" s="62">
        <f>D450</f>
        <v>0</v>
      </c>
      <c r="E451" s="62">
        <f>E450</f>
        <v>0</v>
      </c>
      <c r="F451" s="62">
        <f>F450</f>
        <v>0</v>
      </c>
      <c r="G451" s="63">
        <f>G450</f>
        <v>0</v>
      </c>
    </row>
    <row r="452" spans="1:7" ht="15.75" thickBot="1">
      <c r="A452" s="683" t="s">
        <v>31</v>
      </c>
      <c r="B452" s="684"/>
      <c r="C452" s="119"/>
      <c r="D452" s="119"/>
      <c r="E452" s="119"/>
      <c r="F452" s="119"/>
      <c r="G452" s="120"/>
    </row>
    <row r="453" spans="1:7">
      <c r="A453" s="124"/>
      <c r="B453" s="125" t="s">
        <v>32</v>
      </c>
      <c r="C453" s="382">
        <f>'Devize obiecte evaluari'!F1069</f>
        <v>0</v>
      </c>
      <c r="D453" s="382">
        <f>'Devize obiecte evaluari'!G1069</f>
        <v>0</v>
      </c>
      <c r="E453" s="382">
        <f>'Devize obiecte evaluari'!H1069</f>
        <v>0</v>
      </c>
      <c r="F453" s="382">
        <f>'Devize obiecte evaluari'!I1069</f>
        <v>0</v>
      </c>
      <c r="G453" s="383">
        <f>'Devize obiecte evaluari'!J1069</f>
        <v>0</v>
      </c>
    </row>
    <row r="454" spans="1:7">
      <c r="A454" s="58"/>
      <c r="B454" s="59" t="s">
        <v>33</v>
      </c>
      <c r="C454" s="60">
        <f>'Devize obiecte evaluari'!F1072</f>
        <v>0</v>
      </c>
      <c r="D454" s="60">
        <f>'Devize obiecte evaluari'!G1072</f>
        <v>0</v>
      </c>
      <c r="E454" s="60">
        <f>'Devize obiecte evaluari'!H1072</f>
        <v>0</v>
      </c>
      <c r="F454" s="60">
        <f>'Devize obiecte evaluari'!I1072</f>
        <v>0</v>
      </c>
      <c r="G454" s="61">
        <f>'Devize obiecte evaluari'!J1072</f>
        <v>0</v>
      </c>
    </row>
    <row r="455" spans="1:7" ht="15.75" thickBot="1">
      <c r="A455" s="132"/>
      <c r="B455" s="133" t="s">
        <v>34</v>
      </c>
      <c r="C455" s="384">
        <f>'Devize obiecte evaluari'!F1075</f>
        <v>0</v>
      </c>
      <c r="D455" s="384">
        <f>'Devize obiecte evaluari'!G1075</f>
        <v>0</v>
      </c>
      <c r="E455" s="384">
        <f>'Devize obiecte evaluari'!H1075</f>
        <v>0</v>
      </c>
      <c r="F455" s="384">
        <f>'Devize obiecte evaluari'!I1075</f>
        <v>0</v>
      </c>
      <c r="G455" s="385">
        <f>'Devize obiecte evaluari'!J1075</f>
        <v>0</v>
      </c>
    </row>
    <row r="456" spans="1:7" ht="15.75" thickBot="1">
      <c r="A456" s="685" t="s">
        <v>35</v>
      </c>
      <c r="B456" s="686"/>
      <c r="C456" s="62">
        <f>SUM(C453:C455)</f>
        <v>0</v>
      </c>
      <c r="D456" s="62">
        <f t="shared" ref="D456:E456" si="71">SUM(D453:D455)</f>
        <v>0</v>
      </c>
      <c r="E456" s="62">
        <f t="shared" si="71"/>
        <v>0</v>
      </c>
      <c r="F456" s="62">
        <f>SUM(F453:F455)</f>
        <v>0</v>
      </c>
      <c r="G456" s="63">
        <f t="shared" ref="G456" si="72">SUM(G453:G455)</f>
        <v>0</v>
      </c>
    </row>
    <row r="457" spans="1:7" ht="15.75" thickBot="1">
      <c r="A457" s="685" t="s">
        <v>36</v>
      </c>
      <c r="B457" s="686"/>
      <c r="C457" s="62">
        <f>SUM(C448,C451,C456)</f>
        <v>0</v>
      </c>
      <c r="D457" s="62">
        <f t="shared" ref="D457:E457" si="73">SUM(D448,D451,D456)</f>
        <v>0</v>
      </c>
      <c r="E457" s="62">
        <f t="shared" si="73"/>
        <v>0</v>
      </c>
      <c r="F457" s="62">
        <f>SUM(F448,F451,F456)</f>
        <v>0</v>
      </c>
      <c r="G457" s="63">
        <f t="shared" ref="G457" si="74">SUM(G448,G451,G456)</f>
        <v>0</v>
      </c>
    </row>
    <row r="458" spans="1:7">
      <c r="A458" s="39"/>
      <c r="B458" s="39"/>
      <c r="C458" s="42"/>
      <c r="D458" s="42"/>
      <c r="E458" s="42"/>
      <c r="F458" s="42"/>
      <c r="G458" s="42"/>
    </row>
    <row r="459" spans="1:7">
      <c r="A459" s="42"/>
      <c r="C459" s="42"/>
      <c r="D459" s="64"/>
      <c r="E459" s="42"/>
      <c r="F459" s="42"/>
      <c r="G459" s="42"/>
    </row>
    <row r="460" spans="1:7">
      <c r="A460" s="39"/>
      <c r="B460" s="65" t="s">
        <v>37</v>
      </c>
      <c r="C460" s="39"/>
      <c r="D460" s="66"/>
      <c r="E460" s="39"/>
      <c r="F460" s="39"/>
      <c r="G460" s="39"/>
    </row>
    <row r="461" spans="1:7">
      <c r="A461" s="39"/>
      <c r="B461" s="65" t="str">
        <f>'Date Generale'!$C$7</f>
        <v>S.C. Tehno Consoulting Solutions S.R.L.</v>
      </c>
      <c r="C461" s="39"/>
      <c r="D461" s="39"/>
      <c r="E461" s="39"/>
      <c r="F461" s="39"/>
      <c r="G461" s="39"/>
    </row>
    <row r="462" spans="1:7">
      <c r="A462" s="39"/>
      <c r="B462" s="39"/>
      <c r="C462" s="39"/>
      <c r="D462" s="39"/>
      <c r="E462" s="39"/>
      <c r="F462" s="39"/>
      <c r="G462" s="39"/>
    </row>
    <row r="463" spans="1:7">
      <c r="A463" s="39"/>
      <c r="B463" s="39"/>
      <c r="C463" s="39"/>
      <c r="D463" s="39"/>
      <c r="E463" s="39"/>
      <c r="F463" s="39"/>
      <c r="G463" s="39"/>
    </row>
    <row r="464" spans="1:7">
      <c r="A464" s="67"/>
      <c r="B464" s="67"/>
      <c r="C464" s="67"/>
      <c r="D464" s="67"/>
      <c r="E464" s="67"/>
      <c r="F464" s="67"/>
      <c r="G464" s="67"/>
    </row>
    <row r="465" spans="1:7" ht="15.75">
      <c r="A465" s="41" t="str">
        <f>"Beneficiar: " &amp;'Date Generale'!$C$6</f>
        <v xml:space="preserve">Beneficiar: Judetul Arges </v>
      </c>
      <c r="B465" s="41"/>
      <c r="C465" s="42"/>
      <c r="D465" s="42"/>
      <c r="E465" s="42"/>
      <c r="F465" s="42"/>
      <c r="G465" s="42"/>
    </row>
    <row r="466" spans="1:7" ht="15.75">
      <c r="A466" s="41" t="str">
        <f>"Denumire proiect: " &amp; 'Date Generale'!$C$3</f>
        <v>Denumire proiect: Modernizare DJ 703B Serbanesti (DJ659) - Silistea, km 70+410 - 77+826, 7.416km, in comunele Rociu si Cateasca</v>
      </c>
      <c r="B466" s="41"/>
      <c r="C466" s="43"/>
      <c r="D466" s="43"/>
      <c r="E466" s="43"/>
      <c r="F466" s="43"/>
      <c r="G466" s="43"/>
    </row>
    <row r="467" spans="1:7" ht="15.75">
      <c r="A467" s="41"/>
      <c r="B467" s="41"/>
      <c r="C467" s="44"/>
      <c r="D467" s="44"/>
      <c r="E467" s="44"/>
      <c r="F467" s="44"/>
      <c r="G467" s="44"/>
    </row>
    <row r="468" spans="1:7">
      <c r="A468" s="687" t="str">
        <f>"Devizul Obiectului: " &amp;'Date Generale'!$E$74</f>
        <v>Devizul Obiectului: Obiect 014: 0</v>
      </c>
      <c r="B468" s="687"/>
      <c r="C468" s="687"/>
      <c r="D468" s="687"/>
      <c r="E468" s="687"/>
      <c r="F468" s="687"/>
      <c r="G468" s="687"/>
    </row>
    <row r="469" spans="1:7">
      <c r="A469" s="371"/>
      <c r="B469" s="371"/>
      <c r="C469" s="371"/>
      <c r="D469" s="371"/>
      <c r="E469" s="371"/>
      <c r="F469" s="371"/>
      <c r="G469" s="371"/>
    </row>
    <row r="470" spans="1:7" ht="15.75" thickBot="1">
      <c r="A470" s="45"/>
      <c r="B470" s="46"/>
      <c r="C470" s="33"/>
      <c r="D470" s="47" t="s">
        <v>2</v>
      </c>
      <c r="E470" s="48">
        <f>'Date Generale'!$C$54</f>
        <v>4.7233000000000001</v>
      </c>
      <c r="F470" s="49" t="s">
        <v>3</v>
      </c>
      <c r="G470" s="50" t="str">
        <f>'Date Generale'!$D$54</f>
        <v>21,06,2019</v>
      </c>
    </row>
    <row r="471" spans="1:7" ht="15.75" thickBot="1">
      <c r="A471" s="688" t="s">
        <v>4</v>
      </c>
      <c r="B471" s="688" t="s">
        <v>5</v>
      </c>
      <c r="C471" s="689" t="s">
        <v>160</v>
      </c>
      <c r="D471" s="689"/>
      <c r="E471" s="372" t="s">
        <v>7</v>
      </c>
      <c r="F471" s="689" t="s">
        <v>159</v>
      </c>
      <c r="G471" s="689"/>
    </row>
    <row r="472" spans="1:7" ht="15.75" thickBot="1">
      <c r="A472" s="688"/>
      <c r="B472" s="688"/>
      <c r="C472" s="51" t="s">
        <v>9</v>
      </c>
      <c r="D472" s="51" t="s">
        <v>10</v>
      </c>
      <c r="E472" s="51" t="s">
        <v>9</v>
      </c>
      <c r="F472" s="51" t="s">
        <v>9</v>
      </c>
      <c r="G472" s="51" t="s">
        <v>10</v>
      </c>
    </row>
    <row r="473" spans="1:7" ht="15.75" thickBot="1">
      <c r="A473" s="1">
        <v>1</v>
      </c>
      <c r="B473" s="1">
        <v>2</v>
      </c>
      <c r="C473" s="1">
        <v>3</v>
      </c>
      <c r="D473" s="1">
        <v>4</v>
      </c>
      <c r="E473" s="1">
        <v>5</v>
      </c>
      <c r="F473" s="1">
        <v>6</v>
      </c>
      <c r="G473" s="1">
        <v>7</v>
      </c>
    </row>
    <row r="474" spans="1:7" ht="15.75" thickBot="1">
      <c r="A474" s="683" t="s">
        <v>11</v>
      </c>
      <c r="B474" s="684"/>
      <c r="C474" s="119"/>
      <c r="D474" s="119"/>
      <c r="E474" s="119"/>
      <c r="F474" s="119"/>
      <c r="G474" s="120"/>
    </row>
    <row r="475" spans="1:7">
      <c r="A475" s="162" t="s">
        <v>12</v>
      </c>
      <c r="B475" s="116" t="s">
        <v>13</v>
      </c>
      <c r="C475" s="378">
        <f>'Devize obiecte evaluari'!F1098</f>
        <v>0</v>
      </c>
      <c r="D475" s="378">
        <f>'Devize obiecte evaluari'!G1098</f>
        <v>0</v>
      </c>
      <c r="E475" s="378">
        <f>'Devize obiecte evaluari'!H1098</f>
        <v>0</v>
      </c>
      <c r="F475" s="378">
        <f>'Devize obiecte evaluari'!I1098</f>
        <v>0</v>
      </c>
      <c r="G475" s="379">
        <f>'Devize obiecte evaluari'!J1098</f>
        <v>0</v>
      </c>
    </row>
    <row r="476" spans="1:7">
      <c r="A476" s="74" t="s">
        <v>14</v>
      </c>
      <c r="B476" s="2" t="s">
        <v>15</v>
      </c>
      <c r="C476" s="54">
        <f>'Devize obiecte evaluari'!F1101</f>
        <v>0</v>
      </c>
      <c r="D476" s="54">
        <f>'Devize obiecte evaluari'!G1101</f>
        <v>0</v>
      </c>
      <c r="E476" s="54">
        <f>'Devize obiecte evaluari'!H1101</f>
        <v>0</v>
      </c>
      <c r="F476" s="54">
        <f>'Devize obiecte evaluari'!I1101</f>
        <v>0</v>
      </c>
      <c r="G476" s="55">
        <f>'Devize obiecte evaluari'!J1101</f>
        <v>0</v>
      </c>
    </row>
    <row r="477" spans="1:7">
      <c r="A477" s="74" t="s">
        <v>16</v>
      </c>
      <c r="B477" s="2" t="s">
        <v>17</v>
      </c>
      <c r="C477" s="52">
        <f>'Devize obiecte evaluari'!F1104</f>
        <v>0</v>
      </c>
      <c r="D477" s="52">
        <f>'Devize obiecte evaluari'!G1104</f>
        <v>0</v>
      </c>
      <c r="E477" s="52">
        <f>'Devize obiecte evaluari'!H1104</f>
        <v>0</v>
      </c>
      <c r="F477" s="52">
        <f>'Devize obiecte evaluari'!I1104</f>
        <v>0</v>
      </c>
      <c r="G477" s="53">
        <f>'Devize obiecte evaluari'!J1104</f>
        <v>0</v>
      </c>
    </row>
    <row r="478" spans="1:7">
      <c r="A478" s="74" t="s">
        <v>18</v>
      </c>
      <c r="B478" s="2" t="s">
        <v>19</v>
      </c>
      <c r="C478" s="52">
        <f>'Devize obiecte evaluari'!F1107</f>
        <v>0</v>
      </c>
      <c r="D478" s="52">
        <f>'Devize obiecte evaluari'!G1107</f>
        <v>0</v>
      </c>
      <c r="E478" s="52">
        <f>'Devize obiecte evaluari'!H1107</f>
        <v>0</v>
      </c>
      <c r="F478" s="52">
        <f>'Devize obiecte evaluari'!I1107</f>
        <v>0</v>
      </c>
      <c r="G478" s="53">
        <f>'Devize obiecte evaluari'!J1107</f>
        <v>0</v>
      </c>
    </row>
    <row r="479" spans="1:7">
      <c r="A479" s="74" t="s">
        <v>20</v>
      </c>
      <c r="B479" s="2" t="s">
        <v>21</v>
      </c>
      <c r="C479" s="52">
        <f>'Devize obiecte evaluari'!F1122</f>
        <v>0</v>
      </c>
      <c r="D479" s="52">
        <f>'Devize obiecte evaluari'!G1122</f>
        <v>0</v>
      </c>
      <c r="E479" s="52">
        <f>'Devize obiecte evaluari'!H1122</f>
        <v>0</v>
      </c>
      <c r="F479" s="52">
        <f>'Devize obiecte evaluari'!I1122</f>
        <v>0</v>
      </c>
      <c r="G479" s="53">
        <f>'Devize obiecte evaluari'!J1122</f>
        <v>0</v>
      </c>
    </row>
    <row r="480" spans="1:7" ht="25.5">
      <c r="A480" s="74" t="s">
        <v>22</v>
      </c>
      <c r="B480" s="2" t="s">
        <v>23</v>
      </c>
      <c r="C480" s="36">
        <f>'Devize obiecte evaluari'!F1125</f>
        <v>0</v>
      </c>
      <c r="D480" s="36">
        <f>'Devize obiecte evaluari'!G1125</f>
        <v>0</v>
      </c>
      <c r="E480" s="36">
        <f>'Devize obiecte evaluari'!H1125</f>
        <v>0</v>
      </c>
      <c r="F480" s="36">
        <f>'Devize obiecte evaluari'!I1125</f>
        <v>0</v>
      </c>
      <c r="G480" s="37">
        <f>'Devize obiecte evaluari'!J1125</f>
        <v>0</v>
      </c>
    </row>
    <row r="481" spans="1:7">
      <c r="A481" s="74" t="s">
        <v>24</v>
      </c>
      <c r="B481" s="2" t="s">
        <v>25</v>
      </c>
      <c r="C481" s="52">
        <f>'Devize obiecte evaluari'!F1128</f>
        <v>0</v>
      </c>
      <c r="D481" s="52">
        <f>'Devize obiecte evaluari'!G1128</f>
        <v>0</v>
      </c>
      <c r="E481" s="52">
        <f>'Devize obiecte evaluari'!H1128</f>
        <v>0</v>
      </c>
      <c r="F481" s="52">
        <f>'Devize obiecte evaluari'!I1128</f>
        <v>0</v>
      </c>
      <c r="G481" s="53">
        <f>'Devize obiecte evaluari'!J1128</f>
        <v>0</v>
      </c>
    </row>
    <row r="482" spans="1:7" ht="15.75" thickBot="1">
      <c r="A482" s="163" t="s">
        <v>99</v>
      </c>
      <c r="B482" s="121" t="s">
        <v>26</v>
      </c>
      <c r="C482" s="380">
        <f>'Devize obiecte evaluari'!F1131</f>
        <v>0</v>
      </c>
      <c r="D482" s="380">
        <f>'Devize obiecte evaluari'!G1131</f>
        <v>0</v>
      </c>
      <c r="E482" s="380">
        <f>'Devize obiecte evaluari'!H1131</f>
        <v>0</v>
      </c>
      <c r="F482" s="380">
        <f>'Devize obiecte evaluari'!I1131</f>
        <v>0</v>
      </c>
      <c r="G482" s="381">
        <f>'Devize obiecte evaluari'!J1131</f>
        <v>0</v>
      </c>
    </row>
    <row r="483" spans="1:7" ht="15.75" thickBot="1">
      <c r="A483" s="685" t="s">
        <v>27</v>
      </c>
      <c r="B483" s="686"/>
      <c r="C483" s="82">
        <f>SUM(C475:C482)</f>
        <v>0</v>
      </c>
      <c r="D483" s="82">
        <f t="shared" ref="D483:E483" si="75">SUM(D475:D482)</f>
        <v>0</v>
      </c>
      <c r="E483" s="82">
        <f t="shared" si="75"/>
        <v>0</v>
      </c>
      <c r="F483" s="82">
        <f>SUM(F475:F482)</f>
        <v>0</v>
      </c>
      <c r="G483" s="83">
        <f t="shared" ref="G483" si="76">SUM(G475:G482)</f>
        <v>0</v>
      </c>
    </row>
    <row r="484" spans="1:7" ht="15.75" thickBot="1">
      <c r="A484" s="683" t="s">
        <v>28</v>
      </c>
      <c r="B484" s="684"/>
      <c r="C484" s="119"/>
      <c r="D484" s="119"/>
      <c r="E484" s="119"/>
      <c r="F484" s="119"/>
      <c r="G484" s="120"/>
    </row>
    <row r="485" spans="1:7" ht="15.75" thickBot="1">
      <c r="A485" s="126"/>
      <c r="B485" s="127" t="s">
        <v>29</v>
      </c>
      <c r="C485" s="128">
        <f>'Devize obiecte evaluari'!F1136</f>
        <v>0</v>
      </c>
      <c r="D485" s="128">
        <f>'Devize obiecte evaluari'!G1136</f>
        <v>0</v>
      </c>
      <c r="E485" s="128">
        <f>'Devize obiecte evaluari'!H1136</f>
        <v>0</v>
      </c>
      <c r="F485" s="128">
        <f>'Devize obiecte evaluari'!I1136</f>
        <v>0</v>
      </c>
      <c r="G485" s="129">
        <f>'Devize obiecte evaluari'!J1136</f>
        <v>0</v>
      </c>
    </row>
    <row r="486" spans="1:7" ht="15.75" thickBot="1">
      <c r="A486" s="685" t="s">
        <v>30</v>
      </c>
      <c r="B486" s="686"/>
      <c r="C486" s="62">
        <f>C485</f>
        <v>0</v>
      </c>
      <c r="D486" s="62">
        <f>D485</f>
        <v>0</v>
      </c>
      <c r="E486" s="62">
        <f>E485</f>
        <v>0</v>
      </c>
      <c r="F486" s="62">
        <f>F485</f>
        <v>0</v>
      </c>
      <c r="G486" s="63">
        <f>G485</f>
        <v>0</v>
      </c>
    </row>
    <row r="487" spans="1:7" ht="15.75" thickBot="1">
      <c r="A487" s="683" t="s">
        <v>31</v>
      </c>
      <c r="B487" s="684"/>
      <c r="C487" s="119"/>
      <c r="D487" s="119"/>
      <c r="E487" s="119"/>
      <c r="F487" s="119"/>
      <c r="G487" s="120"/>
    </row>
    <row r="488" spans="1:7">
      <c r="A488" s="124"/>
      <c r="B488" s="125" t="s">
        <v>32</v>
      </c>
      <c r="C488" s="382">
        <f>'Devize obiecte evaluari'!F1141</f>
        <v>0</v>
      </c>
      <c r="D488" s="382">
        <f>'Devize obiecte evaluari'!G1141</f>
        <v>0</v>
      </c>
      <c r="E488" s="382">
        <f>'Devize obiecte evaluari'!H1141</f>
        <v>0</v>
      </c>
      <c r="F488" s="382">
        <f>'Devize obiecte evaluari'!I1141</f>
        <v>0</v>
      </c>
      <c r="G488" s="383">
        <f>'Devize obiecte evaluari'!J1141</f>
        <v>0</v>
      </c>
    </row>
    <row r="489" spans="1:7">
      <c r="A489" s="58"/>
      <c r="B489" s="59" t="s">
        <v>33</v>
      </c>
      <c r="C489" s="60">
        <f>'Devize obiecte evaluari'!F1144</f>
        <v>0</v>
      </c>
      <c r="D489" s="60">
        <f>'Devize obiecte evaluari'!G1144</f>
        <v>0</v>
      </c>
      <c r="E489" s="60">
        <f>'Devize obiecte evaluari'!H1144</f>
        <v>0</v>
      </c>
      <c r="F489" s="60">
        <f>'Devize obiecte evaluari'!I1144</f>
        <v>0</v>
      </c>
      <c r="G489" s="61">
        <f>'Devize obiecte evaluari'!J1144</f>
        <v>0</v>
      </c>
    </row>
    <row r="490" spans="1:7" ht="15.75" thickBot="1">
      <c r="A490" s="132"/>
      <c r="B490" s="133" t="s">
        <v>34</v>
      </c>
      <c r="C490" s="384">
        <f>'Devize obiecte evaluari'!F1147</f>
        <v>0</v>
      </c>
      <c r="D490" s="384">
        <f>'Devize obiecte evaluari'!G1147</f>
        <v>0</v>
      </c>
      <c r="E490" s="384">
        <f>'Devize obiecte evaluari'!H1147</f>
        <v>0</v>
      </c>
      <c r="F490" s="384">
        <f>'Devize obiecte evaluari'!I1147</f>
        <v>0</v>
      </c>
      <c r="G490" s="385">
        <f>'Devize obiecte evaluari'!J1147</f>
        <v>0</v>
      </c>
    </row>
    <row r="491" spans="1:7" ht="15.75" thickBot="1">
      <c r="A491" s="685" t="s">
        <v>35</v>
      </c>
      <c r="B491" s="686"/>
      <c r="C491" s="62">
        <f>SUM(C488:C490)</f>
        <v>0</v>
      </c>
      <c r="D491" s="62">
        <f t="shared" ref="D491:E491" si="77">SUM(D488:D490)</f>
        <v>0</v>
      </c>
      <c r="E491" s="62">
        <f t="shared" si="77"/>
        <v>0</v>
      </c>
      <c r="F491" s="62">
        <f>SUM(F488:F490)</f>
        <v>0</v>
      </c>
      <c r="G491" s="63">
        <f t="shared" ref="G491" si="78">SUM(G488:G490)</f>
        <v>0</v>
      </c>
    </row>
    <row r="492" spans="1:7" ht="15.75" thickBot="1">
      <c r="A492" s="685" t="s">
        <v>36</v>
      </c>
      <c r="B492" s="686"/>
      <c r="C492" s="62">
        <f>SUM(C483,C486,C491)</f>
        <v>0</v>
      </c>
      <c r="D492" s="62">
        <f t="shared" ref="D492:E492" si="79">SUM(D483,D486,D491)</f>
        <v>0</v>
      </c>
      <c r="E492" s="62">
        <f t="shared" si="79"/>
        <v>0</v>
      </c>
      <c r="F492" s="62">
        <f>SUM(F483,F486,F491)</f>
        <v>0</v>
      </c>
      <c r="G492" s="63">
        <f t="shared" ref="G492" si="80">SUM(G483,G486,G491)</f>
        <v>0</v>
      </c>
    </row>
    <row r="493" spans="1:7">
      <c r="A493" s="39"/>
      <c r="B493" s="39"/>
      <c r="C493" s="42"/>
      <c r="D493" s="42"/>
      <c r="E493" s="42"/>
      <c r="F493" s="42"/>
      <c r="G493" s="42"/>
    </row>
    <row r="494" spans="1:7">
      <c r="A494" s="42"/>
      <c r="C494" s="42"/>
      <c r="D494" s="64"/>
      <c r="E494" s="42"/>
      <c r="F494" s="42"/>
      <c r="G494" s="42"/>
    </row>
    <row r="495" spans="1:7">
      <c r="A495" s="39"/>
      <c r="B495" s="65" t="s">
        <v>37</v>
      </c>
      <c r="C495" s="39"/>
      <c r="D495" s="66"/>
      <c r="E495" s="39"/>
      <c r="F495" s="39"/>
      <c r="G495" s="39"/>
    </row>
    <row r="496" spans="1:7">
      <c r="A496" s="39"/>
      <c r="B496" s="65" t="str">
        <f>'Date Generale'!$C$7</f>
        <v>S.C. Tehno Consoulting Solutions S.R.L.</v>
      </c>
      <c r="C496" s="39"/>
      <c r="D496" s="39"/>
      <c r="E496" s="39"/>
      <c r="F496" s="39"/>
      <c r="G496" s="39"/>
    </row>
    <row r="497" spans="1:7">
      <c r="A497" s="39"/>
      <c r="B497" s="39"/>
      <c r="C497" s="39"/>
      <c r="D497" s="39"/>
      <c r="E497" s="39"/>
      <c r="F497" s="39"/>
      <c r="G497" s="39"/>
    </row>
    <row r="498" spans="1:7">
      <c r="A498" s="39"/>
      <c r="B498" s="39"/>
      <c r="C498" s="39"/>
      <c r="D498" s="39"/>
      <c r="E498" s="39"/>
      <c r="F498" s="39"/>
      <c r="G498" s="39"/>
    </row>
    <row r="499" spans="1:7">
      <c r="A499" s="67"/>
      <c r="B499" s="67"/>
      <c r="C499" s="67"/>
      <c r="D499" s="67"/>
      <c r="E499" s="67"/>
      <c r="F499" s="67"/>
      <c r="G499" s="67"/>
    </row>
    <row r="500" spans="1:7" ht="15.75">
      <c r="A500" s="41" t="str">
        <f>"Beneficiar: " &amp;'Date Generale'!$C$6</f>
        <v xml:space="preserve">Beneficiar: Judetul Arges </v>
      </c>
      <c r="B500" s="41"/>
      <c r="C500" s="42"/>
      <c r="D500" s="42"/>
      <c r="E500" s="42"/>
      <c r="F500" s="42"/>
      <c r="G500" s="42"/>
    </row>
    <row r="501" spans="1:7" ht="15.75">
      <c r="A501" s="41" t="str">
        <f>"Denumire proiect: " &amp; 'Date Generale'!$C$3</f>
        <v>Denumire proiect: Modernizare DJ 703B Serbanesti (DJ659) - Silistea, km 70+410 - 77+826, 7.416km, in comunele Rociu si Cateasca</v>
      </c>
      <c r="B501" s="41"/>
      <c r="C501" s="43"/>
      <c r="D501" s="43"/>
      <c r="E501" s="43"/>
      <c r="F501" s="43"/>
      <c r="G501" s="43"/>
    </row>
    <row r="502" spans="1:7" ht="15.75">
      <c r="A502" s="41"/>
      <c r="B502" s="41"/>
      <c r="C502" s="44"/>
      <c r="D502" s="44"/>
      <c r="E502" s="44"/>
      <c r="F502" s="44"/>
      <c r="G502" s="44"/>
    </row>
    <row r="503" spans="1:7">
      <c r="A503" s="687" t="str">
        <f>"Devizul Obiectului: " &amp;'Date Generale'!$E$75</f>
        <v>Devizul Obiectului: Obiect 015: 0</v>
      </c>
      <c r="B503" s="687"/>
      <c r="C503" s="687"/>
      <c r="D503" s="687"/>
      <c r="E503" s="687"/>
      <c r="F503" s="687"/>
      <c r="G503" s="687"/>
    </row>
    <row r="504" spans="1:7">
      <c r="A504" s="371"/>
      <c r="B504" s="371"/>
      <c r="C504" s="371"/>
      <c r="D504" s="371"/>
      <c r="E504" s="371"/>
      <c r="F504" s="371"/>
      <c r="G504" s="371"/>
    </row>
    <row r="505" spans="1:7" ht="15.75" thickBot="1">
      <c r="A505" s="45"/>
      <c r="B505" s="46"/>
      <c r="C505" s="33"/>
      <c r="D505" s="47" t="s">
        <v>2</v>
      </c>
      <c r="E505" s="48">
        <f>'Date Generale'!$C$54</f>
        <v>4.7233000000000001</v>
      </c>
      <c r="F505" s="49" t="s">
        <v>3</v>
      </c>
      <c r="G505" s="50" t="str">
        <f>'Date Generale'!$D$54</f>
        <v>21,06,2019</v>
      </c>
    </row>
    <row r="506" spans="1:7" ht="15.75" thickBot="1">
      <c r="A506" s="688" t="s">
        <v>4</v>
      </c>
      <c r="B506" s="688" t="s">
        <v>5</v>
      </c>
      <c r="C506" s="689" t="s">
        <v>160</v>
      </c>
      <c r="D506" s="689"/>
      <c r="E506" s="372" t="s">
        <v>7</v>
      </c>
      <c r="F506" s="689" t="s">
        <v>159</v>
      </c>
      <c r="G506" s="689"/>
    </row>
    <row r="507" spans="1:7" ht="15.75" thickBot="1">
      <c r="A507" s="688"/>
      <c r="B507" s="688"/>
      <c r="C507" s="51" t="s">
        <v>9</v>
      </c>
      <c r="D507" s="51" t="s">
        <v>10</v>
      </c>
      <c r="E507" s="51" t="s">
        <v>9</v>
      </c>
      <c r="F507" s="51" t="s">
        <v>9</v>
      </c>
      <c r="G507" s="51" t="s">
        <v>10</v>
      </c>
    </row>
    <row r="508" spans="1:7" ht="15.75" thickBot="1">
      <c r="A508" s="1">
        <v>1</v>
      </c>
      <c r="B508" s="1">
        <v>2</v>
      </c>
      <c r="C508" s="1">
        <v>3</v>
      </c>
      <c r="D508" s="1">
        <v>4</v>
      </c>
      <c r="E508" s="1">
        <v>5</v>
      </c>
      <c r="F508" s="1">
        <v>6</v>
      </c>
      <c r="G508" s="1">
        <v>7</v>
      </c>
    </row>
    <row r="509" spans="1:7" ht="15.75" thickBot="1">
      <c r="A509" s="683" t="s">
        <v>11</v>
      </c>
      <c r="B509" s="684"/>
      <c r="C509" s="119"/>
      <c r="D509" s="119"/>
      <c r="E509" s="119"/>
      <c r="F509" s="119"/>
      <c r="G509" s="120"/>
    </row>
    <row r="510" spans="1:7">
      <c r="A510" s="162" t="s">
        <v>12</v>
      </c>
      <c r="B510" s="116" t="s">
        <v>13</v>
      </c>
      <c r="C510" s="378">
        <f>'Devize obiecte evaluari'!F1170</f>
        <v>0</v>
      </c>
      <c r="D510" s="378">
        <f>'Devize obiecte evaluari'!G1170</f>
        <v>0</v>
      </c>
      <c r="E510" s="378">
        <f>'Devize obiecte evaluari'!H1170</f>
        <v>0</v>
      </c>
      <c r="F510" s="378">
        <f>'Devize obiecte evaluari'!I1170</f>
        <v>0</v>
      </c>
      <c r="G510" s="379">
        <f>'Devize obiecte evaluari'!J1170</f>
        <v>0</v>
      </c>
    </row>
    <row r="511" spans="1:7">
      <c r="A511" s="74" t="s">
        <v>14</v>
      </c>
      <c r="B511" s="2" t="s">
        <v>15</v>
      </c>
      <c r="C511" s="54">
        <f>'Devize obiecte evaluari'!F1173</f>
        <v>0</v>
      </c>
      <c r="D511" s="54">
        <f>'Devize obiecte evaluari'!G1173</f>
        <v>0</v>
      </c>
      <c r="E511" s="54">
        <f>'Devize obiecte evaluari'!H1173</f>
        <v>0</v>
      </c>
      <c r="F511" s="54">
        <f>'Devize obiecte evaluari'!I1173</f>
        <v>0</v>
      </c>
      <c r="G511" s="55">
        <f>'Devize obiecte evaluari'!J1173</f>
        <v>0</v>
      </c>
    </row>
    <row r="512" spans="1:7">
      <c r="A512" s="74" t="s">
        <v>16</v>
      </c>
      <c r="B512" s="2" t="s">
        <v>17</v>
      </c>
      <c r="C512" s="52">
        <f>'Devize obiecte evaluari'!F1176</f>
        <v>0</v>
      </c>
      <c r="D512" s="52">
        <f>'Devize obiecte evaluari'!G1176</f>
        <v>0</v>
      </c>
      <c r="E512" s="52">
        <f>'Devize obiecte evaluari'!H1176</f>
        <v>0</v>
      </c>
      <c r="F512" s="52">
        <f>'Devize obiecte evaluari'!I1176</f>
        <v>0</v>
      </c>
      <c r="G512" s="53">
        <f>'Devize obiecte evaluari'!J1176</f>
        <v>0</v>
      </c>
    </row>
    <row r="513" spans="1:7">
      <c r="A513" s="74" t="s">
        <v>18</v>
      </c>
      <c r="B513" s="2" t="s">
        <v>19</v>
      </c>
      <c r="C513" s="52">
        <f>'Devize obiecte evaluari'!F1179</f>
        <v>0</v>
      </c>
      <c r="D513" s="52">
        <f>'Devize obiecte evaluari'!G1179</f>
        <v>0</v>
      </c>
      <c r="E513" s="52">
        <f>'Devize obiecte evaluari'!H1179</f>
        <v>0</v>
      </c>
      <c r="F513" s="52">
        <f>'Devize obiecte evaluari'!I1179</f>
        <v>0</v>
      </c>
      <c r="G513" s="53">
        <f>'Devize obiecte evaluari'!J1179</f>
        <v>0</v>
      </c>
    </row>
    <row r="514" spans="1:7">
      <c r="A514" s="74" t="s">
        <v>20</v>
      </c>
      <c r="B514" s="2" t="s">
        <v>21</v>
      </c>
      <c r="C514" s="52">
        <f>'Devize obiecte evaluari'!F1194</f>
        <v>0</v>
      </c>
      <c r="D514" s="52">
        <f>'Devize obiecte evaluari'!G1194</f>
        <v>0</v>
      </c>
      <c r="E514" s="52">
        <f>'Devize obiecte evaluari'!H1194</f>
        <v>0</v>
      </c>
      <c r="F514" s="52">
        <f>'Devize obiecte evaluari'!I1194</f>
        <v>0</v>
      </c>
      <c r="G514" s="53">
        <f>'Devize obiecte evaluari'!J1194</f>
        <v>0</v>
      </c>
    </row>
    <row r="515" spans="1:7" ht="25.5">
      <c r="A515" s="74" t="s">
        <v>22</v>
      </c>
      <c r="B515" s="2" t="s">
        <v>23</v>
      </c>
      <c r="C515" s="36">
        <f>'Devize obiecte evaluari'!F1197</f>
        <v>0</v>
      </c>
      <c r="D515" s="36">
        <f>'Devize obiecte evaluari'!G1197</f>
        <v>0</v>
      </c>
      <c r="E515" s="36">
        <f>'Devize obiecte evaluari'!H1197</f>
        <v>0</v>
      </c>
      <c r="F515" s="36">
        <f>'Devize obiecte evaluari'!I1197</f>
        <v>0</v>
      </c>
      <c r="G515" s="37">
        <f>'Devize obiecte evaluari'!J1197</f>
        <v>0</v>
      </c>
    </row>
    <row r="516" spans="1:7">
      <c r="A516" s="74" t="s">
        <v>24</v>
      </c>
      <c r="B516" s="2" t="s">
        <v>25</v>
      </c>
      <c r="C516" s="52">
        <f>'Devize obiecte evaluari'!F1200</f>
        <v>0</v>
      </c>
      <c r="D516" s="52">
        <f>'Devize obiecte evaluari'!G1200</f>
        <v>0</v>
      </c>
      <c r="E516" s="52">
        <f>'Devize obiecte evaluari'!H1200</f>
        <v>0</v>
      </c>
      <c r="F516" s="52">
        <f>'Devize obiecte evaluari'!I1200</f>
        <v>0</v>
      </c>
      <c r="G516" s="53">
        <f>'Devize obiecte evaluari'!J1200</f>
        <v>0</v>
      </c>
    </row>
    <row r="517" spans="1:7" ht="15.75" thickBot="1">
      <c r="A517" s="163" t="s">
        <v>99</v>
      </c>
      <c r="B517" s="121" t="s">
        <v>26</v>
      </c>
      <c r="C517" s="380">
        <f>'Devize obiecte evaluari'!F1203</f>
        <v>0</v>
      </c>
      <c r="D517" s="380">
        <f>'Devize obiecte evaluari'!G1203</f>
        <v>0</v>
      </c>
      <c r="E517" s="380">
        <f>'Devize obiecte evaluari'!H1203</f>
        <v>0</v>
      </c>
      <c r="F517" s="380">
        <f>'Devize obiecte evaluari'!I1203</f>
        <v>0</v>
      </c>
      <c r="G517" s="381">
        <f>'Devize obiecte evaluari'!J1203</f>
        <v>0</v>
      </c>
    </row>
    <row r="518" spans="1:7" ht="15.75" thickBot="1">
      <c r="A518" s="685" t="s">
        <v>27</v>
      </c>
      <c r="B518" s="686"/>
      <c r="C518" s="82">
        <f>SUM(C510:C517)</f>
        <v>0</v>
      </c>
      <c r="D518" s="82">
        <f t="shared" ref="D518:E518" si="81">SUM(D510:D517)</f>
        <v>0</v>
      </c>
      <c r="E518" s="82">
        <f t="shared" si="81"/>
        <v>0</v>
      </c>
      <c r="F518" s="82">
        <f>SUM(F510:F517)</f>
        <v>0</v>
      </c>
      <c r="G518" s="83">
        <f t="shared" ref="G518" si="82">SUM(G510:G517)</f>
        <v>0</v>
      </c>
    </row>
    <row r="519" spans="1:7" ht="15.75" thickBot="1">
      <c r="A519" s="683" t="s">
        <v>28</v>
      </c>
      <c r="B519" s="684"/>
      <c r="C519" s="119"/>
      <c r="D519" s="119"/>
      <c r="E519" s="119"/>
      <c r="F519" s="119"/>
      <c r="G519" s="120"/>
    </row>
    <row r="520" spans="1:7" ht="15.75" thickBot="1">
      <c r="A520" s="126"/>
      <c r="B520" s="127" t="s">
        <v>29</v>
      </c>
      <c r="C520" s="128">
        <f>'Devize obiecte evaluari'!F1208</f>
        <v>0</v>
      </c>
      <c r="D520" s="128">
        <f>'Devize obiecte evaluari'!G1208</f>
        <v>0</v>
      </c>
      <c r="E520" s="128">
        <f>'Devize obiecte evaluari'!H1208</f>
        <v>0</v>
      </c>
      <c r="F520" s="128">
        <f>'Devize obiecte evaluari'!I1208</f>
        <v>0</v>
      </c>
      <c r="G520" s="129">
        <f>'Devize obiecte evaluari'!J1208</f>
        <v>0</v>
      </c>
    </row>
    <row r="521" spans="1:7" ht="15.75" thickBot="1">
      <c r="A521" s="685" t="s">
        <v>30</v>
      </c>
      <c r="B521" s="686"/>
      <c r="C521" s="62">
        <f>C520</f>
        <v>0</v>
      </c>
      <c r="D521" s="62">
        <f>D520</f>
        <v>0</v>
      </c>
      <c r="E521" s="62">
        <f>E520</f>
        <v>0</v>
      </c>
      <c r="F521" s="62">
        <f>F520</f>
        <v>0</v>
      </c>
      <c r="G521" s="63">
        <f>G520</f>
        <v>0</v>
      </c>
    </row>
    <row r="522" spans="1:7" ht="15.75" thickBot="1">
      <c r="A522" s="683" t="s">
        <v>31</v>
      </c>
      <c r="B522" s="684"/>
      <c r="C522" s="119"/>
      <c r="D522" s="119"/>
      <c r="E522" s="119"/>
      <c r="F522" s="119"/>
      <c r="G522" s="120"/>
    </row>
    <row r="523" spans="1:7">
      <c r="A523" s="124"/>
      <c r="B523" s="125" t="s">
        <v>32</v>
      </c>
      <c r="C523" s="382">
        <f>'Devize obiecte evaluari'!F1213</f>
        <v>0</v>
      </c>
      <c r="D523" s="382">
        <f>'Devize obiecte evaluari'!G1213</f>
        <v>0</v>
      </c>
      <c r="E523" s="382">
        <f>'Devize obiecte evaluari'!H1213</f>
        <v>0</v>
      </c>
      <c r="F523" s="382">
        <f>'Devize obiecte evaluari'!I1213</f>
        <v>0</v>
      </c>
      <c r="G523" s="383">
        <f>'Devize obiecte evaluari'!J1213</f>
        <v>0</v>
      </c>
    </row>
    <row r="524" spans="1:7">
      <c r="A524" s="58"/>
      <c r="B524" s="59" t="s">
        <v>33</v>
      </c>
      <c r="C524" s="60">
        <f>'Devize obiecte evaluari'!F1216</f>
        <v>0</v>
      </c>
      <c r="D524" s="60">
        <f>'Devize obiecte evaluari'!G1216</f>
        <v>0</v>
      </c>
      <c r="E524" s="60">
        <f>'Devize obiecte evaluari'!H1216</f>
        <v>0</v>
      </c>
      <c r="F524" s="60">
        <f>'Devize obiecte evaluari'!I1216</f>
        <v>0</v>
      </c>
      <c r="G524" s="61">
        <f>'Devize obiecte evaluari'!J1216</f>
        <v>0</v>
      </c>
    </row>
    <row r="525" spans="1:7" ht="15.75" thickBot="1">
      <c r="A525" s="132"/>
      <c r="B525" s="133" t="s">
        <v>34</v>
      </c>
      <c r="C525" s="384">
        <f>'Devize obiecte evaluari'!F1219</f>
        <v>0</v>
      </c>
      <c r="D525" s="384">
        <f>'Devize obiecte evaluari'!G1219</f>
        <v>0</v>
      </c>
      <c r="E525" s="384">
        <f>'Devize obiecte evaluari'!H1219</f>
        <v>0</v>
      </c>
      <c r="F525" s="384">
        <f>'Devize obiecte evaluari'!I1219</f>
        <v>0</v>
      </c>
      <c r="G525" s="385">
        <f>'Devize obiecte evaluari'!J1219</f>
        <v>0</v>
      </c>
    </row>
    <row r="526" spans="1:7" ht="15.75" thickBot="1">
      <c r="A526" s="685" t="s">
        <v>35</v>
      </c>
      <c r="B526" s="686"/>
      <c r="C526" s="62">
        <f>SUM(C523:C525)</f>
        <v>0</v>
      </c>
      <c r="D526" s="62">
        <f t="shared" ref="D526:E526" si="83">SUM(D523:D525)</f>
        <v>0</v>
      </c>
      <c r="E526" s="62">
        <f t="shared" si="83"/>
        <v>0</v>
      </c>
      <c r="F526" s="62">
        <f>SUM(F523:F525)</f>
        <v>0</v>
      </c>
      <c r="G526" s="63">
        <f t="shared" ref="G526" si="84">SUM(G523:G525)</f>
        <v>0</v>
      </c>
    </row>
    <row r="527" spans="1:7" ht="15.75" thickBot="1">
      <c r="A527" s="685" t="s">
        <v>36</v>
      </c>
      <c r="B527" s="686"/>
      <c r="C527" s="62">
        <f>SUM(C518,C521,C526)</f>
        <v>0</v>
      </c>
      <c r="D527" s="62">
        <f t="shared" ref="D527:E527" si="85">SUM(D518,D521,D526)</f>
        <v>0</v>
      </c>
      <c r="E527" s="62">
        <f t="shared" si="85"/>
        <v>0</v>
      </c>
      <c r="F527" s="62">
        <f>SUM(F518,F521,F526)</f>
        <v>0</v>
      </c>
      <c r="G527" s="63">
        <f t="shared" ref="G527" si="86">SUM(G518,G521,G526)</f>
        <v>0</v>
      </c>
    </row>
    <row r="528" spans="1:7">
      <c r="A528" s="39"/>
      <c r="B528" s="39"/>
      <c r="C528" s="42"/>
      <c r="D528" s="42"/>
      <c r="E528" s="42"/>
      <c r="F528" s="42"/>
      <c r="G528" s="42"/>
    </row>
    <row r="529" spans="1:7">
      <c r="A529" s="42"/>
      <c r="C529" s="42"/>
      <c r="D529" s="64"/>
      <c r="E529" s="42"/>
      <c r="F529" s="42"/>
      <c r="G529" s="42"/>
    </row>
    <row r="530" spans="1:7">
      <c r="A530" s="39"/>
      <c r="B530" s="65" t="s">
        <v>37</v>
      </c>
      <c r="C530" s="39"/>
      <c r="D530" s="66"/>
      <c r="E530" s="39"/>
      <c r="F530" s="39"/>
      <c r="G530" s="39"/>
    </row>
    <row r="531" spans="1:7">
      <c r="A531" s="39"/>
      <c r="B531" s="65" t="str">
        <f>'Date Generale'!$C$7</f>
        <v>S.C. Tehno Consoulting Solutions S.R.L.</v>
      </c>
      <c r="C531" s="39"/>
      <c r="D531" s="39"/>
      <c r="E531" s="39"/>
      <c r="F531" s="39"/>
      <c r="G531" s="39"/>
    </row>
    <row r="532" spans="1:7">
      <c r="A532" s="39"/>
      <c r="B532" s="39"/>
      <c r="C532" s="39"/>
      <c r="D532" s="39"/>
      <c r="E532" s="39"/>
      <c r="F532" s="39"/>
      <c r="G532" s="39"/>
    </row>
    <row r="533" spans="1:7">
      <c r="A533" s="39"/>
      <c r="B533" s="39"/>
      <c r="C533" s="39"/>
      <c r="D533" s="39"/>
      <c r="E533" s="39"/>
      <c r="F533" s="39"/>
      <c r="G533" s="39"/>
    </row>
    <row r="534" spans="1:7">
      <c r="A534" s="67"/>
      <c r="B534" s="67"/>
      <c r="C534" s="67"/>
      <c r="D534" s="67"/>
      <c r="E534" s="67"/>
      <c r="F534" s="67"/>
      <c r="G534" s="67"/>
    </row>
    <row r="535" spans="1:7" ht="15.75">
      <c r="A535" s="41" t="str">
        <f>"Beneficiar: " &amp;'Date Generale'!$C$6</f>
        <v xml:space="preserve">Beneficiar: Judetul Arges </v>
      </c>
      <c r="B535" s="41"/>
      <c r="C535" s="42"/>
      <c r="D535" s="42"/>
      <c r="E535" s="42"/>
      <c r="F535" s="42"/>
      <c r="G535" s="42"/>
    </row>
    <row r="536" spans="1:7" ht="15.75">
      <c r="A536" s="41" t="str">
        <f>"Denumire proiect: " &amp; 'Date Generale'!$C$3</f>
        <v>Denumire proiect: Modernizare DJ 703B Serbanesti (DJ659) - Silistea, km 70+410 - 77+826, 7.416km, in comunele Rociu si Cateasca</v>
      </c>
      <c r="B536" s="41"/>
      <c r="C536" s="43"/>
      <c r="D536" s="43"/>
      <c r="E536" s="43"/>
      <c r="F536" s="43"/>
      <c r="G536" s="43"/>
    </row>
    <row r="537" spans="1:7" ht="15.75">
      <c r="A537" s="41"/>
      <c r="B537" s="41"/>
      <c r="C537" s="44"/>
      <c r="D537" s="44"/>
      <c r="E537" s="44"/>
      <c r="F537" s="44"/>
      <c r="G537" s="44"/>
    </row>
    <row r="538" spans="1:7">
      <c r="A538" s="687" t="str">
        <f>"Devizul Obiectului: " &amp;'Date Generale'!$E$76</f>
        <v>Devizul Obiectului: Obiect 016:0</v>
      </c>
      <c r="B538" s="687"/>
      <c r="C538" s="687"/>
      <c r="D538" s="687"/>
      <c r="E538" s="687"/>
      <c r="F538" s="687"/>
      <c r="G538" s="687"/>
    </row>
    <row r="539" spans="1:7">
      <c r="A539" s="371"/>
      <c r="B539" s="371"/>
      <c r="C539" s="371"/>
      <c r="D539" s="371"/>
      <c r="E539" s="371"/>
      <c r="F539" s="371"/>
      <c r="G539" s="371"/>
    </row>
    <row r="540" spans="1:7" ht="15.75" thickBot="1">
      <c r="A540" s="45"/>
      <c r="B540" s="46"/>
      <c r="C540" s="33"/>
      <c r="D540" s="47" t="s">
        <v>2</v>
      </c>
      <c r="E540" s="48">
        <f>'Date Generale'!$C$54</f>
        <v>4.7233000000000001</v>
      </c>
      <c r="F540" s="49" t="s">
        <v>3</v>
      </c>
      <c r="G540" s="50" t="str">
        <f>'Date Generale'!$D$54</f>
        <v>21,06,2019</v>
      </c>
    </row>
    <row r="541" spans="1:7" ht="15.75" thickBot="1">
      <c r="A541" s="688" t="s">
        <v>4</v>
      </c>
      <c r="B541" s="688" t="s">
        <v>5</v>
      </c>
      <c r="C541" s="689" t="s">
        <v>160</v>
      </c>
      <c r="D541" s="689"/>
      <c r="E541" s="372" t="s">
        <v>7</v>
      </c>
      <c r="F541" s="689" t="s">
        <v>159</v>
      </c>
      <c r="G541" s="689"/>
    </row>
    <row r="542" spans="1:7" ht="15.75" thickBot="1">
      <c r="A542" s="688"/>
      <c r="B542" s="688"/>
      <c r="C542" s="51" t="s">
        <v>9</v>
      </c>
      <c r="D542" s="51" t="s">
        <v>10</v>
      </c>
      <c r="E542" s="51" t="s">
        <v>9</v>
      </c>
      <c r="F542" s="51" t="s">
        <v>9</v>
      </c>
      <c r="G542" s="51" t="s">
        <v>10</v>
      </c>
    </row>
    <row r="543" spans="1:7" ht="15.75" thickBot="1">
      <c r="A543" s="1">
        <v>1</v>
      </c>
      <c r="B543" s="1">
        <v>2</v>
      </c>
      <c r="C543" s="1">
        <v>3</v>
      </c>
      <c r="D543" s="1">
        <v>4</v>
      </c>
      <c r="E543" s="1">
        <v>5</v>
      </c>
      <c r="F543" s="1">
        <v>6</v>
      </c>
      <c r="G543" s="1">
        <v>7</v>
      </c>
    </row>
    <row r="544" spans="1:7" ht="15.75" thickBot="1">
      <c r="A544" s="683" t="s">
        <v>11</v>
      </c>
      <c r="B544" s="684"/>
      <c r="C544" s="119"/>
      <c r="D544" s="119"/>
      <c r="E544" s="119"/>
      <c r="F544" s="119"/>
      <c r="G544" s="120"/>
    </row>
    <row r="545" spans="1:7">
      <c r="A545" s="162" t="s">
        <v>12</v>
      </c>
      <c r="B545" s="116" t="s">
        <v>13</v>
      </c>
      <c r="C545" s="378">
        <f>'Devize obiecte evaluari'!F1242</f>
        <v>0</v>
      </c>
      <c r="D545" s="378">
        <f>'Devize obiecte evaluari'!G1242</f>
        <v>0</v>
      </c>
      <c r="E545" s="378">
        <f>'Devize obiecte evaluari'!H1242</f>
        <v>0</v>
      </c>
      <c r="F545" s="378">
        <f>'Devize obiecte evaluari'!I1242</f>
        <v>0</v>
      </c>
      <c r="G545" s="379">
        <f>'Devize obiecte evaluari'!J1242</f>
        <v>0</v>
      </c>
    </row>
    <row r="546" spans="1:7">
      <c r="A546" s="74" t="s">
        <v>14</v>
      </c>
      <c r="B546" s="2" t="s">
        <v>15</v>
      </c>
      <c r="C546" s="54">
        <f>'Devize obiecte evaluari'!F1245</f>
        <v>0</v>
      </c>
      <c r="D546" s="54">
        <f>'Devize obiecte evaluari'!G1245</f>
        <v>0</v>
      </c>
      <c r="E546" s="54">
        <f>'Devize obiecte evaluari'!H1245</f>
        <v>0</v>
      </c>
      <c r="F546" s="54">
        <f>'Devize obiecte evaluari'!I1245</f>
        <v>0</v>
      </c>
      <c r="G546" s="55">
        <f>'Devize obiecte evaluari'!J1245</f>
        <v>0</v>
      </c>
    </row>
    <row r="547" spans="1:7">
      <c r="A547" s="74" t="s">
        <v>16</v>
      </c>
      <c r="B547" s="2" t="s">
        <v>17</v>
      </c>
      <c r="C547" s="52">
        <f>'Devize obiecte evaluari'!F1248</f>
        <v>0</v>
      </c>
      <c r="D547" s="52">
        <f>'Devize obiecte evaluari'!G1248</f>
        <v>0</v>
      </c>
      <c r="E547" s="52">
        <f>'Devize obiecte evaluari'!H1248</f>
        <v>0</v>
      </c>
      <c r="F547" s="52">
        <f>'Devize obiecte evaluari'!I1248</f>
        <v>0</v>
      </c>
      <c r="G547" s="53">
        <f>'Devize obiecte evaluari'!J1248</f>
        <v>0</v>
      </c>
    </row>
    <row r="548" spans="1:7">
      <c r="A548" s="74" t="s">
        <v>18</v>
      </c>
      <c r="B548" s="2" t="s">
        <v>19</v>
      </c>
      <c r="C548" s="52">
        <f>'Devize obiecte evaluari'!F1251</f>
        <v>0</v>
      </c>
      <c r="D548" s="52">
        <f>'Devize obiecte evaluari'!G1251</f>
        <v>0</v>
      </c>
      <c r="E548" s="52">
        <f>'Devize obiecte evaluari'!H1251</f>
        <v>0</v>
      </c>
      <c r="F548" s="52">
        <f>'Devize obiecte evaluari'!I1251</f>
        <v>0</v>
      </c>
      <c r="G548" s="53">
        <f>'Devize obiecte evaluari'!J1251</f>
        <v>0</v>
      </c>
    </row>
    <row r="549" spans="1:7">
      <c r="A549" s="74" t="s">
        <v>20</v>
      </c>
      <c r="B549" s="2" t="s">
        <v>21</v>
      </c>
      <c r="C549" s="52">
        <f>'Devize obiecte evaluari'!F1266</f>
        <v>0</v>
      </c>
      <c r="D549" s="52">
        <f>'Devize obiecte evaluari'!G1266</f>
        <v>0</v>
      </c>
      <c r="E549" s="52">
        <f>'Devize obiecte evaluari'!H1266</f>
        <v>0</v>
      </c>
      <c r="F549" s="52">
        <f>'Devize obiecte evaluari'!I1266</f>
        <v>0</v>
      </c>
      <c r="G549" s="53">
        <f>'Devize obiecte evaluari'!J1266</f>
        <v>0</v>
      </c>
    </row>
    <row r="550" spans="1:7" ht="25.5">
      <c r="A550" s="74" t="s">
        <v>22</v>
      </c>
      <c r="B550" s="2" t="s">
        <v>23</v>
      </c>
      <c r="C550" s="36">
        <f>'Devize obiecte evaluari'!F1269</f>
        <v>0</v>
      </c>
      <c r="D550" s="36">
        <f>'Devize obiecte evaluari'!G1269</f>
        <v>0</v>
      </c>
      <c r="E550" s="36">
        <f>'Devize obiecte evaluari'!H1269</f>
        <v>0</v>
      </c>
      <c r="F550" s="36">
        <f>'Devize obiecte evaluari'!I1269</f>
        <v>0</v>
      </c>
      <c r="G550" s="37">
        <f>'Devize obiecte evaluari'!J1269</f>
        <v>0</v>
      </c>
    </row>
    <row r="551" spans="1:7">
      <c r="A551" s="74" t="s">
        <v>24</v>
      </c>
      <c r="B551" s="2" t="s">
        <v>25</v>
      </c>
      <c r="C551" s="52">
        <f>'Devize obiecte evaluari'!F1272</f>
        <v>0</v>
      </c>
      <c r="D551" s="52">
        <f>'Devize obiecte evaluari'!G1272</f>
        <v>0</v>
      </c>
      <c r="E551" s="52">
        <f>'Devize obiecte evaluari'!H1272</f>
        <v>0</v>
      </c>
      <c r="F551" s="52">
        <f>'Devize obiecte evaluari'!I1272</f>
        <v>0</v>
      </c>
      <c r="G551" s="53">
        <f>'Devize obiecte evaluari'!J1272</f>
        <v>0</v>
      </c>
    </row>
    <row r="552" spans="1:7" ht="15.75" thickBot="1">
      <c r="A552" s="163" t="s">
        <v>99</v>
      </c>
      <c r="B552" s="121" t="s">
        <v>26</v>
      </c>
      <c r="C552" s="380">
        <f>'Devize obiecte evaluari'!F1275</f>
        <v>0</v>
      </c>
      <c r="D552" s="380">
        <f>'Devize obiecte evaluari'!G1275</f>
        <v>0</v>
      </c>
      <c r="E552" s="380">
        <f>'Devize obiecte evaluari'!H1275</f>
        <v>0</v>
      </c>
      <c r="F552" s="380">
        <f>'Devize obiecte evaluari'!I1275</f>
        <v>0</v>
      </c>
      <c r="G552" s="381">
        <f>'Devize obiecte evaluari'!J1275</f>
        <v>0</v>
      </c>
    </row>
    <row r="553" spans="1:7" ht="15.75" thickBot="1">
      <c r="A553" s="685" t="s">
        <v>27</v>
      </c>
      <c r="B553" s="686"/>
      <c r="C553" s="82">
        <f>SUM(C545:C552)</f>
        <v>0</v>
      </c>
      <c r="D553" s="82">
        <f t="shared" ref="D553:E553" si="87">SUM(D545:D552)</f>
        <v>0</v>
      </c>
      <c r="E553" s="82">
        <f t="shared" si="87"/>
        <v>0</v>
      </c>
      <c r="F553" s="82">
        <f>SUM(F545:F552)</f>
        <v>0</v>
      </c>
      <c r="G553" s="83">
        <f t="shared" ref="G553" si="88">SUM(G545:G552)</f>
        <v>0</v>
      </c>
    </row>
    <row r="554" spans="1:7" ht="15.75" thickBot="1">
      <c r="A554" s="683" t="s">
        <v>28</v>
      </c>
      <c r="B554" s="684"/>
      <c r="C554" s="119"/>
      <c r="D554" s="119"/>
      <c r="E554" s="119"/>
      <c r="F554" s="119"/>
      <c r="G554" s="120"/>
    </row>
    <row r="555" spans="1:7" ht="15.75" thickBot="1">
      <c r="A555" s="126"/>
      <c r="B555" s="127" t="s">
        <v>29</v>
      </c>
      <c r="C555" s="128">
        <f>'Devize obiecte evaluari'!F1280</f>
        <v>0</v>
      </c>
      <c r="D555" s="128">
        <f>'Devize obiecte evaluari'!G1280</f>
        <v>0</v>
      </c>
      <c r="E555" s="128">
        <f>'Devize obiecte evaluari'!H1280</f>
        <v>0</v>
      </c>
      <c r="F555" s="128">
        <f>'Devize obiecte evaluari'!I1280</f>
        <v>0</v>
      </c>
      <c r="G555" s="129">
        <f>'Devize obiecte evaluari'!J1280</f>
        <v>0</v>
      </c>
    </row>
    <row r="556" spans="1:7" ht="15.75" thickBot="1">
      <c r="A556" s="685" t="s">
        <v>30</v>
      </c>
      <c r="B556" s="686"/>
      <c r="C556" s="62">
        <f>C555</f>
        <v>0</v>
      </c>
      <c r="D556" s="62">
        <f>D555</f>
        <v>0</v>
      </c>
      <c r="E556" s="62">
        <f>E555</f>
        <v>0</v>
      </c>
      <c r="F556" s="62">
        <f>F555</f>
        <v>0</v>
      </c>
      <c r="G556" s="63">
        <f>G555</f>
        <v>0</v>
      </c>
    </row>
    <row r="557" spans="1:7" ht="15.75" thickBot="1">
      <c r="A557" s="683" t="s">
        <v>31</v>
      </c>
      <c r="B557" s="684"/>
      <c r="C557" s="119"/>
      <c r="D557" s="119"/>
      <c r="E557" s="119"/>
      <c r="F557" s="119"/>
      <c r="G557" s="120"/>
    </row>
    <row r="558" spans="1:7">
      <c r="A558" s="124"/>
      <c r="B558" s="125" t="s">
        <v>32</v>
      </c>
      <c r="C558" s="382">
        <f>'Devize obiecte evaluari'!F1285</f>
        <v>0</v>
      </c>
      <c r="D558" s="382">
        <f>'Devize obiecte evaluari'!G1285</f>
        <v>0</v>
      </c>
      <c r="E558" s="382">
        <f>'Devize obiecte evaluari'!H1285</f>
        <v>0</v>
      </c>
      <c r="F558" s="382">
        <f>'Devize obiecte evaluari'!I1285</f>
        <v>0</v>
      </c>
      <c r="G558" s="383">
        <f>'Devize obiecte evaluari'!J1285</f>
        <v>0</v>
      </c>
    </row>
    <row r="559" spans="1:7">
      <c r="A559" s="58"/>
      <c r="B559" s="59" t="s">
        <v>33</v>
      </c>
      <c r="C559" s="60">
        <f>'Devize obiecte evaluari'!F1288</f>
        <v>0</v>
      </c>
      <c r="D559" s="60">
        <f>'Devize obiecte evaluari'!G1288</f>
        <v>0</v>
      </c>
      <c r="E559" s="60">
        <f>'Devize obiecte evaluari'!H1288</f>
        <v>0</v>
      </c>
      <c r="F559" s="60">
        <f>'Devize obiecte evaluari'!I1288</f>
        <v>0</v>
      </c>
      <c r="G559" s="61">
        <f>'Devize obiecte evaluari'!J1288</f>
        <v>0</v>
      </c>
    </row>
    <row r="560" spans="1:7" ht="15.75" thickBot="1">
      <c r="A560" s="132"/>
      <c r="B560" s="133" t="s">
        <v>34</v>
      </c>
      <c r="C560" s="384">
        <f>'Devize obiecte evaluari'!F1291</f>
        <v>0</v>
      </c>
      <c r="D560" s="384">
        <f>'Devize obiecte evaluari'!G1291</f>
        <v>0</v>
      </c>
      <c r="E560" s="384">
        <f>'Devize obiecte evaluari'!H1291</f>
        <v>0</v>
      </c>
      <c r="F560" s="384">
        <f>'Devize obiecte evaluari'!I1291</f>
        <v>0</v>
      </c>
      <c r="G560" s="385">
        <f>'Devize obiecte evaluari'!J1291</f>
        <v>0</v>
      </c>
    </row>
    <row r="561" spans="1:7" ht="15.75" thickBot="1">
      <c r="A561" s="685" t="s">
        <v>35</v>
      </c>
      <c r="B561" s="686"/>
      <c r="C561" s="62">
        <f>SUM(C558:C560)</f>
        <v>0</v>
      </c>
      <c r="D561" s="62">
        <f t="shared" ref="D561:E561" si="89">SUM(D558:D560)</f>
        <v>0</v>
      </c>
      <c r="E561" s="62">
        <f t="shared" si="89"/>
        <v>0</v>
      </c>
      <c r="F561" s="62">
        <f>SUM(F558:F560)</f>
        <v>0</v>
      </c>
      <c r="G561" s="63">
        <f t="shared" ref="G561" si="90">SUM(G558:G560)</f>
        <v>0</v>
      </c>
    </row>
    <row r="562" spans="1:7" ht="15.75" thickBot="1">
      <c r="A562" s="685" t="s">
        <v>36</v>
      </c>
      <c r="B562" s="686"/>
      <c r="C562" s="62">
        <f>SUM(C553,C556,C561)</f>
        <v>0</v>
      </c>
      <c r="D562" s="62">
        <f t="shared" ref="D562:E562" si="91">SUM(D553,D556,D561)</f>
        <v>0</v>
      </c>
      <c r="E562" s="62">
        <f t="shared" si="91"/>
        <v>0</v>
      </c>
      <c r="F562" s="62">
        <f>SUM(F553,F556,F561)</f>
        <v>0</v>
      </c>
      <c r="G562" s="63">
        <f t="shared" ref="G562" si="92">SUM(G553,G556,G561)</f>
        <v>0</v>
      </c>
    </row>
    <row r="563" spans="1:7">
      <c r="A563" s="39"/>
      <c r="B563" s="39"/>
      <c r="C563" s="42"/>
      <c r="D563" s="42"/>
      <c r="E563" s="42"/>
      <c r="F563" s="42"/>
      <c r="G563" s="42"/>
    </row>
    <row r="564" spans="1:7">
      <c r="A564" s="42"/>
      <c r="C564" s="42"/>
      <c r="D564" s="64"/>
      <c r="E564" s="42"/>
      <c r="F564" s="42"/>
      <c r="G564" s="42"/>
    </row>
    <row r="565" spans="1:7">
      <c r="A565" s="39"/>
      <c r="B565" s="65" t="s">
        <v>37</v>
      </c>
      <c r="C565" s="39"/>
      <c r="D565" s="66"/>
      <c r="E565" s="39"/>
      <c r="F565" s="39"/>
      <c r="G565" s="39"/>
    </row>
    <row r="566" spans="1:7">
      <c r="A566" s="39"/>
      <c r="B566" s="65" t="str">
        <f>'Date Generale'!$C$7</f>
        <v>S.C. Tehno Consoulting Solutions S.R.L.</v>
      </c>
      <c r="C566" s="39"/>
      <c r="D566" s="39"/>
      <c r="E566" s="39"/>
      <c r="F566" s="39"/>
      <c r="G566" s="39"/>
    </row>
    <row r="567" spans="1:7">
      <c r="A567" s="39"/>
      <c r="B567" s="39"/>
      <c r="C567" s="39"/>
      <c r="D567" s="39"/>
      <c r="E567" s="39"/>
      <c r="F567" s="39"/>
      <c r="G567" s="39"/>
    </row>
    <row r="568" spans="1:7">
      <c r="A568" s="39"/>
      <c r="B568" s="39"/>
      <c r="C568" s="39"/>
      <c r="D568" s="39"/>
      <c r="E568" s="39"/>
      <c r="F568" s="39"/>
      <c r="G568" s="39"/>
    </row>
    <row r="569" spans="1:7">
      <c r="A569" s="67"/>
      <c r="B569" s="67"/>
      <c r="C569" s="67"/>
      <c r="D569" s="67"/>
      <c r="E569" s="67"/>
      <c r="F569" s="67"/>
      <c r="G569" s="67"/>
    </row>
    <row r="570" spans="1:7" ht="15.75">
      <c r="A570" s="41" t="str">
        <f>"Beneficiar: " &amp;'Date Generale'!$C$6</f>
        <v xml:space="preserve">Beneficiar: Judetul Arges </v>
      </c>
      <c r="B570" s="41"/>
      <c r="C570" s="42"/>
      <c r="D570" s="42"/>
      <c r="E570" s="42"/>
      <c r="F570" s="42"/>
      <c r="G570" s="42"/>
    </row>
    <row r="571" spans="1:7" ht="15.75">
      <c r="A571" s="41" t="str">
        <f>"Denumire proiect: " &amp; 'Date Generale'!$C$3</f>
        <v>Denumire proiect: Modernizare DJ 703B Serbanesti (DJ659) - Silistea, km 70+410 - 77+826, 7.416km, in comunele Rociu si Cateasca</v>
      </c>
      <c r="B571" s="41"/>
      <c r="C571" s="43"/>
      <c r="D571" s="43"/>
      <c r="E571" s="43"/>
      <c r="F571" s="43"/>
      <c r="G571" s="43"/>
    </row>
    <row r="572" spans="1:7" ht="15.75">
      <c r="A572" s="41"/>
      <c r="B572" s="41"/>
      <c r="C572" s="44"/>
      <c r="D572" s="44"/>
      <c r="E572" s="44"/>
      <c r="F572" s="44"/>
      <c r="G572" s="44"/>
    </row>
    <row r="573" spans="1:7">
      <c r="A573" s="687" t="str">
        <f>"Devizul Obiectului: " &amp;'Date Generale'!$E$77</f>
        <v>Devizul Obiectului: Obiect 017:0</v>
      </c>
      <c r="B573" s="687"/>
      <c r="C573" s="687"/>
      <c r="D573" s="687"/>
      <c r="E573" s="687"/>
      <c r="F573" s="687"/>
      <c r="G573" s="687"/>
    </row>
    <row r="574" spans="1:7">
      <c r="A574" s="371"/>
      <c r="B574" s="371"/>
      <c r="C574" s="371"/>
      <c r="D574" s="371"/>
      <c r="E574" s="371"/>
      <c r="F574" s="371"/>
      <c r="G574" s="371"/>
    </row>
    <row r="575" spans="1:7" ht="15.75" thickBot="1">
      <c r="A575" s="45"/>
      <c r="B575" s="46"/>
      <c r="C575" s="33"/>
      <c r="D575" s="47" t="s">
        <v>2</v>
      </c>
      <c r="E575" s="48">
        <f>'Date Generale'!$C$54</f>
        <v>4.7233000000000001</v>
      </c>
      <c r="F575" s="49" t="s">
        <v>3</v>
      </c>
      <c r="G575" s="50" t="str">
        <f>'Date Generale'!$D$54</f>
        <v>21,06,2019</v>
      </c>
    </row>
    <row r="576" spans="1:7" ht="15.75" thickBot="1">
      <c r="A576" s="688" t="s">
        <v>4</v>
      </c>
      <c r="B576" s="688" t="s">
        <v>5</v>
      </c>
      <c r="C576" s="689" t="s">
        <v>160</v>
      </c>
      <c r="D576" s="689"/>
      <c r="E576" s="372" t="s">
        <v>7</v>
      </c>
      <c r="F576" s="689" t="s">
        <v>159</v>
      </c>
      <c r="G576" s="689"/>
    </row>
    <row r="577" spans="1:7" ht="15.75" thickBot="1">
      <c r="A577" s="688"/>
      <c r="B577" s="688"/>
      <c r="C577" s="51" t="s">
        <v>9</v>
      </c>
      <c r="D577" s="51" t="s">
        <v>10</v>
      </c>
      <c r="E577" s="51" t="s">
        <v>9</v>
      </c>
      <c r="F577" s="51" t="s">
        <v>9</v>
      </c>
      <c r="G577" s="51" t="s">
        <v>10</v>
      </c>
    </row>
    <row r="578" spans="1:7" ht="15.75" thickBot="1">
      <c r="A578" s="1">
        <v>1</v>
      </c>
      <c r="B578" s="1">
        <v>2</v>
      </c>
      <c r="C578" s="1">
        <v>3</v>
      </c>
      <c r="D578" s="1">
        <v>4</v>
      </c>
      <c r="E578" s="1">
        <v>5</v>
      </c>
      <c r="F578" s="1">
        <v>6</v>
      </c>
      <c r="G578" s="1">
        <v>7</v>
      </c>
    </row>
    <row r="579" spans="1:7" ht="15.75" thickBot="1">
      <c r="A579" s="683" t="s">
        <v>11</v>
      </c>
      <c r="B579" s="684"/>
      <c r="C579" s="119"/>
      <c r="D579" s="119"/>
      <c r="E579" s="119"/>
      <c r="F579" s="119"/>
      <c r="G579" s="120"/>
    </row>
    <row r="580" spans="1:7">
      <c r="A580" s="162" t="s">
        <v>12</v>
      </c>
      <c r="B580" s="116" t="s">
        <v>13</v>
      </c>
      <c r="C580" s="378">
        <f>'Devize obiecte evaluari'!F1314</f>
        <v>0</v>
      </c>
      <c r="D580" s="378">
        <f>'Devize obiecte evaluari'!G1314</f>
        <v>0</v>
      </c>
      <c r="E580" s="378">
        <f>'Devize obiecte evaluari'!H1314</f>
        <v>0</v>
      </c>
      <c r="F580" s="378">
        <f>'Devize obiecte evaluari'!I1314</f>
        <v>0</v>
      </c>
      <c r="G580" s="379">
        <f>'Devize obiecte evaluari'!J1314</f>
        <v>0</v>
      </c>
    </row>
    <row r="581" spans="1:7">
      <c r="A581" s="74" t="s">
        <v>14</v>
      </c>
      <c r="B581" s="2" t="s">
        <v>15</v>
      </c>
      <c r="C581" s="54">
        <f>'Devize obiecte evaluari'!F1317</f>
        <v>0</v>
      </c>
      <c r="D581" s="54">
        <f>'Devize obiecte evaluari'!G1317</f>
        <v>0</v>
      </c>
      <c r="E581" s="54">
        <f>'Devize obiecte evaluari'!H1317</f>
        <v>0</v>
      </c>
      <c r="F581" s="54">
        <f>'Devize obiecte evaluari'!I1317</f>
        <v>0</v>
      </c>
      <c r="G581" s="55">
        <f>'Devize obiecte evaluari'!J1317</f>
        <v>0</v>
      </c>
    </row>
    <row r="582" spans="1:7">
      <c r="A582" s="74" t="s">
        <v>16</v>
      </c>
      <c r="B582" s="2" t="s">
        <v>17</v>
      </c>
      <c r="C582" s="52">
        <f>'Devize obiecte evaluari'!F1320</f>
        <v>0</v>
      </c>
      <c r="D582" s="52">
        <f>'Devize obiecte evaluari'!G1320</f>
        <v>0</v>
      </c>
      <c r="E582" s="52">
        <f>'Devize obiecte evaluari'!H1320</f>
        <v>0</v>
      </c>
      <c r="F582" s="52">
        <f>'Devize obiecte evaluari'!I1320</f>
        <v>0</v>
      </c>
      <c r="G582" s="53">
        <f>'Devize obiecte evaluari'!J1320</f>
        <v>0</v>
      </c>
    </row>
    <row r="583" spans="1:7">
      <c r="A583" s="74" t="s">
        <v>18</v>
      </c>
      <c r="B583" s="2" t="s">
        <v>19</v>
      </c>
      <c r="C583" s="52">
        <f>'Devize obiecte evaluari'!F1323</f>
        <v>0</v>
      </c>
      <c r="D583" s="52">
        <f>'Devize obiecte evaluari'!G1323</f>
        <v>0</v>
      </c>
      <c r="E583" s="52">
        <f>'Devize obiecte evaluari'!H1323</f>
        <v>0</v>
      </c>
      <c r="F583" s="52">
        <f>'Devize obiecte evaluari'!I1323</f>
        <v>0</v>
      </c>
      <c r="G583" s="53">
        <f>'Devize obiecte evaluari'!J1323</f>
        <v>0</v>
      </c>
    </row>
    <row r="584" spans="1:7">
      <c r="A584" s="74" t="s">
        <v>20</v>
      </c>
      <c r="B584" s="2" t="s">
        <v>21</v>
      </c>
      <c r="C584" s="52">
        <f>'Devize obiecte evaluari'!F1338</f>
        <v>0</v>
      </c>
      <c r="D584" s="52">
        <f>'Devize obiecte evaluari'!G1338</f>
        <v>0</v>
      </c>
      <c r="E584" s="52">
        <f>'Devize obiecte evaluari'!H1338</f>
        <v>0</v>
      </c>
      <c r="F584" s="52">
        <f>'Devize obiecte evaluari'!I1338</f>
        <v>0</v>
      </c>
      <c r="G584" s="53">
        <f>'Devize obiecte evaluari'!J1338</f>
        <v>0</v>
      </c>
    </row>
    <row r="585" spans="1:7" ht="25.5">
      <c r="A585" s="74" t="s">
        <v>22</v>
      </c>
      <c r="B585" s="2" t="s">
        <v>23</v>
      </c>
      <c r="C585" s="36">
        <f>'Devize obiecte evaluari'!F1341</f>
        <v>0</v>
      </c>
      <c r="D585" s="36">
        <f>'Devize obiecte evaluari'!G1341</f>
        <v>0</v>
      </c>
      <c r="E585" s="36">
        <f>'Devize obiecte evaluari'!H1341</f>
        <v>0</v>
      </c>
      <c r="F585" s="36">
        <f>'Devize obiecte evaluari'!I1341</f>
        <v>0</v>
      </c>
      <c r="G585" s="37">
        <f>'Devize obiecte evaluari'!J1341</f>
        <v>0</v>
      </c>
    </row>
    <row r="586" spans="1:7">
      <c r="A586" s="74" t="s">
        <v>24</v>
      </c>
      <c r="B586" s="2" t="s">
        <v>25</v>
      </c>
      <c r="C586" s="52">
        <f>'Devize obiecte evaluari'!F1344</f>
        <v>0</v>
      </c>
      <c r="D586" s="52">
        <f>'Devize obiecte evaluari'!G1344</f>
        <v>0</v>
      </c>
      <c r="E586" s="52">
        <f>'Devize obiecte evaluari'!H1344</f>
        <v>0</v>
      </c>
      <c r="F586" s="52">
        <f>'Devize obiecte evaluari'!I1344</f>
        <v>0</v>
      </c>
      <c r="G586" s="53">
        <f>'Devize obiecte evaluari'!J1344</f>
        <v>0</v>
      </c>
    </row>
    <row r="587" spans="1:7" ht="15.75" thickBot="1">
      <c r="A587" s="163" t="s">
        <v>99</v>
      </c>
      <c r="B587" s="121" t="s">
        <v>26</v>
      </c>
      <c r="C587" s="380">
        <f>'Devize obiecte evaluari'!F1347</f>
        <v>0</v>
      </c>
      <c r="D587" s="380">
        <f>'Devize obiecte evaluari'!G1347</f>
        <v>0</v>
      </c>
      <c r="E587" s="380">
        <f>'Devize obiecte evaluari'!H1347</f>
        <v>0</v>
      </c>
      <c r="F587" s="380">
        <f>'Devize obiecte evaluari'!I1347</f>
        <v>0</v>
      </c>
      <c r="G587" s="381">
        <f>'Devize obiecte evaluari'!J1347</f>
        <v>0</v>
      </c>
    </row>
    <row r="588" spans="1:7" ht="15.75" thickBot="1">
      <c r="A588" s="685" t="s">
        <v>27</v>
      </c>
      <c r="B588" s="686"/>
      <c r="C588" s="82">
        <f>SUM(C580:C587)</f>
        <v>0</v>
      </c>
      <c r="D588" s="82">
        <f t="shared" ref="D588:E588" si="93">SUM(D580:D587)</f>
        <v>0</v>
      </c>
      <c r="E588" s="82">
        <f t="shared" si="93"/>
        <v>0</v>
      </c>
      <c r="F588" s="82">
        <f>SUM(F580:F587)</f>
        <v>0</v>
      </c>
      <c r="G588" s="83">
        <f t="shared" ref="G588" si="94">SUM(G580:G587)</f>
        <v>0</v>
      </c>
    </row>
    <row r="589" spans="1:7" ht="15.75" thickBot="1">
      <c r="A589" s="683" t="s">
        <v>28</v>
      </c>
      <c r="B589" s="684"/>
      <c r="C589" s="119"/>
      <c r="D589" s="119"/>
      <c r="E589" s="119"/>
      <c r="F589" s="119"/>
      <c r="G589" s="120"/>
    </row>
    <row r="590" spans="1:7" ht="15.75" thickBot="1">
      <c r="A590" s="126"/>
      <c r="B590" s="127" t="s">
        <v>29</v>
      </c>
      <c r="C590" s="128">
        <f>'Devize obiecte evaluari'!F1352</f>
        <v>0</v>
      </c>
      <c r="D590" s="128">
        <f>'Devize obiecte evaluari'!G1352</f>
        <v>0</v>
      </c>
      <c r="E590" s="128">
        <f>'Devize obiecte evaluari'!H1352</f>
        <v>0</v>
      </c>
      <c r="F590" s="128">
        <f>'Devize obiecte evaluari'!I1352</f>
        <v>0</v>
      </c>
      <c r="G590" s="129">
        <f>'Devize obiecte evaluari'!J1352</f>
        <v>0</v>
      </c>
    </row>
    <row r="591" spans="1:7" ht="15.75" thickBot="1">
      <c r="A591" s="685" t="s">
        <v>30</v>
      </c>
      <c r="B591" s="686"/>
      <c r="C591" s="62">
        <f>C590</f>
        <v>0</v>
      </c>
      <c r="D591" s="62">
        <f>D590</f>
        <v>0</v>
      </c>
      <c r="E591" s="62">
        <f>E590</f>
        <v>0</v>
      </c>
      <c r="F591" s="62">
        <f>F590</f>
        <v>0</v>
      </c>
      <c r="G591" s="63">
        <f>G590</f>
        <v>0</v>
      </c>
    </row>
    <row r="592" spans="1:7" ht="15.75" thickBot="1">
      <c r="A592" s="683" t="s">
        <v>31</v>
      </c>
      <c r="B592" s="684"/>
      <c r="C592" s="119"/>
      <c r="D592" s="119"/>
      <c r="E592" s="119"/>
      <c r="F592" s="119"/>
      <c r="G592" s="120"/>
    </row>
    <row r="593" spans="1:7">
      <c r="A593" s="124"/>
      <c r="B593" s="125" t="s">
        <v>32</v>
      </c>
      <c r="C593" s="382">
        <f>'Devize obiecte evaluari'!F1357</f>
        <v>0</v>
      </c>
      <c r="D593" s="382">
        <f>'Devize obiecte evaluari'!G1357</f>
        <v>0</v>
      </c>
      <c r="E593" s="382">
        <f>'Devize obiecte evaluari'!H1357</f>
        <v>0</v>
      </c>
      <c r="F593" s="382">
        <f>'Devize obiecte evaluari'!I1357</f>
        <v>0</v>
      </c>
      <c r="G593" s="383">
        <f>'Devize obiecte evaluari'!J1357</f>
        <v>0</v>
      </c>
    </row>
    <row r="594" spans="1:7">
      <c r="A594" s="58"/>
      <c r="B594" s="59" t="s">
        <v>33</v>
      </c>
      <c r="C594" s="60">
        <f>'Devize obiecte evaluari'!F1360</f>
        <v>0</v>
      </c>
      <c r="D594" s="60">
        <f>'Devize obiecte evaluari'!G1360</f>
        <v>0</v>
      </c>
      <c r="E594" s="60">
        <f>'Devize obiecte evaluari'!H1360</f>
        <v>0</v>
      </c>
      <c r="F594" s="60">
        <f>'Devize obiecte evaluari'!I1360</f>
        <v>0</v>
      </c>
      <c r="G594" s="61">
        <f>'Devize obiecte evaluari'!J1360</f>
        <v>0</v>
      </c>
    </row>
    <row r="595" spans="1:7" ht="15.75" thickBot="1">
      <c r="A595" s="132"/>
      <c r="B595" s="133" t="s">
        <v>34</v>
      </c>
      <c r="C595" s="384">
        <f>'Devize obiecte evaluari'!F1363</f>
        <v>0</v>
      </c>
      <c r="D595" s="384">
        <f>'Devize obiecte evaluari'!G1363</f>
        <v>0</v>
      </c>
      <c r="E595" s="384">
        <f>'Devize obiecte evaluari'!H1363</f>
        <v>0</v>
      </c>
      <c r="F595" s="384">
        <f>'Devize obiecte evaluari'!I1363</f>
        <v>0</v>
      </c>
      <c r="G595" s="385">
        <f>'Devize obiecte evaluari'!J1363</f>
        <v>0</v>
      </c>
    </row>
    <row r="596" spans="1:7" ht="15.75" thickBot="1">
      <c r="A596" s="685" t="s">
        <v>35</v>
      </c>
      <c r="B596" s="686"/>
      <c r="C596" s="62">
        <f>SUM(C593:C595)</f>
        <v>0</v>
      </c>
      <c r="D596" s="62">
        <f t="shared" ref="D596:E596" si="95">SUM(D593:D595)</f>
        <v>0</v>
      </c>
      <c r="E596" s="62">
        <f t="shared" si="95"/>
        <v>0</v>
      </c>
      <c r="F596" s="62">
        <f>SUM(F593:F595)</f>
        <v>0</v>
      </c>
      <c r="G596" s="63">
        <f t="shared" ref="G596" si="96">SUM(G593:G595)</f>
        <v>0</v>
      </c>
    </row>
    <row r="597" spans="1:7" ht="15.75" thickBot="1">
      <c r="A597" s="685" t="s">
        <v>36</v>
      </c>
      <c r="B597" s="686"/>
      <c r="C597" s="62">
        <f>SUM(C588,C591,C596)</f>
        <v>0</v>
      </c>
      <c r="D597" s="62">
        <f t="shared" ref="D597:E597" si="97">SUM(D588,D591,D596)</f>
        <v>0</v>
      </c>
      <c r="E597" s="62">
        <f t="shared" si="97"/>
        <v>0</v>
      </c>
      <c r="F597" s="62">
        <f>SUM(F588,F591,F596)</f>
        <v>0</v>
      </c>
      <c r="G597" s="63">
        <f t="shared" ref="G597" si="98">SUM(G588,G591,G596)</f>
        <v>0</v>
      </c>
    </row>
    <row r="598" spans="1:7">
      <c r="A598" s="39"/>
      <c r="B598" s="39"/>
      <c r="C598" s="42"/>
      <c r="D598" s="42"/>
      <c r="E598" s="42"/>
      <c r="F598" s="42"/>
      <c r="G598" s="42"/>
    </row>
    <row r="599" spans="1:7">
      <c r="A599" s="42"/>
      <c r="C599" s="42"/>
      <c r="D599" s="64"/>
      <c r="E599" s="42"/>
      <c r="F599" s="42"/>
      <c r="G599" s="42"/>
    </row>
    <row r="600" spans="1:7">
      <c r="A600" s="39"/>
      <c r="B600" s="65" t="s">
        <v>37</v>
      </c>
      <c r="C600" s="39"/>
      <c r="D600" s="66"/>
      <c r="E600" s="39"/>
      <c r="F600" s="39"/>
      <c r="G600" s="39"/>
    </row>
    <row r="601" spans="1:7">
      <c r="A601" s="39"/>
      <c r="B601" s="65" t="str">
        <f>'Date Generale'!$C$7</f>
        <v>S.C. Tehno Consoulting Solutions S.R.L.</v>
      </c>
      <c r="C601" s="39"/>
      <c r="D601" s="39"/>
      <c r="E601" s="39"/>
      <c r="F601" s="39"/>
      <c r="G601" s="39"/>
    </row>
    <row r="602" spans="1:7">
      <c r="A602" s="39"/>
      <c r="B602" s="39"/>
      <c r="C602" s="39"/>
      <c r="D602" s="39"/>
      <c r="E602" s="39"/>
      <c r="F602" s="39"/>
      <c r="G602" s="39"/>
    </row>
    <row r="603" spans="1:7">
      <c r="A603" s="39"/>
      <c r="B603" s="39"/>
      <c r="C603" s="39"/>
      <c r="D603" s="39"/>
      <c r="E603" s="39"/>
      <c r="F603" s="39"/>
      <c r="G603" s="39"/>
    </row>
    <row r="604" spans="1:7">
      <c r="A604" s="67"/>
      <c r="B604" s="67"/>
      <c r="C604" s="67"/>
      <c r="D604" s="67"/>
      <c r="E604" s="67"/>
      <c r="F604" s="67"/>
      <c r="G604" s="67"/>
    </row>
    <row r="605" spans="1:7" ht="15.75">
      <c r="A605" s="41" t="str">
        <f>"Beneficiar: " &amp;'Date Generale'!$C$6</f>
        <v xml:space="preserve">Beneficiar: Judetul Arges </v>
      </c>
      <c r="B605" s="41"/>
      <c r="C605" s="42"/>
      <c r="D605" s="42"/>
      <c r="E605" s="42"/>
      <c r="F605" s="42"/>
      <c r="G605" s="42"/>
    </row>
    <row r="606" spans="1:7" ht="15.75">
      <c r="A606" s="41" t="str">
        <f>"Denumire proiect: " &amp; 'Date Generale'!$C$3</f>
        <v>Denumire proiect: Modernizare DJ 703B Serbanesti (DJ659) - Silistea, km 70+410 - 77+826, 7.416km, in comunele Rociu si Cateasca</v>
      </c>
      <c r="B606" s="41"/>
      <c r="C606" s="43"/>
      <c r="D606" s="43"/>
      <c r="E606" s="43"/>
      <c r="F606" s="43"/>
      <c r="G606" s="43"/>
    </row>
    <row r="607" spans="1:7" ht="15.75">
      <c r="A607" s="41"/>
      <c r="B607" s="41"/>
      <c r="C607" s="44"/>
      <c r="D607" s="44"/>
      <c r="E607" s="44"/>
      <c r="F607" s="44"/>
      <c r="G607" s="44"/>
    </row>
    <row r="608" spans="1:7">
      <c r="A608" s="687" t="str">
        <f>"Devizul Obiectului: " &amp;'Date Generale'!$E$78</f>
        <v>Devizul Obiectului: Obiect 018:0</v>
      </c>
      <c r="B608" s="687"/>
      <c r="C608" s="687"/>
      <c r="D608" s="687"/>
      <c r="E608" s="687"/>
      <c r="F608" s="687"/>
      <c r="G608" s="687"/>
    </row>
    <row r="609" spans="1:7">
      <c r="A609" s="371"/>
      <c r="B609" s="371"/>
      <c r="C609" s="371"/>
      <c r="D609" s="371"/>
      <c r="E609" s="371"/>
      <c r="F609" s="371"/>
      <c r="G609" s="371"/>
    </row>
    <row r="610" spans="1:7" ht="15.75" thickBot="1">
      <c r="A610" s="45"/>
      <c r="B610" s="46"/>
      <c r="C610" s="33"/>
      <c r="D610" s="47" t="s">
        <v>2</v>
      </c>
      <c r="E610" s="48">
        <f>'Date Generale'!$C$54</f>
        <v>4.7233000000000001</v>
      </c>
      <c r="F610" s="49" t="s">
        <v>3</v>
      </c>
      <c r="G610" s="50" t="str">
        <f>'Date Generale'!$D$54</f>
        <v>21,06,2019</v>
      </c>
    </row>
    <row r="611" spans="1:7" ht="15.75" thickBot="1">
      <c r="A611" s="688" t="s">
        <v>4</v>
      </c>
      <c r="B611" s="688" t="s">
        <v>5</v>
      </c>
      <c r="C611" s="689" t="s">
        <v>160</v>
      </c>
      <c r="D611" s="689"/>
      <c r="E611" s="372" t="s">
        <v>7</v>
      </c>
      <c r="F611" s="689" t="s">
        <v>159</v>
      </c>
      <c r="G611" s="689"/>
    </row>
    <row r="612" spans="1:7" ht="15.75" thickBot="1">
      <c r="A612" s="688"/>
      <c r="B612" s="688"/>
      <c r="C612" s="51" t="s">
        <v>9</v>
      </c>
      <c r="D612" s="51" t="s">
        <v>10</v>
      </c>
      <c r="E612" s="51" t="s">
        <v>9</v>
      </c>
      <c r="F612" s="51" t="s">
        <v>9</v>
      </c>
      <c r="G612" s="51" t="s">
        <v>10</v>
      </c>
    </row>
    <row r="613" spans="1:7" ht="15.75" thickBot="1">
      <c r="A613" s="1">
        <v>1</v>
      </c>
      <c r="B613" s="1">
        <v>2</v>
      </c>
      <c r="C613" s="1">
        <v>3</v>
      </c>
      <c r="D613" s="1">
        <v>4</v>
      </c>
      <c r="E613" s="1">
        <v>5</v>
      </c>
      <c r="F613" s="1">
        <v>6</v>
      </c>
      <c r="G613" s="1">
        <v>7</v>
      </c>
    </row>
    <row r="614" spans="1:7" ht="15.75" thickBot="1">
      <c r="A614" s="683" t="s">
        <v>11</v>
      </c>
      <c r="B614" s="684"/>
      <c r="C614" s="119"/>
      <c r="D614" s="119"/>
      <c r="E614" s="119"/>
      <c r="F614" s="119"/>
      <c r="G614" s="120"/>
    </row>
    <row r="615" spans="1:7">
      <c r="A615" s="162" t="s">
        <v>12</v>
      </c>
      <c r="B615" s="116" t="s">
        <v>13</v>
      </c>
      <c r="C615" s="378">
        <f>'Devize obiecte evaluari'!F1386</f>
        <v>0</v>
      </c>
      <c r="D615" s="378">
        <f>'Devize obiecte evaluari'!G1386</f>
        <v>0</v>
      </c>
      <c r="E615" s="378">
        <f>'Devize obiecte evaluari'!H1386</f>
        <v>0</v>
      </c>
      <c r="F615" s="378">
        <f>'Devize obiecte evaluari'!I1386</f>
        <v>0</v>
      </c>
      <c r="G615" s="379">
        <f>'Devize obiecte evaluari'!J1386</f>
        <v>0</v>
      </c>
    </row>
    <row r="616" spans="1:7">
      <c r="A616" s="74" t="s">
        <v>14</v>
      </c>
      <c r="B616" s="2" t="s">
        <v>15</v>
      </c>
      <c r="C616" s="54">
        <f>'Devize obiecte evaluari'!F1389</f>
        <v>0</v>
      </c>
      <c r="D616" s="54">
        <f>'Devize obiecte evaluari'!G1389</f>
        <v>0</v>
      </c>
      <c r="E616" s="54">
        <f>'Devize obiecte evaluari'!H1389</f>
        <v>0</v>
      </c>
      <c r="F616" s="54">
        <f>'Devize obiecte evaluari'!I1389</f>
        <v>0</v>
      </c>
      <c r="G616" s="55">
        <f>'Devize obiecte evaluari'!J1389</f>
        <v>0</v>
      </c>
    </row>
    <row r="617" spans="1:7">
      <c r="A617" s="74" t="s">
        <v>16</v>
      </c>
      <c r="B617" s="2" t="s">
        <v>17</v>
      </c>
      <c r="C617" s="52">
        <f>'Devize obiecte evaluari'!F1392</f>
        <v>0</v>
      </c>
      <c r="D617" s="52">
        <f>'Devize obiecte evaluari'!G1392</f>
        <v>0</v>
      </c>
      <c r="E617" s="52">
        <f>'Devize obiecte evaluari'!H1392</f>
        <v>0</v>
      </c>
      <c r="F617" s="52">
        <f>'Devize obiecte evaluari'!I1392</f>
        <v>0</v>
      </c>
      <c r="G617" s="53">
        <f>'Devize obiecte evaluari'!J1392</f>
        <v>0</v>
      </c>
    </row>
    <row r="618" spans="1:7">
      <c r="A618" s="74" t="s">
        <v>18</v>
      </c>
      <c r="B618" s="2" t="s">
        <v>19</v>
      </c>
      <c r="C618" s="52">
        <f>'Devize obiecte evaluari'!F1395</f>
        <v>0</v>
      </c>
      <c r="D618" s="52">
        <f>'Devize obiecte evaluari'!G1395</f>
        <v>0</v>
      </c>
      <c r="E618" s="52">
        <f>'Devize obiecte evaluari'!H1395</f>
        <v>0</v>
      </c>
      <c r="F618" s="52">
        <f>'Devize obiecte evaluari'!I1395</f>
        <v>0</v>
      </c>
      <c r="G618" s="53">
        <f>'Devize obiecte evaluari'!J1395</f>
        <v>0</v>
      </c>
    </row>
    <row r="619" spans="1:7">
      <c r="A619" s="74" t="s">
        <v>20</v>
      </c>
      <c r="B619" s="2" t="s">
        <v>21</v>
      </c>
      <c r="C619" s="52">
        <f>'Devize obiecte evaluari'!F1410</f>
        <v>0</v>
      </c>
      <c r="D619" s="52">
        <f>'Devize obiecte evaluari'!G1410</f>
        <v>0</v>
      </c>
      <c r="E619" s="52">
        <f>'Devize obiecte evaluari'!H1410</f>
        <v>0</v>
      </c>
      <c r="F619" s="52">
        <f>'Devize obiecte evaluari'!I1410</f>
        <v>0</v>
      </c>
      <c r="G619" s="53">
        <f>'Devize obiecte evaluari'!J1410</f>
        <v>0</v>
      </c>
    </row>
    <row r="620" spans="1:7" ht="25.5">
      <c r="A620" s="74" t="s">
        <v>22</v>
      </c>
      <c r="B620" s="2" t="s">
        <v>23</v>
      </c>
      <c r="C620" s="36">
        <f>'Devize obiecte evaluari'!F1413</f>
        <v>0</v>
      </c>
      <c r="D620" s="36">
        <f>'Devize obiecte evaluari'!G1413</f>
        <v>0</v>
      </c>
      <c r="E620" s="36">
        <f>'Devize obiecte evaluari'!H1413</f>
        <v>0</v>
      </c>
      <c r="F620" s="36">
        <f>'Devize obiecte evaluari'!I1413</f>
        <v>0</v>
      </c>
      <c r="G620" s="37">
        <f>'Devize obiecte evaluari'!J1413</f>
        <v>0</v>
      </c>
    </row>
    <row r="621" spans="1:7">
      <c r="A621" s="74" t="s">
        <v>24</v>
      </c>
      <c r="B621" s="2" t="s">
        <v>25</v>
      </c>
      <c r="C621" s="52">
        <f>'Devize obiecte evaluari'!F1416</f>
        <v>0</v>
      </c>
      <c r="D621" s="52">
        <f>'Devize obiecte evaluari'!G1416</f>
        <v>0</v>
      </c>
      <c r="E621" s="52">
        <f>'Devize obiecte evaluari'!H1416</f>
        <v>0</v>
      </c>
      <c r="F621" s="52">
        <f>'Devize obiecte evaluari'!I1416</f>
        <v>0</v>
      </c>
      <c r="G621" s="53">
        <f>'Devize obiecte evaluari'!J1416</f>
        <v>0</v>
      </c>
    </row>
    <row r="622" spans="1:7" ht="15.75" thickBot="1">
      <c r="A622" s="163" t="s">
        <v>99</v>
      </c>
      <c r="B622" s="121" t="s">
        <v>26</v>
      </c>
      <c r="C622" s="380">
        <f>'Devize obiecte evaluari'!F1419</f>
        <v>0</v>
      </c>
      <c r="D622" s="380">
        <f>'Devize obiecte evaluari'!G1419</f>
        <v>0</v>
      </c>
      <c r="E622" s="380">
        <f>'Devize obiecte evaluari'!H1419</f>
        <v>0</v>
      </c>
      <c r="F622" s="380">
        <f>'Devize obiecte evaluari'!I1419</f>
        <v>0</v>
      </c>
      <c r="G622" s="381">
        <f>'Devize obiecte evaluari'!J1419</f>
        <v>0</v>
      </c>
    </row>
    <row r="623" spans="1:7" ht="15.75" thickBot="1">
      <c r="A623" s="685" t="s">
        <v>27</v>
      </c>
      <c r="B623" s="686"/>
      <c r="C623" s="82">
        <f>SUM(C615:C622)</f>
        <v>0</v>
      </c>
      <c r="D623" s="82">
        <f t="shared" ref="D623:E623" si="99">SUM(D615:D622)</f>
        <v>0</v>
      </c>
      <c r="E623" s="82">
        <f t="shared" si="99"/>
        <v>0</v>
      </c>
      <c r="F623" s="82">
        <f>SUM(F615:F622)</f>
        <v>0</v>
      </c>
      <c r="G623" s="83">
        <f t="shared" ref="G623" si="100">SUM(G615:G622)</f>
        <v>0</v>
      </c>
    </row>
    <row r="624" spans="1:7" ht="15.75" thickBot="1">
      <c r="A624" s="683" t="s">
        <v>28</v>
      </c>
      <c r="B624" s="684"/>
      <c r="C624" s="119"/>
      <c r="D624" s="119"/>
      <c r="E624" s="119"/>
      <c r="F624" s="119"/>
      <c r="G624" s="120"/>
    </row>
    <row r="625" spans="1:7" ht="15.75" thickBot="1">
      <c r="A625" s="126"/>
      <c r="B625" s="127" t="s">
        <v>29</v>
      </c>
      <c r="C625" s="128">
        <f>'Devize obiecte evaluari'!F1424</f>
        <v>0</v>
      </c>
      <c r="D625" s="128">
        <f>'Devize obiecte evaluari'!G1424</f>
        <v>0</v>
      </c>
      <c r="E625" s="128">
        <f>'Devize obiecte evaluari'!H1424</f>
        <v>0</v>
      </c>
      <c r="F625" s="128">
        <f>'Devize obiecte evaluari'!I1424</f>
        <v>0</v>
      </c>
      <c r="G625" s="129">
        <f>'Devize obiecte evaluari'!J1424</f>
        <v>0</v>
      </c>
    </row>
    <row r="626" spans="1:7" ht="15.75" thickBot="1">
      <c r="A626" s="685" t="s">
        <v>30</v>
      </c>
      <c r="B626" s="686"/>
      <c r="C626" s="62">
        <f>C625</f>
        <v>0</v>
      </c>
      <c r="D626" s="62">
        <f>D625</f>
        <v>0</v>
      </c>
      <c r="E626" s="62">
        <f>E625</f>
        <v>0</v>
      </c>
      <c r="F626" s="62">
        <f>F625</f>
        <v>0</v>
      </c>
      <c r="G626" s="63">
        <f>G625</f>
        <v>0</v>
      </c>
    </row>
    <row r="627" spans="1:7" ht="15.75" thickBot="1">
      <c r="A627" s="683" t="s">
        <v>31</v>
      </c>
      <c r="B627" s="684"/>
      <c r="C627" s="119"/>
      <c r="D627" s="119"/>
      <c r="E627" s="119"/>
      <c r="F627" s="119"/>
      <c r="G627" s="120"/>
    </row>
    <row r="628" spans="1:7">
      <c r="A628" s="124"/>
      <c r="B628" s="125" t="s">
        <v>32</v>
      </c>
      <c r="C628" s="382">
        <f>'Devize obiecte evaluari'!F1429</f>
        <v>0</v>
      </c>
      <c r="D628" s="382">
        <f>'Devize obiecte evaluari'!G1429</f>
        <v>0</v>
      </c>
      <c r="E628" s="382">
        <f>'Devize obiecte evaluari'!H1429</f>
        <v>0</v>
      </c>
      <c r="F628" s="382">
        <f>'Devize obiecte evaluari'!I1429</f>
        <v>0</v>
      </c>
      <c r="G628" s="383">
        <f>'Devize obiecte evaluari'!J1429</f>
        <v>0</v>
      </c>
    </row>
    <row r="629" spans="1:7">
      <c r="A629" s="58"/>
      <c r="B629" s="59" t="s">
        <v>33</v>
      </c>
      <c r="C629" s="60">
        <f>'Devize obiecte evaluari'!F1432</f>
        <v>0</v>
      </c>
      <c r="D629" s="60">
        <f>'Devize obiecte evaluari'!G1432</f>
        <v>0</v>
      </c>
      <c r="E629" s="60">
        <f>'Devize obiecte evaluari'!H1432</f>
        <v>0</v>
      </c>
      <c r="F629" s="60">
        <f>'Devize obiecte evaluari'!I1432</f>
        <v>0</v>
      </c>
      <c r="G629" s="61">
        <f>'Devize obiecte evaluari'!J1432</f>
        <v>0</v>
      </c>
    </row>
    <row r="630" spans="1:7" ht="15.75" thickBot="1">
      <c r="A630" s="132"/>
      <c r="B630" s="133" t="s">
        <v>34</v>
      </c>
      <c r="C630" s="384">
        <f>'Devize obiecte evaluari'!F1435</f>
        <v>0</v>
      </c>
      <c r="D630" s="384">
        <f>'Devize obiecte evaluari'!G1435</f>
        <v>0</v>
      </c>
      <c r="E630" s="384">
        <f>'Devize obiecte evaluari'!H1435</f>
        <v>0</v>
      </c>
      <c r="F630" s="384">
        <f>'Devize obiecte evaluari'!I1435</f>
        <v>0</v>
      </c>
      <c r="G630" s="385">
        <f>'Devize obiecte evaluari'!J1435</f>
        <v>0</v>
      </c>
    </row>
    <row r="631" spans="1:7" ht="15.75" thickBot="1">
      <c r="A631" s="685" t="s">
        <v>35</v>
      </c>
      <c r="B631" s="686"/>
      <c r="C631" s="62">
        <f>SUM(C628:C630)</f>
        <v>0</v>
      </c>
      <c r="D631" s="62">
        <f t="shared" ref="D631:E631" si="101">SUM(D628:D630)</f>
        <v>0</v>
      </c>
      <c r="E631" s="62">
        <f t="shared" si="101"/>
        <v>0</v>
      </c>
      <c r="F631" s="62">
        <f>SUM(F628:F630)</f>
        <v>0</v>
      </c>
      <c r="G631" s="63">
        <f t="shared" ref="G631" si="102">SUM(G628:G630)</f>
        <v>0</v>
      </c>
    </row>
    <row r="632" spans="1:7" ht="15.75" thickBot="1">
      <c r="A632" s="685" t="s">
        <v>36</v>
      </c>
      <c r="B632" s="686"/>
      <c r="C632" s="62">
        <f>SUM(C623,C626,C631)</f>
        <v>0</v>
      </c>
      <c r="D632" s="62">
        <f t="shared" ref="D632:E632" si="103">SUM(D623,D626,D631)</f>
        <v>0</v>
      </c>
      <c r="E632" s="62">
        <f t="shared" si="103"/>
        <v>0</v>
      </c>
      <c r="F632" s="62">
        <f>SUM(F623,F626,F631)</f>
        <v>0</v>
      </c>
      <c r="G632" s="63">
        <f t="shared" ref="G632" si="104">SUM(G623,G626,G631)</f>
        <v>0</v>
      </c>
    </row>
    <row r="633" spans="1:7">
      <c r="A633" s="39"/>
      <c r="B633" s="39"/>
      <c r="C633" s="42"/>
      <c r="D633" s="42"/>
      <c r="E633" s="42"/>
      <c r="F633" s="42"/>
      <c r="G633" s="42"/>
    </row>
    <row r="634" spans="1:7">
      <c r="A634" s="42"/>
      <c r="C634" s="42"/>
      <c r="D634" s="64"/>
      <c r="E634" s="42"/>
      <c r="F634" s="42"/>
      <c r="G634" s="42"/>
    </row>
    <row r="635" spans="1:7">
      <c r="A635" s="39"/>
      <c r="B635" s="65" t="s">
        <v>37</v>
      </c>
      <c r="C635" s="39"/>
      <c r="D635" s="66"/>
      <c r="E635" s="39"/>
      <c r="F635" s="39"/>
      <c r="G635" s="39"/>
    </row>
    <row r="636" spans="1:7">
      <c r="A636" s="39"/>
      <c r="B636" s="65" t="str">
        <f>'Date Generale'!$C$7</f>
        <v>S.C. Tehno Consoulting Solutions S.R.L.</v>
      </c>
      <c r="C636" s="39"/>
      <c r="D636" s="39"/>
      <c r="E636" s="39"/>
      <c r="F636" s="39"/>
      <c r="G636" s="39"/>
    </row>
    <row r="637" spans="1:7">
      <c r="A637" s="39"/>
      <c r="B637" s="39"/>
      <c r="C637" s="39"/>
      <c r="D637" s="39"/>
      <c r="E637" s="39"/>
      <c r="F637" s="39"/>
      <c r="G637" s="39"/>
    </row>
    <row r="638" spans="1:7">
      <c r="A638" s="39"/>
      <c r="B638" s="39"/>
      <c r="C638" s="39"/>
      <c r="D638" s="39"/>
      <c r="E638" s="39"/>
      <c r="F638" s="39"/>
      <c r="G638" s="39"/>
    </row>
    <row r="639" spans="1:7">
      <c r="A639" s="67"/>
      <c r="B639" s="67"/>
      <c r="C639" s="67"/>
      <c r="D639" s="67"/>
      <c r="E639" s="67"/>
      <c r="F639" s="67"/>
      <c r="G639" s="67"/>
    </row>
    <row r="640" spans="1:7" ht="15.75">
      <c r="A640" s="41" t="str">
        <f>"Beneficiar: " &amp;'Date Generale'!$C$6</f>
        <v xml:space="preserve">Beneficiar: Judetul Arges </v>
      </c>
      <c r="B640" s="41"/>
      <c r="C640" s="42"/>
      <c r="D640" s="42"/>
      <c r="E640" s="42"/>
      <c r="F640" s="42"/>
      <c r="G640" s="42"/>
    </row>
    <row r="641" spans="1:7" ht="15.75">
      <c r="A641" s="41" t="str">
        <f>"Denumire proiect: " &amp; 'Date Generale'!$C$3</f>
        <v>Denumire proiect: Modernizare DJ 703B Serbanesti (DJ659) - Silistea, km 70+410 - 77+826, 7.416km, in comunele Rociu si Cateasca</v>
      </c>
      <c r="B641" s="41"/>
      <c r="C641" s="43"/>
      <c r="D641" s="43"/>
      <c r="E641" s="43"/>
      <c r="F641" s="43"/>
      <c r="G641" s="43"/>
    </row>
    <row r="642" spans="1:7" ht="15.75">
      <c r="A642" s="41"/>
      <c r="B642" s="41"/>
      <c r="C642" s="44"/>
      <c r="D642" s="44"/>
      <c r="E642" s="44"/>
      <c r="F642" s="44"/>
      <c r="G642" s="44"/>
    </row>
    <row r="643" spans="1:7">
      <c r="A643" s="687" t="str">
        <f>"Devizul Obiectului: " &amp;'Date Generale'!$E$79</f>
        <v>Devizul Obiectului: Obiect 019:0</v>
      </c>
      <c r="B643" s="687"/>
      <c r="C643" s="687"/>
      <c r="D643" s="687"/>
      <c r="E643" s="687"/>
      <c r="F643" s="687"/>
      <c r="G643" s="687"/>
    </row>
    <row r="644" spans="1:7">
      <c r="A644" s="371"/>
      <c r="B644" s="371"/>
      <c r="C644" s="371"/>
      <c r="D644" s="371"/>
      <c r="E644" s="371"/>
      <c r="F644" s="371"/>
      <c r="G644" s="371"/>
    </row>
    <row r="645" spans="1:7" ht="15.75" thickBot="1">
      <c r="A645" s="45"/>
      <c r="B645" s="46"/>
      <c r="C645" s="33"/>
      <c r="D645" s="47" t="s">
        <v>2</v>
      </c>
      <c r="E645" s="48">
        <f>'Date Generale'!$C$54</f>
        <v>4.7233000000000001</v>
      </c>
      <c r="F645" s="49" t="s">
        <v>3</v>
      </c>
      <c r="G645" s="50" t="str">
        <f>'Date Generale'!$D$54</f>
        <v>21,06,2019</v>
      </c>
    </row>
    <row r="646" spans="1:7" ht="15.75" thickBot="1">
      <c r="A646" s="688" t="s">
        <v>4</v>
      </c>
      <c r="B646" s="688" t="s">
        <v>5</v>
      </c>
      <c r="C646" s="689" t="s">
        <v>160</v>
      </c>
      <c r="D646" s="689"/>
      <c r="E646" s="372" t="s">
        <v>7</v>
      </c>
      <c r="F646" s="689" t="s">
        <v>159</v>
      </c>
      <c r="G646" s="689"/>
    </row>
    <row r="647" spans="1:7" ht="15.75" thickBot="1">
      <c r="A647" s="688"/>
      <c r="B647" s="688"/>
      <c r="C647" s="51" t="s">
        <v>9</v>
      </c>
      <c r="D647" s="51" t="s">
        <v>10</v>
      </c>
      <c r="E647" s="51" t="s">
        <v>9</v>
      </c>
      <c r="F647" s="51" t="s">
        <v>9</v>
      </c>
      <c r="G647" s="51" t="s">
        <v>10</v>
      </c>
    </row>
    <row r="648" spans="1:7" ht="15.75" thickBot="1">
      <c r="A648" s="1">
        <v>1</v>
      </c>
      <c r="B648" s="1">
        <v>2</v>
      </c>
      <c r="C648" s="1">
        <v>3</v>
      </c>
      <c r="D648" s="1">
        <v>4</v>
      </c>
      <c r="E648" s="1">
        <v>5</v>
      </c>
      <c r="F648" s="1">
        <v>6</v>
      </c>
      <c r="G648" s="1">
        <v>7</v>
      </c>
    </row>
    <row r="649" spans="1:7" ht="15.75" thickBot="1">
      <c r="A649" s="683" t="s">
        <v>11</v>
      </c>
      <c r="B649" s="684"/>
      <c r="C649" s="119"/>
      <c r="D649" s="119"/>
      <c r="E649" s="119"/>
      <c r="F649" s="119"/>
      <c r="G649" s="120"/>
    </row>
    <row r="650" spans="1:7">
      <c r="A650" s="162" t="s">
        <v>12</v>
      </c>
      <c r="B650" s="116" t="s">
        <v>13</v>
      </c>
      <c r="C650" s="378">
        <f>'Devize obiecte evaluari'!F1458</f>
        <v>0</v>
      </c>
      <c r="D650" s="378">
        <f>'Devize obiecte evaluari'!G1458</f>
        <v>0</v>
      </c>
      <c r="E650" s="378">
        <f>'Devize obiecte evaluari'!H1458</f>
        <v>0</v>
      </c>
      <c r="F650" s="378">
        <f>'Devize obiecte evaluari'!I1458</f>
        <v>0</v>
      </c>
      <c r="G650" s="379">
        <f>'Devize obiecte evaluari'!J1458</f>
        <v>0</v>
      </c>
    </row>
    <row r="651" spans="1:7">
      <c r="A651" s="74" t="s">
        <v>14</v>
      </c>
      <c r="B651" s="2" t="s">
        <v>15</v>
      </c>
      <c r="C651" s="54">
        <f>'Devize obiecte evaluari'!F1461</f>
        <v>0</v>
      </c>
      <c r="D651" s="54">
        <f>'Devize obiecte evaluari'!G1461</f>
        <v>0</v>
      </c>
      <c r="E651" s="54">
        <f>'Devize obiecte evaluari'!H1461</f>
        <v>0</v>
      </c>
      <c r="F651" s="54">
        <f>'Devize obiecte evaluari'!I1461</f>
        <v>0</v>
      </c>
      <c r="G651" s="55">
        <f>'Devize obiecte evaluari'!J1461</f>
        <v>0</v>
      </c>
    </row>
    <row r="652" spans="1:7">
      <c r="A652" s="74" t="s">
        <v>16</v>
      </c>
      <c r="B652" s="2" t="s">
        <v>17</v>
      </c>
      <c r="C652" s="52">
        <f>'Devize obiecte evaluari'!F1464</f>
        <v>0</v>
      </c>
      <c r="D652" s="52">
        <f>'Devize obiecte evaluari'!G1464</f>
        <v>0</v>
      </c>
      <c r="E652" s="52">
        <f>'Devize obiecte evaluari'!H1464</f>
        <v>0</v>
      </c>
      <c r="F652" s="52">
        <f>'Devize obiecte evaluari'!I1464</f>
        <v>0</v>
      </c>
      <c r="G652" s="53">
        <f>'Devize obiecte evaluari'!J1464</f>
        <v>0</v>
      </c>
    </row>
    <row r="653" spans="1:7">
      <c r="A653" s="74" t="s">
        <v>18</v>
      </c>
      <c r="B653" s="2" t="s">
        <v>19</v>
      </c>
      <c r="C653" s="52">
        <f>'Devize obiecte evaluari'!F1467</f>
        <v>0</v>
      </c>
      <c r="D653" s="52">
        <f>'Devize obiecte evaluari'!G1467</f>
        <v>0</v>
      </c>
      <c r="E653" s="52">
        <f>'Devize obiecte evaluari'!H1467</f>
        <v>0</v>
      </c>
      <c r="F653" s="52">
        <f>'Devize obiecte evaluari'!I1467</f>
        <v>0</v>
      </c>
      <c r="G653" s="53">
        <f>'Devize obiecte evaluari'!J1467</f>
        <v>0</v>
      </c>
    </row>
    <row r="654" spans="1:7">
      <c r="A654" s="74" t="s">
        <v>20</v>
      </c>
      <c r="B654" s="2" t="s">
        <v>21</v>
      </c>
      <c r="C654" s="52">
        <f>'Devize obiecte evaluari'!F1482</f>
        <v>0</v>
      </c>
      <c r="D654" s="52">
        <f>'Devize obiecte evaluari'!G1482</f>
        <v>0</v>
      </c>
      <c r="E654" s="52">
        <f>'Devize obiecte evaluari'!H1482</f>
        <v>0</v>
      </c>
      <c r="F654" s="52">
        <f>'Devize obiecte evaluari'!I1482</f>
        <v>0</v>
      </c>
      <c r="G654" s="53">
        <f>'Devize obiecte evaluari'!J1482</f>
        <v>0</v>
      </c>
    </row>
    <row r="655" spans="1:7" ht="25.5">
      <c r="A655" s="74" t="s">
        <v>22</v>
      </c>
      <c r="B655" s="2" t="s">
        <v>23</v>
      </c>
      <c r="C655" s="36">
        <f>'Devize obiecte evaluari'!F1485</f>
        <v>0</v>
      </c>
      <c r="D655" s="36">
        <f>'Devize obiecte evaluari'!G1485</f>
        <v>0</v>
      </c>
      <c r="E655" s="36">
        <f>'Devize obiecte evaluari'!H1485</f>
        <v>0</v>
      </c>
      <c r="F655" s="36">
        <f>'Devize obiecte evaluari'!I1485</f>
        <v>0</v>
      </c>
      <c r="G655" s="37">
        <f>'Devize obiecte evaluari'!J1485</f>
        <v>0</v>
      </c>
    </row>
    <row r="656" spans="1:7">
      <c r="A656" s="74" t="s">
        <v>24</v>
      </c>
      <c r="B656" s="2" t="s">
        <v>25</v>
      </c>
      <c r="C656" s="52">
        <f>'Devize obiecte evaluari'!F1488</f>
        <v>0</v>
      </c>
      <c r="D656" s="52">
        <f>'Devize obiecte evaluari'!G1488</f>
        <v>0</v>
      </c>
      <c r="E656" s="52">
        <f>'Devize obiecte evaluari'!H1488</f>
        <v>0</v>
      </c>
      <c r="F656" s="52">
        <f>'Devize obiecte evaluari'!I1488</f>
        <v>0</v>
      </c>
      <c r="G656" s="53">
        <f>'Devize obiecte evaluari'!J1488</f>
        <v>0</v>
      </c>
    </row>
    <row r="657" spans="1:7" ht="15.75" thickBot="1">
      <c r="A657" s="163" t="s">
        <v>99</v>
      </c>
      <c r="B657" s="121" t="s">
        <v>26</v>
      </c>
      <c r="C657" s="380">
        <f>'Devize obiecte evaluari'!F1491</f>
        <v>0</v>
      </c>
      <c r="D657" s="380">
        <f>'Devize obiecte evaluari'!G1491</f>
        <v>0</v>
      </c>
      <c r="E657" s="380">
        <f>'Devize obiecte evaluari'!H1491</f>
        <v>0</v>
      </c>
      <c r="F657" s="380">
        <f>'Devize obiecte evaluari'!I1491</f>
        <v>0</v>
      </c>
      <c r="G657" s="381">
        <f>'Devize obiecte evaluari'!J1491</f>
        <v>0</v>
      </c>
    </row>
    <row r="658" spans="1:7" ht="15.75" thickBot="1">
      <c r="A658" s="685" t="s">
        <v>27</v>
      </c>
      <c r="B658" s="686"/>
      <c r="C658" s="82">
        <f>SUM(C650:C657)</f>
        <v>0</v>
      </c>
      <c r="D658" s="82">
        <f t="shared" ref="D658:E658" si="105">SUM(D650:D657)</f>
        <v>0</v>
      </c>
      <c r="E658" s="82">
        <f t="shared" si="105"/>
        <v>0</v>
      </c>
      <c r="F658" s="82">
        <f>SUM(F650:F657)</f>
        <v>0</v>
      </c>
      <c r="G658" s="83">
        <f t="shared" ref="G658" si="106">SUM(G650:G657)</f>
        <v>0</v>
      </c>
    </row>
    <row r="659" spans="1:7" ht="15.75" thickBot="1">
      <c r="A659" s="683" t="s">
        <v>28</v>
      </c>
      <c r="B659" s="684"/>
      <c r="C659" s="119"/>
      <c r="D659" s="119"/>
      <c r="E659" s="119"/>
      <c r="F659" s="119"/>
      <c r="G659" s="120"/>
    </row>
    <row r="660" spans="1:7" ht="15.75" thickBot="1">
      <c r="A660" s="126"/>
      <c r="B660" s="127" t="s">
        <v>29</v>
      </c>
      <c r="C660" s="128">
        <f>'Devize obiecte evaluari'!F1496</f>
        <v>0</v>
      </c>
      <c r="D660" s="128">
        <f>'Devize obiecte evaluari'!G1496</f>
        <v>0</v>
      </c>
      <c r="E660" s="128">
        <f>'Devize obiecte evaluari'!H1496</f>
        <v>0</v>
      </c>
      <c r="F660" s="128">
        <f>'Devize obiecte evaluari'!I1496</f>
        <v>0</v>
      </c>
      <c r="G660" s="129">
        <f>'Devize obiecte evaluari'!J1496</f>
        <v>0</v>
      </c>
    </row>
    <row r="661" spans="1:7" ht="15.75" thickBot="1">
      <c r="A661" s="685" t="s">
        <v>30</v>
      </c>
      <c r="B661" s="686"/>
      <c r="C661" s="62">
        <f>C660</f>
        <v>0</v>
      </c>
      <c r="D661" s="62">
        <f>D660</f>
        <v>0</v>
      </c>
      <c r="E661" s="62">
        <f>E660</f>
        <v>0</v>
      </c>
      <c r="F661" s="62">
        <f>F660</f>
        <v>0</v>
      </c>
      <c r="G661" s="63">
        <f>G660</f>
        <v>0</v>
      </c>
    </row>
    <row r="662" spans="1:7" ht="15.75" thickBot="1">
      <c r="A662" s="683" t="s">
        <v>31</v>
      </c>
      <c r="B662" s="684"/>
      <c r="C662" s="119"/>
      <c r="D662" s="119"/>
      <c r="E662" s="119"/>
      <c r="F662" s="119"/>
      <c r="G662" s="120"/>
    </row>
    <row r="663" spans="1:7">
      <c r="A663" s="124"/>
      <c r="B663" s="125" t="s">
        <v>32</v>
      </c>
      <c r="C663" s="382">
        <f>'Devize obiecte evaluari'!F1501</f>
        <v>0</v>
      </c>
      <c r="D663" s="382">
        <f>'Devize obiecte evaluari'!G1501</f>
        <v>0</v>
      </c>
      <c r="E663" s="382">
        <f>'Devize obiecte evaluari'!H1501</f>
        <v>0</v>
      </c>
      <c r="F663" s="382">
        <f>'Devize obiecte evaluari'!I1501</f>
        <v>0</v>
      </c>
      <c r="G663" s="383">
        <f>'Devize obiecte evaluari'!J1501</f>
        <v>0</v>
      </c>
    </row>
    <row r="664" spans="1:7">
      <c r="A664" s="58"/>
      <c r="B664" s="59" t="s">
        <v>33</v>
      </c>
      <c r="C664" s="60">
        <f>'Devize obiecte evaluari'!F1504</f>
        <v>0</v>
      </c>
      <c r="D664" s="60">
        <f>'Devize obiecte evaluari'!G1504</f>
        <v>0</v>
      </c>
      <c r="E664" s="60">
        <f>'Devize obiecte evaluari'!H1504</f>
        <v>0</v>
      </c>
      <c r="F664" s="60">
        <f>'Devize obiecte evaluari'!I1504</f>
        <v>0</v>
      </c>
      <c r="G664" s="61">
        <f>'Devize obiecte evaluari'!J1504</f>
        <v>0</v>
      </c>
    </row>
    <row r="665" spans="1:7" ht="15.75" thickBot="1">
      <c r="A665" s="132"/>
      <c r="B665" s="133" t="s">
        <v>34</v>
      </c>
      <c r="C665" s="384">
        <f>'Devize obiecte evaluari'!F1507</f>
        <v>0</v>
      </c>
      <c r="D665" s="384">
        <f>'Devize obiecte evaluari'!G1507</f>
        <v>0</v>
      </c>
      <c r="E665" s="384">
        <f>'Devize obiecte evaluari'!H1507</f>
        <v>0</v>
      </c>
      <c r="F665" s="384">
        <f>'Devize obiecte evaluari'!I1507</f>
        <v>0</v>
      </c>
      <c r="G665" s="385">
        <f>'Devize obiecte evaluari'!J1507</f>
        <v>0</v>
      </c>
    </row>
    <row r="666" spans="1:7" ht="15.75" thickBot="1">
      <c r="A666" s="685" t="s">
        <v>35</v>
      </c>
      <c r="B666" s="686"/>
      <c r="C666" s="62">
        <f>SUM(C663:C665)</f>
        <v>0</v>
      </c>
      <c r="D666" s="62">
        <f t="shared" ref="D666:E666" si="107">SUM(D663:D665)</f>
        <v>0</v>
      </c>
      <c r="E666" s="62">
        <f t="shared" si="107"/>
        <v>0</v>
      </c>
      <c r="F666" s="62">
        <f>SUM(F663:F665)</f>
        <v>0</v>
      </c>
      <c r="G666" s="63">
        <f t="shared" ref="G666" si="108">SUM(G663:G665)</f>
        <v>0</v>
      </c>
    </row>
    <row r="667" spans="1:7" ht="15.75" thickBot="1">
      <c r="A667" s="685" t="s">
        <v>36</v>
      </c>
      <c r="B667" s="686"/>
      <c r="C667" s="62">
        <f>SUM(C658,C661,C666)</f>
        <v>0</v>
      </c>
      <c r="D667" s="62">
        <f t="shared" ref="D667:E667" si="109">SUM(D658,D661,D666)</f>
        <v>0</v>
      </c>
      <c r="E667" s="62">
        <f t="shared" si="109"/>
        <v>0</v>
      </c>
      <c r="F667" s="62">
        <f>SUM(F658,F661,F666)</f>
        <v>0</v>
      </c>
      <c r="G667" s="63">
        <f t="shared" ref="G667" si="110">SUM(G658,G661,G666)</f>
        <v>0</v>
      </c>
    </row>
    <row r="668" spans="1:7">
      <c r="A668" s="39"/>
      <c r="B668" s="39"/>
      <c r="C668" s="42"/>
      <c r="D668" s="42"/>
      <c r="E668" s="42"/>
      <c r="F668" s="42"/>
      <c r="G668" s="42"/>
    </row>
    <row r="669" spans="1:7">
      <c r="A669" s="42"/>
      <c r="C669" s="42"/>
      <c r="D669" s="64"/>
      <c r="E669" s="42"/>
      <c r="F669" s="42"/>
      <c r="G669" s="42"/>
    </row>
    <row r="670" spans="1:7">
      <c r="A670" s="39"/>
      <c r="B670" s="65" t="s">
        <v>37</v>
      </c>
      <c r="C670" s="39"/>
      <c r="D670" s="66"/>
      <c r="E670" s="39"/>
      <c r="F670" s="39"/>
      <c r="G670" s="39"/>
    </row>
    <row r="671" spans="1:7">
      <c r="A671" s="39"/>
      <c r="B671" s="65" t="str">
        <f>'Date Generale'!$C$7</f>
        <v>S.C. Tehno Consoulting Solutions S.R.L.</v>
      </c>
      <c r="C671" s="39"/>
      <c r="D671" s="39"/>
      <c r="E671" s="39"/>
      <c r="F671" s="39"/>
      <c r="G671" s="39"/>
    </row>
    <row r="672" spans="1:7">
      <c r="A672" s="39"/>
      <c r="B672" s="39"/>
      <c r="C672" s="39"/>
      <c r="D672" s="39"/>
      <c r="E672" s="39"/>
      <c r="F672" s="39"/>
      <c r="G672" s="39"/>
    </row>
    <row r="673" spans="1:7">
      <c r="A673" s="39"/>
      <c r="B673" s="39"/>
      <c r="C673" s="39"/>
      <c r="D673" s="39"/>
      <c r="E673" s="39"/>
      <c r="F673" s="39"/>
      <c r="G673" s="39"/>
    </row>
    <row r="674" spans="1:7">
      <c r="A674" s="67"/>
      <c r="B674" s="67"/>
      <c r="C674" s="67"/>
      <c r="D674" s="67"/>
      <c r="E674" s="67"/>
      <c r="F674" s="67"/>
      <c r="G674" s="67"/>
    </row>
    <row r="675" spans="1:7" ht="15.75">
      <c r="A675" s="41" t="str">
        <f>"Beneficiar: " &amp;'Date Generale'!$C$6</f>
        <v xml:space="preserve">Beneficiar: Judetul Arges </v>
      </c>
      <c r="B675" s="41"/>
      <c r="C675" s="42"/>
      <c r="D675" s="42"/>
      <c r="E675" s="42"/>
      <c r="F675" s="42"/>
      <c r="G675" s="42"/>
    </row>
    <row r="676" spans="1:7" ht="15.75">
      <c r="A676" s="41" t="str">
        <f>"Denumire proiect: " &amp; 'Date Generale'!$C$3</f>
        <v>Denumire proiect: Modernizare DJ 703B Serbanesti (DJ659) - Silistea, km 70+410 - 77+826, 7.416km, in comunele Rociu si Cateasca</v>
      </c>
      <c r="B676" s="41"/>
      <c r="C676" s="43"/>
      <c r="D676" s="43"/>
      <c r="E676" s="43"/>
      <c r="F676" s="43"/>
      <c r="G676" s="43"/>
    </row>
    <row r="677" spans="1:7" ht="15.75">
      <c r="A677" s="41"/>
      <c r="B677" s="41"/>
      <c r="C677" s="44"/>
      <c r="D677" s="44"/>
      <c r="E677" s="44"/>
      <c r="F677" s="44"/>
      <c r="G677" s="44"/>
    </row>
    <row r="678" spans="1:7">
      <c r="A678" s="687" t="str">
        <f>"Devizul Obiectului: " &amp;'Date Generale'!$E$80</f>
        <v>Devizul Obiectului: Obiect 020:0</v>
      </c>
      <c r="B678" s="687"/>
      <c r="C678" s="687"/>
      <c r="D678" s="687"/>
      <c r="E678" s="687"/>
      <c r="F678" s="687"/>
      <c r="G678" s="687"/>
    </row>
    <row r="679" spans="1:7">
      <c r="A679" s="371"/>
      <c r="B679" s="371"/>
      <c r="C679" s="371"/>
      <c r="D679" s="371"/>
      <c r="E679" s="371"/>
      <c r="F679" s="371"/>
      <c r="G679" s="371"/>
    </row>
    <row r="680" spans="1:7" ht="15.75" thickBot="1">
      <c r="A680" s="45"/>
      <c r="B680" s="46"/>
      <c r="C680" s="33"/>
      <c r="D680" s="47" t="s">
        <v>2</v>
      </c>
      <c r="E680" s="48">
        <f>'Date Generale'!$C$54</f>
        <v>4.7233000000000001</v>
      </c>
      <c r="F680" s="49" t="s">
        <v>3</v>
      </c>
      <c r="G680" s="50" t="str">
        <f>'Date Generale'!$D$54</f>
        <v>21,06,2019</v>
      </c>
    </row>
    <row r="681" spans="1:7" ht="15.75" thickBot="1">
      <c r="A681" s="688" t="s">
        <v>4</v>
      </c>
      <c r="B681" s="688" t="s">
        <v>5</v>
      </c>
      <c r="C681" s="689" t="s">
        <v>160</v>
      </c>
      <c r="D681" s="689"/>
      <c r="E681" s="372" t="s">
        <v>7</v>
      </c>
      <c r="F681" s="689" t="s">
        <v>159</v>
      </c>
      <c r="G681" s="689"/>
    </row>
    <row r="682" spans="1:7" ht="15.75" thickBot="1">
      <c r="A682" s="688"/>
      <c r="B682" s="688"/>
      <c r="C682" s="51" t="s">
        <v>9</v>
      </c>
      <c r="D682" s="51" t="s">
        <v>10</v>
      </c>
      <c r="E682" s="51" t="s">
        <v>9</v>
      </c>
      <c r="F682" s="51" t="s">
        <v>9</v>
      </c>
      <c r="G682" s="51" t="s">
        <v>10</v>
      </c>
    </row>
    <row r="683" spans="1:7" ht="15.75" thickBot="1">
      <c r="A683" s="1">
        <v>1</v>
      </c>
      <c r="B683" s="1">
        <v>2</v>
      </c>
      <c r="C683" s="1">
        <v>3</v>
      </c>
      <c r="D683" s="1">
        <v>4</v>
      </c>
      <c r="E683" s="1">
        <v>5</v>
      </c>
      <c r="F683" s="1">
        <v>6</v>
      </c>
      <c r="G683" s="1">
        <v>7</v>
      </c>
    </row>
    <row r="684" spans="1:7" ht="15.75" thickBot="1">
      <c r="A684" s="683" t="s">
        <v>11</v>
      </c>
      <c r="B684" s="684"/>
      <c r="C684" s="119"/>
      <c r="D684" s="119"/>
      <c r="E684" s="119"/>
      <c r="F684" s="119"/>
      <c r="G684" s="120"/>
    </row>
    <row r="685" spans="1:7">
      <c r="A685" s="162" t="s">
        <v>12</v>
      </c>
      <c r="B685" s="116" t="s">
        <v>13</v>
      </c>
      <c r="C685" s="378">
        <f>'Devize obiecte evaluari'!F1530</f>
        <v>0</v>
      </c>
      <c r="D685" s="378">
        <f>'Devize obiecte evaluari'!G1530</f>
        <v>0</v>
      </c>
      <c r="E685" s="378">
        <f>'Devize obiecte evaluari'!H1530</f>
        <v>0</v>
      </c>
      <c r="F685" s="378">
        <f>'Devize obiecte evaluari'!I1530</f>
        <v>0</v>
      </c>
      <c r="G685" s="379">
        <f>'Devize obiecte evaluari'!J1530</f>
        <v>0</v>
      </c>
    </row>
    <row r="686" spans="1:7">
      <c r="A686" s="74" t="s">
        <v>14</v>
      </c>
      <c r="B686" s="2" t="s">
        <v>15</v>
      </c>
      <c r="C686" s="54">
        <f>'Devize obiecte evaluari'!F1533</f>
        <v>0</v>
      </c>
      <c r="D686" s="54">
        <f>'Devize obiecte evaluari'!G1533</f>
        <v>0</v>
      </c>
      <c r="E686" s="54">
        <f>'Devize obiecte evaluari'!H1533</f>
        <v>0</v>
      </c>
      <c r="F686" s="54">
        <f>'Devize obiecte evaluari'!I1533</f>
        <v>0</v>
      </c>
      <c r="G686" s="55">
        <f>'Devize obiecte evaluari'!J1533</f>
        <v>0</v>
      </c>
    </row>
    <row r="687" spans="1:7">
      <c r="A687" s="74" t="s">
        <v>16</v>
      </c>
      <c r="B687" s="2" t="s">
        <v>17</v>
      </c>
      <c r="C687" s="52">
        <f>'Devize obiecte evaluari'!F1536</f>
        <v>0</v>
      </c>
      <c r="D687" s="52">
        <f>'Devize obiecte evaluari'!G1536</f>
        <v>0</v>
      </c>
      <c r="E687" s="52">
        <f>'Devize obiecte evaluari'!H1536</f>
        <v>0</v>
      </c>
      <c r="F687" s="52">
        <f>'Devize obiecte evaluari'!I1536</f>
        <v>0</v>
      </c>
      <c r="G687" s="53">
        <f>'Devize obiecte evaluari'!J1536</f>
        <v>0</v>
      </c>
    </row>
    <row r="688" spans="1:7">
      <c r="A688" s="74" t="s">
        <v>18</v>
      </c>
      <c r="B688" s="2" t="s">
        <v>19</v>
      </c>
      <c r="C688" s="52">
        <f>'Devize obiecte evaluari'!F1539</f>
        <v>0</v>
      </c>
      <c r="D688" s="52">
        <f>'Devize obiecte evaluari'!G1539</f>
        <v>0</v>
      </c>
      <c r="E688" s="52">
        <f>'Devize obiecte evaluari'!H1539</f>
        <v>0</v>
      </c>
      <c r="F688" s="52">
        <f>'Devize obiecte evaluari'!I1539</f>
        <v>0</v>
      </c>
      <c r="G688" s="53">
        <f>'Devize obiecte evaluari'!J1539</f>
        <v>0</v>
      </c>
    </row>
    <row r="689" spans="1:7">
      <c r="A689" s="74" t="s">
        <v>20</v>
      </c>
      <c r="B689" s="2" t="s">
        <v>21</v>
      </c>
      <c r="C689" s="52">
        <f>'Devize obiecte evaluari'!F1554</f>
        <v>0</v>
      </c>
      <c r="D689" s="52">
        <f>'Devize obiecte evaluari'!G1554</f>
        <v>0</v>
      </c>
      <c r="E689" s="52">
        <f>'Devize obiecte evaluari'!H1554</f>
        <v>0</v>
      </c>
      <c r="F689" s="52">
        <f>'Devize obiecte evaluari'!I1554</f>
        <v>0</v>
      </c>
      <c r="G689" s="53">
        <f>'Devize obiecte evaluari'!J1554</f>
        <v>0</v>
      </c>
    </row>
    <row r="690" spans="1:7" ht="25.5">
      <c r="A690" s="74" t="s">
        <v>22</v>
      </c>
      <c r="B690" s="2" t="s">
        <v>23</v>
      </c>
      <c r="C690" s="36">
        <f>'Devize obiecte evaluari'!F1557</f>
        <v>0</v>
      </c>
      <c r="D690" s="36">
        <f>'Devize obiecte evaluari'!G1557</f>
        <v>0</v>
      </c>
      <c r="E690" s="36">
        <f>'Devize obiecte evaluari'!H1557</f>
        <v>0</v>
      </c>
      <c r="F690" s="36">
        <f>'Devize obiecte evaluari'!I1557</f>
        <v>0</v>
      </c>
      <c r="G690" s="37">
        <f>'Devize obiecte evaluari'!J1557</f>
        <v>0</v>
      </c>
    </row>
    <row r="691" spans="1:7">
      <c r="A691" s="74" t="s">
        <v>24</v>
      </c>
      <c r="B691" s="2" t="s">
        <v>25</v>
      </c>
      <c r="C691" s="52">
        <f>'Devize obiecte evaluari'!F1560</f>
        <v>0</v>
      </c>
      <c r="D691" s="52">
        <f>'Devize obiecte evaluari'!G1560</f>
        <v>0</v>
      </c>
      <c r="E691" s="52">
        <f>'Devize obiecte evaluari'!H1560</f>
        <v>0</v>
      </c>
      <c r="F691" s="52">
        <f>'Devize obiecte evaluari'!I1560</f>
        <v>0</v>
      </c>
      <c r="G691" s="53">
        <f>'Devize obiecte evaluari'!J1560</f>
        <v>0</v>
      </c>
    </row>
    <row r="692" spans="1:7" ht="15.75" thickBot="1">
      <c r="A692" s="163" t="s">
        <v>99</v>
      </c>
      <c r="B692" s="121" t="s">
        <v>26</v>
      </c>
      <c r="C692" s="380">
        <f>'Devize obiecte evaluari'!F1563</f>
        <v>0</v>
      </c>
      <c r="D692" s="380">
        <f>'Devize obiecte evaluari'!G1563</f>
        <v>0</v>
      </c>
      <c r="E692" s="380">
        <f>'Devize obiecte evaluari'!H1563</f>
        <v>0</v>
      </c>
      <c r="F692" s="380">
        <f>'Devize obiecte evaluari'!I1563</f>
        <v>0</v>
      </c>
      <c r="G692" s="381">
        <f>'Devize obiecte evaluari'!J1563</f>
        <v>0</v>
      </c>
    </row>
    <row r="693" spans="1:7" ht="15.75" thickBot="1">
      <c r="A693" s="685" t="s">
        <v>27</v>
      </c>
      <c r="B693" s="686"/>
      <c r="C693" s="82">
        <f>SUM(C685:C692)</f>
        <v>0</v>
      </c>
      <c r="D693" s="82">
        <f t="shared" ref="D693:E693" si="111">SUM(D685:D692)</f>
        <v>0</v>
      </c>
      <c r="E693" s="82">
        <f t="shared" si="111"/>
        <v>0</v>
      </c>
      <c r="F693" s="82">
        <f>SUM(F685:F692)</f>
        <v>0</v>
      </c>
      <c r="G693" s="83">
        <f t="shared" ref="G693" si="112">SUM(G685:G692)</f>
        <v>0</v>
      </c>
    </row>
    <row r="694" spans="1:7" ht="15.75" thickBot="1">
      <c r="A694" s="683" t="s">
        <v>28</v>
      </c>
      <c r="B694" s="684"/>
      <c r="C694" s="119"/>
      <c r="D694" s="119"/>
      <c r="E694" s="119"/>
      <c r="F694" s="119"/>
      <c r="G694" s="120"/>
    </row>
    <row r="695" spans="1:7" ht="15.75" thickBot="1">
      <c r="A695" s="126"/>
      <c r="B695" s="127" t="s">
        <v>29</v>
      </c>
      <c r="C695" s="128">
        <f>'Devize obiecte evaluari'!F1568</f>
        <v>0</v>
      </c>
      <c r="D695" s="128">
        <f>'Devize obiecte evaluari'!G1568</f>
        <v>0</v>
      </c>
      <c r="E695" s="128">
        <f>'Devize obiecte evaluari'!H1568</f>
        <v>0</v>
      </c>
      <c r="F695" s="128">
        <f>'Devize obiecte evaluari'!I1568</f>
        <v>0</v>
      </c>
      <c r="G695" s="129">
        <f>'Devize obiecte evaluari'!J1568</f>
        <v>0</v>
      </c>
    </row>
    <row r="696" spans="1:7" ht="15.75" thickBot="1">
      <c r="A696" s="685" t="s">
        <v>30</v>
      </c>
      <c r="B696" s="686"/>
      <c r="C696" s="62">
        <f>C695</f>
        <v>0</v>
      </c>
      <c r="D696" s="62">
        <f>D695</f>
        <v>0</v>
      </c>
      <c r="E696" s="62">
        <f>E695</f>
        <v>0</v>
      </c>
      <c r="F696" s="62">
        <f>F695</f>
        <v>0</v>
      </c>
      <c r="G696" s="63">
        <f>G695</f>
        <v>0</v>
      </c>
    </row>
    <row r="697" spans="1:7" ht="15.75" thickBot="1">
      <c r="A697" s="683" t="s">
        <v>31</v>
      </c>
      <c r="B697" s="684"/>
      <c r="C697" s="119"/>
      <c r="D697" s="119"/>
      <c r="E697" s="119"/>
      <c r="F697" s="119"/>
      <c r="G697" s="120"/>
    </row>
    <row r="698" spans="1:7">
      <c r="A698" s="124"/>
      <c r="B698" s="125" t="s">
        <v>32</v>
      </c>
      <c r="C698" s="382">
        <f>'Devize obiecte evaluari'!F1573</f>
        <v>0</v>
      </c>
      <c r="D698" s="382">
        <f>'Devize obiecte evaluari'!G1573</f>
        <v>0</v>
      </c>
      <c r="E698" s="382">
        <f>'Devize obiecte evaluari'!H1573</f>
        <v>0</v>
      </c>
      <c r="F698" s="382">
        <f>'Devize obiecte evaluari'!I1573</f>
        <v>0</v>
      </c>
      <c r="G698" s="383">
        <f>'Devize obiecte evaluari'!J1573</f>
        <v>0</v>
      </c>
    </row>
    <row r="699" spans="1:7">
      <c r="A699" s="58"/>
      <c r="B699" s="59" t="s">
        <v>33</v>
      </c>
      <c r="C699" s="60">
        <f>'Devize obiecte evaluari'!F1576</f>
        <v>0</v>
      </c>
      <c r="D699" s="60">
        <f>'Devize obiecte evaluari'!G1576</f>
        <v>0</v>
      </c>
      <c r="E699" s="60">
        <f>'Devize obiecte evaluari'!H1576</f>
        <v>0</v>
      </c>
      <c r="F699" s="60">
        <f>'Devize obiecte evaluari'!I1576</f>
        <v>0</v>
      </c>
      <c r="G699" s="61">
        <f>'Devize obiecte evaluari'!J1576</f>
        <v>0</v>
      </c>
    </row>
    <row r="700" spans="1:7" ht="15.75" thickBot="1">
      <c r="A700" s="132"/>
      <c r="B700" s="133" t="s">
        <v>34</v>
      </c>
      <c r="C700" s="384">
        <f>'Devize obiecte evaluari'!F1579</f>
        <v>0</v>
      </c>
      <c r="D700" s="384">
        <f>'Devize obiecte evaluari'!G1579</f>
        <v>0</v>
      </c>
      <c r="E700" s="384">
        <f>'Devize obiecte evaluari'!H1579</f>
        <v>0</v>
      </c>
      <c r="F700" s="384">
        <f>'Devize obiecte evaluari'!I1579</f>
        <v>0</v>
      </c>
      <c r="G700" s="385">
        <f>'Devize obiecte evaluari'!J1579</f>
        <v>0</v>
      </c>
    </row>
    <row r="701" spans="1:7" ht="15.75" thickBot="1">
      <c r="A701" s="685" t="s">
        <v>35</v>
      </c>
      <c r="B701" s="686"/>
      <c r="C701" s="62">
        <f>SUM(C698:C700)</f>
        <v>0</v>
      </c>
      <c r="D701" s="62">
        <f t="shared" ref="D701:E701" si="113">SUM(D698:D700)</f>
        <v>0</v>
      </c>
      <c r="E701" s="62">
        <f t="shared" si="113"/>
        <v>0</v>
      </c>
      <c r="F701" s="62">
        <f>SUM(F698:F700)</f>
        <v>0</v>
      </c>
      <c r="G701" s="63">
        <f t="shared" ref="G701" si="114">SUM(G698:G700)</f>
        <v>0</v>
      </c>
    </row>
    <row r="702" spans="1:7" ht="15.75" thickBot="1">
      <c r="A702" s="685" t="s">
        <v>36</v>
      </c>
      <c r="B702" s="686"/>
      <c r="C702" s="62">
        <f>SUM(C693,C696,C701)</f>
        <v>0</v>
      </c>
      <c r="D702" s="62">
        <f t="shared" ref="D702:E702" si="115">SUM(D693,D696,D701)</f>
        <v>0</v>
      </c>
      <c r="E702" s="62">
        <f t="shared" si="115"/>
        <v>0</v>
      </c>
      <c r="F702" s="62">
        <f>SUM(F693,F696,F701)</f>
        <v>0</v>
      </c>
      <c r="G702" s="63">
        <f t="shared" ref="G702" si="116">SUM(G693,G696,G701)</f>
        <v>0</v>
      </c>
    </row>
    <row r="703" spans="1:7">
      <c r="A703" s="39"/>
      <c r="B703" s="39"/>
      <c r="C703" s="42"/>
      <c r="D703" s="42"/>
      <c r="E703" s="42"/>
      <c r="F703" s="42"/>
      <c r="G703" s="42"/>
    </row>
    <row r="704" spans="1:7">
      <c r="A704" s="42"/>
      <c r="C704" s="42"/>
      <c r="D704" s="64"/>
      <c r="E704" s="42"/>
      <c r="F704" s="42"/>
      <c r="G704" s="42"/>
    </row>
    <row r="705" spans="1:7">
      <c r="A705" s="39"/>
      <c r="B705" s="65" t="s">
        <v>37</v>
      </c>
      <c r="C705" s="39"/>
      <c r="D705" s="66"/>
      <c r="E705" s="39"/>
      <c r="F705" s="39"/>
      <c r="G705" s="39"/>
    </row>
    <row r="706" spans="1:7">
      <c r="A706" s="39"/>
      <c r="B706" s="65" t="str">
        <f>'Date Generale'!$C$7</f>
        <v>S.C. Tehno Consoulting Solutions S.R.L.</v>
      </c>
      <c r="C706" s="39"/>
      <c r="D706" s="39"/>
      <c r="E706" s="39"/>
      <c r="F706" s="39"/>
      <c r="G706" s="39"/>
    </row>
    <row r="707" spans="1:7">
      <c r="A707" s="39"/>
      <c r="B707" s="39"/>
      <c r="C707" s="39"/>
      <c r="D707" s="39"/>
      <c r="E707" s="39"/>
      <c r="F707" s="39"/>
      <c r="G707" s="39"/>
    </row>
    <row r="708" spans="1:7">
      <c r="A708" s="39"/>
      <c r="B708" s="39"/>
      <c r="C708" s="39"/>
      <c r="D708" s="39"/>
      <c r="E708" s="39"/>
      <c r="F708" s="39"/>
      <c r="G708" s="39"/>
    </row>
    <row r="709" spans="1:7">
      <c r="A709" s="67"/>
      <c r="B709" s="67"/>
      <c r="C709" s="67"/>
      <c r="D709" s="67"/>
      <c r="E709" s="67"/>
      <c r="F709" s="67"/>
      <c r="G709" s="67"/>
    </row>
    <row r="710" spans="1:7" ht="15.75">
      <c r="A710" s="41" t="str">
        <f>"Beneficiar: " &amp;'Date Generale'!$C$6</f>
        <v xml:space="preserve">Beneficiar: Judetul Arges </v>
      </c>
      <c r="B710" s="41"/>
      <c r="C710" s="42"/>
      <c r="D710" s="42"/>
      <c r="E710" s="42"/>
      <c r="F710" s="42"/>
      <c r="G710" s="42"/>
    </row>
    <row r="711" spans="1:7" ht="15.75">
      <c r="A711" s="41" t="str">
        <f>"Denumire proiect: " &amp; 'Date Generale'!$C$3</f>
        <v>Denumire proiect: Modernizare DJ 703B Serbanesti (DJ659) - Silistea, km 70+410 - 77+826, 7.416km, in comunele Rociu si Cateasca</v>
      </c>
      <c r="B711" s="41"/>
      <c r="C711" s="43"/>
      <c r="D711" s="43"/>
      <c r="E711" s="43"/>
      <c r="F711" s="43"/>
      <c r="G711" s="43"/>
    </row>
    <row r="712" spans="1:7" ht="15.75">
      <c r="A712" s="41"/>
      <c r="B712" s="41"/>
      <c r="C712" s="44"/>
      <c r="D712" s="44"/>
      <c r="E712" s="44"/>
      <c r="F712" s="44"/>
      <c r="G712" s="44"/>
    </row>
    <row r="713" spans="1:7">
      <c r="A713" s="687" t="str">
        <f>"Devizul Obiectului: " &amp;'Date Generale'!$E$81</f>
        <v>Devizul Obiectului: Obiect 021:0</v>
      </c>
      <c r="B713" s="687"/>
      <c r="C713" s="687"/>
      <c r="D713" s="687"/>
      <c r="E713" s="687"/>
      <c r="F713" s="687"/>
      <c r="G713" s="687"/>
    </row>
    <row r="714" spans="1:7">
      <c r="A714" s="371"/>
      <c r="B714" s="371"/>
      <c r="C714" s="371"/>
      <c r="D714" s="371"/>
      <c r="E714" s="371"/>
      <c r="F714" s="371"/>
      <c r="G714" s="371"/>
    </row>
    <row r="715" spans="1:7" ht="15.75" thickBot="1">
      <c r="A715" s="45"/>
      <c r="B715" s="46"/>
      <c r="C715" s="33"/>
      <c r="D715" s="47" t="s">
        <v>2</v>
      </c>
      <c r="E715" s="48">
        <f>'Date Generale'!$C$54</f>
        <v>4.7233000000000001</v>
      </c>
      <c r="F715" s="49" t="s">
        <v>3</v>
      </c>
      <c r="G715" s="50" t="str">
        <f>'Date Generale'!$D$54</f>
        <v>21,06,2019</v>
      </c>
    </row>
    <row r="716" spans="1:7" ht="15.75" thickBot="1">
      <c r="A716" s="688" t="s">
        <v>4</v>
      </c>
      <c r="B716" s="688" t="s">
        <v>5</v>
      </c>
      <c r="C716" s="689" t="s">
        <v>160</v>
      </c>
      <c r="D716" s="689"/>
      <c r="E716" s="372" t="s">
        <v>7</v>
      </c>
      <c r="F716" s="689" t="s">
        <v>159</v>
      </c>
      <c r="G716" s="689"/>
    </row>
    <row r="717" spans="1:7" ht="15.75" thickBot="1">
      <c r="A717" s="688"/>
      <c r="B717" s="688"/>
      <c r="C717" s="51" t="s">
        <v>9</v>
      </c>
      <c r="D717" s="51" t="s">
        <v>10</v>
      </c>
      <c r="E717" s="51" t="s">
        <v>9</v>
      </c>
      <c r="F717" s="51" t="s">
        <v>9</v>
      </c>
      <c r="G717" s="51" t="s">
        <v>10</v>
      </c>
    </row>
    <row r="718" spans="1:7" ht="15.75" thickBot="1">
      <c r="A718" s="1">
        <v>1</v>
      </c>
      <c r="B718" s="1">
        <v>2</v>
      </c>
      <c r="C718" s="1">
        <v>3</v>
      </c>
      <c r="D718" s="1">
        <v>4</v>
      </c>
      <c r="E718" s="1">
        <v>5</v>
      </c>
      <c r="F718" s="1">
        <v>6</v>
      </c>
      <c r="G718" s="1">
        <v>7</v>
      </c>
    </row>
    <row r="719" spans="1:7" ht="15.75" thickBot="1">
      <c r="A719" s="683" t="s">
        <v>11</v>
      </c>
      <c r="B719" s="684"/>
      <c r="C719" s="119"/>
      <c r="D719" s="119"/>
      <c r="E719" s="119"/>
      <c r="F719" s="119"/>
      <c r="G719" s="120"/>
    </row>
    <row r="720" spans="1:7">
      <c r="A720" s="162" t="s">
        <v>12</v>
      </c>
      <c r="B720" s="116" t="s">
        <v>13</v>
      </c>
      <c r="C720" s="378">
        <f>'Devize obiecte evaluari'!F1602</f>
        <v>0</v>
      </c>
      <c r="D720" s="378">
        <f>'Devize obiecte evaluari'!G1602</f>
        <v>0</v>
      </c>
      <c r="E720" s="378">
        <f>'Devize obiecte evaluari'!H1602</f>
        <v>0</v>
      </c>
      <c r="F720" s="378">
        <f>'Devize obiecte evaluari'!I1602</f>
        <v>0</v>
      </c>
      <c r="G720" s="379">
        <f>'Devize obiecte evaluari'!J1602</f>
        <v>0</v>
      </c>
    </row>
    <row r="721" spans="1:7">
      <c r="A721" s="74" t="s">
        <v>14</v>
      </c>
      <c r="B721" s="2" t="s">
        <v>15</v>
      </c>
      <c r="C721" s="54">
        <f>'Devize obiecte evaluari'!F1605</f>
        <v>0</v>
      </c>
      <c r="D721" s="54">
        <f>'Devize obiecte evaluari'!G1605</f>
        <v>0</v>
      </c>
      <c r="E721" s="54">
        <f>'Devize obiecte evaluari'!H1605</f>
        <v>0</v>
      </c>
      <c r="F721" s="54">
        <f>'Devize obiecte evaluari'!I1605</f>
        <v>0</v>
      </c>
      <c r="G721" s="55">
        <f>'Devize obiecte evaluari'!J1605</f>
        <v>0</v>
      </c>
    </row>
    <row r="722" spans="1:7">
      <c r="A722" s="74" t="s">
        <v>16</v>
      </c>
      <c r="B722" s="2" t="s">
        <v>17</v>
      </c>
      <c r="C722" s="52">
        <f>'Devize obiecte evaluari'!F1608</f>
        <v>0</v>
      </c>
      <c r="D722" s="52">
        <f>'Devize obiecte evaluari'!G1608</f>
        <v>0</v>
      </c>
      <c r="E722" s="52">
        <f>'Devize obiecte evaluari'!H1608</f>
        <v>0</v>
      </c>
      <c r="F722" s="52">
        <f>'Devize obiecte evaluari'!I1608</f>
        <v>0</v>
      </c>
      <c r="G722" s="53">
        <f>'Devize obiecte evaluari'!J1608</f>
        <v>0</v>
      </c>
    </row>
    <row r="723" spans="1:7">
      <c r="A723" s="74" t="s">
        <v>18</v>
      </c>
      <c r="B723" s="2" t="s">
        <v>19</v>
      </c>
      <c r="C723" s="52">
        <f>'Devize obiecte evaluari'!F1611</f>
        <v>0</v>
      </c>
      <c r="D723" s="52">
        <f>'Devize obiecte evaluari'!G1611</f>
        <v>0</v>
      </c>
      <c r="E723" s="52">
        <f>'Devize obiecte evaluari'!H1611</f>
        <v>0</v>
      </c>
      <c r="F723" s="52">
        <f>'Devize obiecte evaluari'!I1611</f>
        <v>0</v>
      </c>
      <c r="G723" s="53">
        <f>'Devize obiecte evaluari'!J1611</f>
        <v>0</v>
      </c>
    </row>
    <row r="724" spans="1:7">
      <c r="A724" s="74" t="s">
        <v>20</v>
      </c>
      <c r="B724" s="2" t="s">
        <v>21</v>
      </c>
      <c r="C724" s="52">
        <f>'Devize obiecte evaluari'!F1626</f>
        <v>0</v>
      </c>
      <c r="D724" s="52">
        <f>'Devize obiecte evaluari'!G1626</f>
        <v>0</v>
      </c>
      <c r="E724" s="52">
        <f>'Devize obiecte evaluari'!H1626</f>
        <v>0</v>
      </c>
      <c r="F724" s="52">
        <f>'Devize obiecte evaluari'!I1626</f>
        <v>0</v>
      </c>
      <c r="G724" s="53">
        <f>'Devize obiecte evaluari'!J1626</f>
        <v>0</v>
      </c>
    </row>
    <row r="725" spans="1:7" ht="25.5">
      <c r="A725" s="74" t="s">
        <v>22</v>
      </c>
      <c r="B725" s="2" t="s">
        <v>23</v>
      </c>
      <c r="C725" s="36">
        <f>'Devize obiecte evaluari'!F1629</f>
        <v>0</v>
      </c>
      <c r="D725" s="36">
        <f>'Devize obiecte evaluari'!G1629</f>
        <v>0</v>
      </c>
      <c r="E725" s="36">
        <f>'Devize obiecte evaluari'!H1629</f>
        <v>0</v>
      </c>
      <c r="F725" s="36">
        <f>'Devize obiecte evaluari'!I1629</f>
        <v>0</v>
      </c>
      <c r="G725" s="37">
        <f>'Devize obiecte evaluari'!J1629</f>
        <v>0</v>
      </c>
    </row>
    <row r="726" spans="1:7">
      <c r="A726" s="74" t="s">
        <v>24</v>
      </c>
      <c r="B726" s="2" t="s">
        <v>25</v>
      </c>
      <c r="C726" s="52">
        <f>'Devize obiecte evaluari'!F1632</f>
        <v>0</v>
      </c>
      <c r="D726" s="52">
        <f>'Devize obiecte evaluari'!G1632</f>
        <v>0</v>
      </c>
      <c r="E726" s="52">
        <f>'Devize obiecte evaluari'!H1632</f>
        <v>0</v>
      </c>
      <c r="F726" s="52">
        <f>'Devize obiecte evaluari'!I1632</f>
        <v>0</v>
      </c>
      <c r="G726" s="53">
        <f>'Devize obiecte evaluari'!J1632</f>
        <v>0</v>
      </c>
    </row>
    <row r="727" spans="1:7" ht="15.75" thickBot="1">
      <c r="A727" s="163" t="s">
        <v>99</v>
      </c>
      <c r="B727" s="121" t="s">
        <v>26</v>
      </c>
      <c r="C727" s="380">
        <f>'Devize obiecte evaluari'!F1635</f>
        <v>0</v>
      </c>
      <c r="D727" s="380">
        <f>'Devize obiecte evaluari'!G1635</f>
        <v>0</v>
      </c>
      <c r="E727" s="380">
        <f>'Devize obiecte evaluari'!H1635</f>
        <v>0</v>
      </c>
      <c r="F727" s="380">
        <f>'Devize obiecte evaluari'!I1635</f>
        <v>0</v>
      </c>
      <c r="G727" s="381">
        <f>'Devize obiecte evaluari'!J1635</f>
        <v>0</v>
      </c>
    </row>
    <row r="728" spans="1:7" ht="15.75" thickBot="1">
      <c r="A728" s="685" t="s">
        <v>27</v>
      </c>
      <c r="B728" s="686"/>
      <c r="C728" s="82">
        <f>SUM(C720:C727)</f>
        <v>0</v>
      </c>
      <c r="D728" s="82">
        <f t="shared" ref="D728:E728" si="117">SUM(D720:D727)</f>
        <v>0</v>
      </c>
      <c r="E728" s="82">
        <f t="shared" si="117"/>
        <v>0</v>
      </c>
      <c r="F728" s="82">
        <f>SUM(F720:F727)</f>
        <v>0</v>
      </c>
      <c r="G728" s="83">
        <f t="shared" ref="G728" si="118">SUM(G720:G727)</f>
        <v>0</v>
      </c>
    </row>
    <row r="729" spans="1:7" ht="15.75" thickBot="1">
      <c r="A729" s="683" t="s">
        <v>28</v>
      </c>
      <c r="B729" s="684"/>
      <c r="C729" s="119"/>
      <c r="D729" s="119"/>
      <c r="E729" s="119"/>
      <c r="F729" s="119"/>
      <c r="G729" s="120"/>
    </row>
    <row r="730" spans="1:7" ht="15.75" thickBot="1">
      <c r="A730" s="126"/>
      <c r="B730" s="127" t="s">
        <v>29</v>
      </c>
      <c r="C730" s="128">
        <f>'Devize obiecte evaluari'!F1640</f>
        <v>0</v>
      </c>
      <c r="D730" s="128">
        <f>'Devize obiecte evaluari'!G1640</f>
        <v>0</v>
      </c>
      <c r="E730" s="128">
        <f>'Devize obiecte evaluari'!H1640</f>
        <v>0</v>
      </c>
      <c r="F730" s="128">
        <f>'Devize obiecte evaluari'!I1640</f>
        <v>0</v>
      </c>
      <c r="G730" s="129">
        <f>'Devize obiecte evaluari'!J1640</f>
        <v>0</v>
      </c>
    </row>
    <row r="731" spans="1:7" ht="15.75" thickBot="1">
      <c r="A731" s="685" t="s">
        <v>30</v>
      </c>
      <c r="B731" s="686"/>
      <c r="C731" s="62">
        <f>C730</f>
        <v>0</v>
      </c>
      <c r="D731" s="62">
        <f>D730</f>
        <v>0</v>
      </c>
      <c r="E731" s="62">
        <f>E730</f>
        <v>0</v>
      </c>
      <c r="F731" s="62">
        <f>F730</f>
        <v>0</v>
      </c>
      <c r="G731" s="63">
        <f>G730</f>
        <v>0</v>
      </c>
    </row>
    <row r="732" spans="1:7" ht="15.75" thickBot="1">
      <c r="A732" s="683" t="s">
        <v>31</v>
      </c>
      <c r="B732" s="684"/>
      <c r="C732" s="119"/>
      <c r="D732" s="119"/>
      <c r="E732" s="119"/>
      <c r="F732" s="119"/>
      <c r="G732" s="120"/>
    </row>
    <row r="733" spans="1:7">
      <c r="A733" s="124"/>
      <c r="B733" s="125" t="s">
        <v>32</v>
      </c>
      <c r="C733" s="382">
        <f>'Devize obiecte evaluari'!F1645</f>
        <v>0</v>
      </c>
      <c r="D733" s="382">
        <f>'Devize obiecte evaluari'!G1645</f>
        <v>0</v>
      </c>
      <c r="E733" s="382">
        <f>'Devize obiecte evaluari'!H1645</f>
        <v>0</v>
      </c>
      <c r="F733" s="382">
        <f>'Devize obiecte evaluari'!I1645</f>
        <v>0</v>
      </c>
      <c r="G733" s="383">
        <f>'Devize obiecte evaluari'!J1645</f>
        <v>0</v>
      </c>
    </row>
    <row r="734" spans="1:7">
      <c r="A734" s="58"/>
      <c r="B734" s="59" t="s">
        <v>33</v>
      </c>
      <c r="C734" s="60">
        <f>'Devize obiecte evaluari'!F1648</f>
        <v>0</v>
      </c>
      <c r="D734" s="60">
        <f>'Devize obiecte evaluari'!G1648</f>
        <v>0</v>
      </c>
      <c r="E734" s="60">
        <f>'Devize obiecte evaluari'!H1648</f>
        <v>0</v>
      </c>
      <c r="F734" s="60">
        <f>'Devize obiecte evaluari'!I1648</f>
        <v>0</v>
      </c>
      <c r="G734" s="61">
        <f>'Devize obiecte evaluari'!J1648</f>
        <v>0</v>
      </c>
    </row>
    <row r="735" spans="1:7" ht="15.75" thickBot="1">
      <c r="A735" s="132"/>
      <c r="B735" s="133" t="s">
        <v>34</v>
      </c>
      <c r="C735" s="384">
        <f>'Devize obiecte evaluari'!F1651</f>
        <v>0</v>
      </c>
      <c r="D735" s="384">
        <f>'Devize obiecte evaluari'!G1651</f>
        <v>0</v>
      </c>
      <c r="E735" s="384">
        <f>'Devize obiecte evaluari'!H1651</f>
        <v>0</v>
      </c>
      <c r="F735" s="384">
        <f>'Devize obiecte evaluari'!I1651</f>
        <v>0</v>
      </c>
      <c r="G735" s="385">
        <f>'Devize obiecte evaluari'!J1651</f>
        <v>0</v>
      </c>
    </row>
    <row r="736" spans="1:7" ht="15.75" thickBot="1">
      <c r="A736" s="685" t="s">
        <v>35</v>
      </c>
      <c r="B736" s="686"/>
      <c r="C736" s="62">
        <f>SUM(C733:C735)</f>
        <v>0</v>
      </c>
      <c r="D736" s="62">
        <f t="shared" ref="D736:E736" si="119">SUM(D733:D735)</f>
        <v>0</v>
      </c>
      <c r="E736" s="62">
        <f t="shared" si="119"/>
        <v>0</v>
      </c>
      <c r="F736" s="62">
        <f>SUM(F733:F735)</f>
        <v>0</v>
      </c>
      <c r="G736" s="63">
        <f t="shared" ref="G736" si="120">SUM(G733:G735)</f>
        <v>0</v>
      </c>
    </row>
    <row r="737" spans="1:7" ht="15.75" thickBot="1">
      <c r="A737" s="685" t="s">
        <v>36</v>
      </c>
      <c r="B737" s="686"/>
      <c r="C737" s="62">
        <f>SUM(C728,C731,C736)</f>
        <v>0</v>
      </c>
      <c r="D737" s="62">
        <f t="shared" ref="D737:E737" si="121">SUM(D728,D731,D736)</f>
        <v>0</v>
      </c>
      <c r="E737" s="62">
        <f t="shared" si="121"/>
        <v>0</v>
      </c>
      <c r="F737" s="62">
        <f>SUM(F728,F731,F736)</f>
        <v>0</v>
      </c>
      <c r="G737" s="63">
        <f t="shared" ref="G737" si="122">SUM(G728,G731,G736)</f>
        <v>0</v>
      </c>
    </row>
    <row r="738" spans="1:7">
      <c r="A738" s="39"/>
      <c r="B738" s="39"/>
      <c r="C738" s="42"/>
      <c r="D738" s="42"/>
      <c r="E738" s="42"/>
      <c r="F738" s="42"/>
      <c r="G738" s="42"/>
    </row>
    <row r="739" spans="1:7">
      <c r="A739" s="42"/>
      <c r="C739" s="42"/>
      <c r="D739" s="64"/>
      <c r="E739" s="42"/>
      <c r="F739" s="42"/>
      <c r="G739" s="42"/>
    </row>
    <row r="740" spans="1:7">
      <c r="A740" s="39"/>
      <c r="B740" s="65" t="s">
        <v>37</v>
      </c>
      <c r="C740" s="39"/>
      <c r="D740" s="66"/>
      <c r="E740" s="39"/>
      <c r="F740" s="39"/>
      <c r="G740" s="39"/>
    </row>
    <row r="741" spans="1:7">
      <c r="A741" s="39"/>
      <c r="B741" s="65" t="str">
        <f>'Date Generale'!$C$7</f>
        <v>S.C. Tehno Consoulting Solutions S.R.L.</v>
      </c>
      <c r="C741" s="39"/>
      <c r="D741" s="39"/>
      <c r="E741" s="39"/>
      <c r="F741" s="39"/>
      <c r="G741" s="39"/>
    </row>
    <row r="742" spans="1:7">
      <c r="A742" s="39"/>
      <c r="B742" s="39"/>
      <c r="C742" s="39"/>
      <c r="D742" s="39"/>
      <c r="E742" s="39"/>
      <c r="F742" s="39"/>
      <c r="G742" s="39"/>
    </row>
    <row r="743" spans="1:7">
      <c r="A743" s="39"/>
      <c r="B743" s="39"/>
      <c r="C743" s="39"/>
      <c r="D743" s="39"/>
      <c r="E743" s="39"/>
      <c r="F743" s="39"/>
      <c r="G743" s="39"/>
    </row>
    <row r="744" spans="1:7">
      <c r="A744" s="67"/>
      <c r="B744" s="67"/>
      <c r="C744" s="67"/>
      <c r="D744" s="67"/>
      <c r="E744" s="67"/>
      <c r="F744" s="67"/>
      <c r="G744" s="67"/>
    </row>
    <row r="745" spans="1:7" ht="15.75">
      <c r="A745" s="41" t="str">
        <f>"Beneficiar: " &amp;'Date Generale'!$C$6</f>
        <v xml:space="preserve">Beneficiar: Judetul Arges </v>
      </c>
      <c r="B745" s="41"/>
      <c r="C745" s="42"/>
      <c r="D745" s="42"/>
      <c r="E745" s="42"/>
      <c r="F745" s="42"/>
      <c r="G745" s="42"/>
    </row>
    <row r="746" spans="1:7" ht="15.75">
      <c r="A746" s="41" t="str">
        <f>"Denumire proiect: " &amp; 'Date Generale'!$C$3</f>
        <v>Denumire proiect: Modernizare DJ 703B Serbanesti (DJ659) - Silistea, km 70+410 - 77+826, 7.416km, in comunele Rociu si Cateasca</v>
      </c>
      <c r="B746" s="41"/>
      <c r="C746" s="43"/>
      <c r="D746" s="43"/>
      <c r="E746" s="43"/>
      <c r="F746" s="43"/>
      <c r="G746" s="43"/>
    </row>
    <row r="747" spans="1:7" ht="15.75">
      <c r="A747" s="41"/>
      <c r="B747" s="41"/>
      <c r="C747" s="44"/>
      <c r="D747" s="44"/>
      <c r="E747" s="44"/>
      <c r="F747" s="44"/>
      <c r="G747" s="44"/>
    </row>
    <row r="748" spans="1:7">
      <c r="A748" s="687" t="str">
        <f>"Devizul Obiectului: " &amp;'Date Generale'!$E$82</f>
        <v>Devizul Obiectului: Obiect 022:0</v>
      </c>
      <c r="B748" s="687"/>
      <c r="C748" s="687"/>
      <c r="D748" s="687"/>
      <c r="E748" s="687"/>
      <c r="F748" s="687"/>
      <c r="G748" s="687"/>
    </row>
    <row r="749" spans="1:7">
      <c r="A749" s="371"/>
      <c r="B749" s="371"/>
      <c r="C749" s="371"/>
      <c r="D749" s="371"/>
      <c r="E749" s="371"/>
      <c r="F749" s="371"/>
      <c r="G749" s="371"/>
    </row>
    <row r="750" spans="1:7" ht="15.75" thickBot="1">
      <c r="A750" s="45"/>
      <c r="B750" s="46"/>
      <c r="C750" s="33"/>
      <c r="D750" s="47" t="s">
        <v>2</v>
      </c>
      <c r="E750" s="48">
        <f>'Date Generale'!$C$54</f>
        <v>4.7233000000000001</v>
      </c>
      <c r="F750" s="49" t="s">
        <v>3</v>
      </c>
      <c r="G750" s="50" t="str">
        <f>'Date Generale'!$D$54</f>
        <v>21,06,2019</v>
      </c>
    </row>
    <row r="751" spans="1:7" ht="15.75" thickBot="1">
      <c r="A751" s="688" t="s">
        <v>4</v>
      </c>
      <c r="B751" s="688" t="s">
        <v>5</v>
      </c>
      <c r="C751" s="689" t="s">
        <v>160</v>
      </c>
      <c r="D751" s="689"/>
      <c r="E751" s="372" t="s">
        <v>7</v>
      </c>
      <c r="F751" s="689" t="s">
        <v>159</v>
      </c>
      <c r="G751" s="689"/>
    </row>
    <row r="752" spans="1:7" ht="15.75" thickBot="1">
      <c r="A752" s="688"/>
      <c r="B752" s="688"/>
      <c r="C752" s="51" t="s">
        <v>9</v>
      </c>
      <c r="D752" s="51" t="s">
        <v>10</v>
      </c>
      <c r="E752" s="51" t="s">
        <v>9</v>
      </c>
      <c r="F752" s="51" t="s">
        <v>9</v>
      </c>
      <c r="G752" s="51" t="s">
        <v>10</v>
      </c>
    </row>
    <row r="753" spans="1:7" ht="15.75" thickBot="1">
      <c r="A753" s="1">
        <v>1</v>
      </c>
      <c r="B753" s="1">
        <v>2</v>
      </c>
      <c r="C753" s="1">
        <v>3</v>
      </c>
      <c r="D753" s="1">
        <v>4</v>
      </c>
      <c r="E753" s="1">
        <v>5</v>
      </c>
      <c r="F753" s="1">
        <v>6</v>
      </c>
      <c r="G753" s="1">
        <v>7</v>
      </c>
    </row>
    <row r="754" spans="1:7" ht="15.75" thickBot="1">
      <c r="A754" s="683" t="s">
        <v>11</v>
      </c>
      <c r="B754" s="684"/>
      <c r="C754" s="119"/>
      <c r="D754" s="119"/>
      <c r="E754" s="119"/>
      <c r="F754" s="119"/>
      <c r="G754" s="120"/>
    </row>
    <row r="755" spans="1:7">
      <c r="A755" s="162" t="s">
        <v>12</v>
      </c>
      <c r="B755" s="116" t="s">
        <v>13</v>
      </c>
      <c r="C755" s="378">
        <f>'Devize obiecte evaluari'!F1674</f>
        <v>0</v>
      </c>
      <c r="D755" s="378">
        <f>'Devize obiecte evaluari'!G1674</f>
        <v>0</v>
      </c>
      <c r="E755" s="378">
        <f>'Devize obiecte evaluari'!H1674</f>
        <v>0</v>
      </c>
      <c r="F755" s="378">
        <f>'Devize obiecte evaluari'!I1674</f>
        <v>0</v>
      </c>
      <c r="G755" s="379">
        <f>'Devize obiecte evaluari'!J1674</f>
        <v>0</v>
      </c>
    </row>
    <row r="756" spans="1:7">
      <c r="A756" s="74" t="s">
        <v>14</v>
      </c>
      <c r="B756" s="2" t="s">
        <v>15</v>
      </c>
      <c r="C756" s="54">
        <f>'Devize obiecte evaluari'!F1677</f>
        <v>0</v>
      </c>
      <c r="D756" s="54">
        <f>'Devize obiecte evaluari'!G1677</f>
        <v>0</v>
      </c>
      <c r="E756" s="54">
        <f>'Devize obiecte evaluari'!H1677</f>
        <v>0</v>
      </c>
      <c r="F756" s="54">
        <f>'Devize obiecte evaluari'!I1677</f>
        <v>0</v>
      </c>
      <c r="G756" s="55">
        <f>'Devize obiecte evaluari'!J1677</f>
        <v>0</v>
      </c>
    </row>
    <row r="757" spans="1:7">
      <c r="A757" s="74" t="s">
        <v>16</v>
      </c>
      <c r="B757" s="2" t="s">
        <v>17</v>
      </c>
      <c r="C757" s="52">
        <f>'Devize obiecte evaluari'!F1680</f>
        <v>0</v>
      </c>
      <c r="D757" s="52">
        <f>'Devize obiecte evaluari'!G1680</f>
        <v>0</v>
      </c>
      <c r="E757" s="52">
        <f>'Devize obiecte evaluari'!H1680</f>
        <v>0</v>
      </c>
      <c r="F757" s="52">
        <f>'Devize obiecte evaluari'!I1680</f>
        <v>0</v>
      </c>
      <c r="G757" s="53">
        <f>'Devize obiecte evaluari'!J1680</f>
        <v>0</v>
      </c>
    </row>
    <row r="758" spans="1:7">
      <c r="A758" s="74" t="s">
        <v>18</v>
      </c>
      <c r="B758" s="2" t="s">
        <v>19</v>
      </c>
      <c r="C758" s="52">
        <f>'Devize obiecte evaluari'!F1683</f>
        <v>0</v>
      </c>
      <c r="D758" s="52">
        <f>'Devize obiecte evaluari'!G1683</f>
        <v>0</v>
      </c>
      <c r="E758" s="52">
        <f>'Devize obiecte evaluari'!H1683</f>
        <v>0</v>
      </c>
      <c r="F758" s="52">
        <f>'Devize obiecte evaluari'!I1683</f>
        <v>0</v>
      </c>
      <c r="G758" s="53">
        <f>'Devize obiecte evaluari'!J1683</f>
        <v>0</v>
      </c>
    </row>
    <row r="759" spans="1:7">
      <c r="A759" s="74" t="s">
        <v>20</v>
      </c>
      <c r="B759" s="2" t="s">
        <v>21</v>
      </c>
      <c r="C759" s="52">
        <f>'Devize obiecte evaluari'!F1698</f>
        <v>0</v>
      </c>
      <c r="D759" s="52">
        <f>'Devize obiecte evaluari'!G1698</f>
        <v>0</v>
      </c>
      <c r="E759" s="52">
        <f>'Devize obiecte evaluari'!H1698</f>
        <v>0</v>
      </c>
      <c r="F759" s="52">
        <f>'Devize obiecte evaluari'!I1698</f>
        <v>0</v>
      </c>
      <c r="G759" s="53">
        <f>'Devize obiecte evaluari'!J1698</f>
        <v>0</v>
      </c>
    </row>
    <row r="760" spans="1:7" ht="25.5">
      <c r="A760" s="74" t="s">
        <v>22</v>
      </c>
      <c r="B760" s="2" t="s">
        <v>23</v>
      </c>
      <c r="C760" s="36">
        <f>'Devize obiecte evaluari'!F1701</f>
        <v>0</v>
      </c>
      <c r="D760" s="36">
        <f>'Devize obiecte evaluari'!G1701</f>
        <v>0</v>
      </c>
      <c r="E760" s="36">
        <f>'Devize obiecte evaluari'!H1701</f>
        <v>0</v>
      </c>
      <c r="F760" s="36">
        <f>'Devize obiecte evaluari'!I1701</f>
        <v>0</v>
      </c>
      <c r="G760" s="37">
        <f>'Devize obiecte evaluari'!J1701</f>
        <v>0</v>
      </c>
    </row>
    <row r="761" spans="1:7">
      <c r="A761" s="74" t="s">
        <v>24</v>
      </c>
      <c r="B761" s="2" t="s">
        <v>25</v>
      </c>
      <c r="C761" s="52">
        <f>'Devize obiecte evaluari'!F1704</f>
        <v>0</v>
      </c>
      <c r="D761" s="52">
        <f>'Devize obiecte evaluari'!G1704</f>
        <v>0</v>
      </c>
      <c r="E761" s="52">
        <f>'Devize obiecte evaluari'!H1704</f>
        <v>0</v>
      </c>
      <c r="F761" s="52">
        <f>'Devize obiecte evaluari'!I1704</f>
        <v>0</v>
      </c>
      <c r="G761" s="53">
        <f>'Devize obiecte evaluari'!J1704</f>
        <v>0</v>
      </c>
    </row>
    <row r="762" spans="1:7" ht="15.75" thickBot="1">
      <c r="A762" s="163" t="s">
        <v>99</v>
      </c>
      <c r="B762" s="121" t="s">
        <v>26</v>
      </c>
      <c r="C762" s="380">
        <f>'Devize obiecte evaluari'!F1707</f>
        <v>0</v>
      </c>
      <c r="D762" s="380">
        <f>'Devize obiecte evaluari'!G1707</f>
        <v>0</v>
      </c>
      <c r="E762" s="380">
        <f>'Devize obiecte evaluari'!H1707</f>
        <v>0</v>
      </c>
      <c r="F762" s="380">
        <f>'Devize obiecte evaluari'!I1707</f>
        <v>0</v>
      </c>
      <c r="G762" s="381">
        <f>'Devize obiecte evaluari'!J1707</f>
        <v>0</v>
      </c>
    </row>
    <row r="763" spans="1:7" ht="15.75" thickBot="1">
      <c r="A763" s="685" t="s">
        <v>27</v>
      </c>
      <c r="B763" s="686"/>
      <c r="C763" s="82">
        <f>SUM(C755:C762)</f>
        <v>0</v>
      </c>
      <c r="D763" s="82">
        <f t="shared" ref="D763:E763" si="123">SUM(D755:D762)</f>
        <v>0</v>
      </c>
      <c r="E763" s="82">
        <f t="shared" si="123"/>
        <v>0</v>
      </c>
      <c r="F763" s="82">
        <f>SUM(F755:F762)</f>
        <v>0</v>
      </c>
      <c r="G763" s="83">
        <f t="shared" ref="G763" si="124">SUM(G755:G762)</f>
        <v>0</v>
      </c>
    </row>
    <row r="764" spans="1:7" ht="15.75" thickBot="1">
      <c r="A764" s="683" t="s">
        <v>28</v>
      </c>
      <c r="B764" s="684"/>
      <c r="C764" s="119"/>
      <c r="D764" s="119"/>
      <c r="E764" s="119"/>
      <c r="F764" s="119"/>
      <c r="G764" s="120"/>
    </row>
    <row r="765" spans="1:7" ht="15.75" thickBot="1">
      <c r="A765" s="126"/>
      <c r="B765" s="127" t="s">
        <v>29</v>
      </c>
      <c r="C765" s="128">
        <f>'Devize obiecte evaluari'!F1712</f>
        <v>0</v>
      </c>
      <c r="D765" s="128">
        <f>'Devize obiecte evaluari'!G1712</f>
        <v>0</v>
      </c>
      <c r="E765" s="128">
        <f>'Devize obiecte evaluari'!H1712</f>
        <v>0</v>
      </c>
      <c r="F765" s="128">
        <f>'Devize obiecte evaluari'!I1712</f>
        <v>0</v>
      </c>
      <c r="G765" s="129">
        <f>'Devize obiecte evaluari'!J1712</f>
        <v>0</v>
      </c>
    </row>
    <row r="766" spans="1:7" ht="15.75" thickBot="1">
      <c r="A766" s="685" t="s">
        <v>30</v>
      </c>
      <c r="B766" s="686"/>
      <c r="C766" s="62">
        <f>C765</f>
        <v>0</v>
      </c>
      <c r="D766" s="62">
        <f>D765</f>
        <v>0</v>
      </c>
      <c r="E766" s="62">
        <f>E765</f>
        <v>0</v>
      </c>
      <c r="F766" s="62">
        <f>F765</f>
        <v>0</v>
      </c>
      <c r="G766" s="63">
        <f>G765</f>
        <v>0</v>
      </c>
    </row>
    <row r="767" spans="1:7" ht="15.75" thickBot="1">
      <c r="A767" s="683" t="s">
        <v>31</v>
      </c>
      <c r="B767" s="684"/>
      <c r="C767" s="119"/>
      <c r="D767" s="119"/>
      <c r="E767" s="119"/>
      <c r="F767" s="119"/>
      <c r="G767" s="120"/>
    </row>
    <row r="768" spans="1:7">
      <c r="A768" s="124"/>
      <c r="B768" s="125" t="s">
        <v>32</v>
      </c>
      <c r="C768" s="382">
        <f>'Devize obiecte evaluari'!F1717</f>
        <v>0</v>
      </c>
      <c r="D768" s="382">
        <f>'Devize obiecte evaluari'!G1717</f>
        <v>0</v>
      </c>
      <c r="E768" s="382">
        <f>'Devize obiecte evaluari'!H1717</f>
        <v>0</v>
      </c>
      <c r="F768" s="382">
        <f>'Devize obiecte evaluari'!I1717</f>
        <v>0</v>
      </c>
      <c r="G768" s="383">
        <f>'Devize obiecte evaluari'!J1717</f>
        <v>0</v>
      </c>
    </row>
    <row r="769" spans="1:7">
      <c r="A769" s="58"/>
      <c r="B769" s="59" t="s">
        <v>33</v>
      </c>
      <c r="C769" s="60">
        <f>'Devize obiecte evaluari'!F1720</f>
        <v>0</v>
      </c>
      <c r="D769" s="60">
        <f>'Devize obiecte evaluari'!G1720</f>
        <v>0</v>
      </c>
      <c r="E769" s="60">
        <f>'Devize obiecte evaluari'!H1720</f>
        <v>0</v>
      </c>
      <c r="F769" s="60">
        <f>'Devize obiecte evaluari'!I1720</f>
        <v>0</v>
      </c>
      <c r="G769" s="61">
        <f>'Devize obiecte evaluari'!J1720</f>
        <v>0</v>
      </c>
    </row>
    <row r="770" spans="1:7" ht="15.75" thickBot="1">
      <c r="A770" s="132"/>
      <c r="B770" s="133" t="s">
        <v>34</v>
      </c>
      <c r="C770" s="384">
        <f>'Devize obiecte evaluari'!F1723</f>
        <v>0</v>
      </c>
      <c r="D770" s="384">
        <f>'Devize obiecte evaluari'!G1723</f>
        <v>0</v>
      </c>
      <c r="E770" s="384">
        <f>'Devize obiecte evaluari'!H1723</f>
        <v>0</v>
      </c>
      <c r="F770" s="384">
        <f>'Devize obiecte evaluari'!I1723</f>
        <v>0</v>
      </c>
      <c r="G770" s="385">
        <f>'Devize obiecte evaluari'!J1723</f>
        <v>0</v>
      </c>
    </row>
    <row r="771" spans="1:7" ht="15.75" thickBot="1">
      <c r="A771" s="685" t="s">
        <v>35</v>
      </c>
      <c r="B771" s="686"/>
      <c r="C771" s="62">
        <f>SUM(C768:C770)</f>
        <v>0</v>
      </c>
      <c r="D771" s="62">
        <f t="shared" ref="D771:E771" si="125">SUM(D768:D770)</f>
        <v>0</v>
      </c>
      <c r="E771" s="62">
        <f t="shared" si="125"/>
        <v>0</v>
      </c>
      <c r="F771" s="62">
        <f>SUM(F768:F770)</f>
        <v>0</v>
      </c>
      <c r="G771" s="63">
        <f t="shared" ref="G771" si="126">SUM(G768:G770)</f>
        <v>0</v>
      </c>
    </row>
    <row r="772" spans="1:7" ht="15.75" thickBot="1">
      <c r="A772" s="685" t="s">
        <v>36</v>
      </c>
      <c r="B772" s="686"/>
      <c r="C772" s="62">
        <f>SUM(C763,C766,C771)</f>
        <v>0</v>
      </c>
      <c r="D772" s="62">
        <f t="shared" ref="D772:E772" si="127">SUM(D763,D766,D771)</f>
        <v>0</v>
      </c>
      <c r="E772" s="62">
        <f t="shared" si="127"/>
        <v>0</v>
      </c>
      <c r="F772" s="62">
        <f>SUM(F763,F766,F771)</f>
        <v>0</v>
      </c>
      <c r="G772" s="63">
        <f t="shared" ref="G772" si="128">SUM(G763,G766,G771)</f>
        <v>0</v>
      </c>
    </row>
    <row r="773" spans="1:7">
      <c r="A773" s="39"/>
      <c r="B773" s="39"/>
      <c r="C773" s="42"/>
      <c r="D773" s="42"/>
      <c r="E773" s="42"/>
      <c r="F773" s="42"/>
      <c r="G773" s="42"/>
    </row>
    <row r="774" spans="1:7">
      <c r="A774" s="42"/>
      <c r="C774" s="42"/>
      <c r="D774" s="64"/>
      <c r="E774" s="42"/>
      <c r="F774" s="42"/>
      <c r="G774" s="42"/>
    </row>
    <row r="775" spans="1:7">
      <c r="A775" s="39"/>
      <c r="B775" s="65" t="s">
        <v>37</v>
      </c>
      <c r="C775" s="39"/>
      <c r="D775" s="66"/>
      <c r="E775" s="39"/>
      <c r="F775" s="39"/>
      <c r="G775" s="39"/>
    </row>
    <row r="776" spans="1:7">
      <c r="A776" s="39"/>
      <c r="B776" s="65" t="str">
        <f>'Date Generale'!$C$7</f>
        <v>S.C. Tehno Consoulting Solutions S.R.L.</v>
      </c>
      <c r="C776" s="39"/>
      <c r="D776" s="39"/>
      <c r="E776" s="39"/>
      <c r="F776" s="39"/>
      <c r="G776" s="39"/>
    </row>
    <row r="777" spans="1:7">
      <c r="A777" s="39"/>
      <c r="B777" s="39"/>
      <c r="C777" s="39"/>
      <c r="D777" s="39"/>
      <c r="E777" s="39"/>
      <c r="F777" s="39"/>
      <c r="G777" s="39"/>
    </row>
    <row r="778" spans="1:7">
      <c r="A778" s="39"/>
      <c r="B778" s="39"/>
      <c r="C778" s="39"/>
      <c r="D778" s="39"/>
      <c r="E778" s="39"/>
      <c r="F778" s="39"/>
      <c r="G778" s="39"/>
    </row>
    <row r="779" spans="1:7">
      <c r="A779" s="67"/>
      <c r="B779" s="67"/>
      <c r="C779" s="67"/>
      <c r="D779" s="67"/>
      <c r="E779" s="67"/>
      <c r="F779" s="67"/>
      <c r="G779" s="67"/>
    </row>
    <row r="780" spans="1:7" ht="15.75">
      <c r="A780" s="41" t="str">
        <f>"Beneficiar: " &amp;'Date Generale'!$C$6</f>
        <v xml:space="preserve">Beneficiar: Judetul Arges </v>
      </c>
      <c r="B780" s="41"/>
      <c r="C780" s="42"/>
      <c r="D780" s="42"/>
      <c r="E780" s="42"/>
      <c r="F780" s="42"/>
      <c r="G780" s="42"/>
    </row>
    <row r="781" spans="1:7" ht="15.75">
      <c r="A781" s="41" t="str">
        <f>"Denumire proiect: " &amp; 'Date Generale'!$C$3</f>
        <v>Denumire proiect: Modernizare DJ 703B Serbanesti (DJ659) - Silistea, km 70+410 - 77+826, 7.416km, in comunele Rociu si Cateasca</v>
      </c>
      <c r="B781" s="41"/>
      <c r="C781" s="43"/>
      <c r="D781" s="43"/>
      <c r="E781" s="43"/>
      <c r="F781" s="43"/>
      <c r="G781" s="43"/>
    </row>
    <row r="782" spans="1:7" ht="15.75">
      <c r="A782" s="41"/>
      <c r="B782" s="41"/>
      <c r="C782" s="44"/>
      <c r="D782" s="44"/>
      <c r="E782" s="44"/>
      <c r="F782" s="44"/>
      <c r="G782" s="44"/>
    </row>
    <row r="783" spans="1:7">
      <c r="A783" s="687" t="str">
        <f>"Devizul Obiectului: " &amp;'Date Generale'!$E$83</f>
        <v>Devizul Obiectului: Obiect 023:0</v>
      </c>
      <c r="B783" s="687"/>
      <c r="C783" s="687"/>
      <c r="D783" s="687"/>
      <c r="E783" s="687"/>
      <c r="F783" s="687"/>
      <c r="G783" s="687"/>
    </row>
    <row r="784" spans="1:7">
      <c r="A784" s="371"/>
      <c r="B784" s="371"/>
      <c r="C784" s="371"/>
      <c r="D784" s="371"/>
      <c r="E784" s="371"/>
      <c r="F784" s="371"/>
      <c r="G784" s="371"/>
    </row>
    <row r="785" spans="1:7" ht="15.75" thickBot="1">
      <c r="A785" s="45"/>
      <c r="B785" s="46"/>
      <c r="C785" s="33"/>
      <c r="D785" s="47" t="s">
        <v>2</v>
      </c>
      <c r="E785" s="48">
        <f>'Date Generale'!$C$54</f>
        <v>4.7233000000000001</v>
      </c>
      <c r="F785" s="49" t="s">
        <v>3</v>
      </c>
      <c r="G785" s="50" t="str">
        <f>'Date Generale'!$D$54</f>
        <v>21,06,2019</v>
      </c>
    </row>
    <row r="786" spans="1:7" ht="15.75" thickBot="1">
      <c r="A786" s="688" t="s">
        <v>4</v>
      </c>
      <c r="B786" s="688" t="s">
        <v>5</v>
      </c>
      <c r="C786" s="689" t="s">
        <v>160</v>
      </c>
      <c r="D786" s="689"/>
      <c r="E786" s="372" t="s">
        <v>7</v>
      </c>
      <c r="F786" s="689" t="s">
        <v>159</v>
      </c>
      <c r="G786" s="689"/>
    </row>
    <row r="787" spans="1:7" ht="15.75" thickBot="1">
      <c r="A787" s="688"/>
      <c r="B787" s="688"/>
      <c r="C787" s="51" t="s">
        <v>9</v>
      </c>
      <c r="D787" s="51" t="s">
        <v>10</v>
      </c>
      <c r="E787" s="51" t="s">
        <v>9</v>
      </c>
      <c r="F787" s="51" t="s">
        <v>9</v>
      </c>
      <c r="G787" s="51" t="s">
        <v>10</v>
      </c>
    </row>
    <row r="788" spans="1:7" ht="15.75" thickBot="1">
      <c r="A788" s="1">
        <v>1</v>
      </c>
      <c r="B788" s="1">
        <v>2</v>
      </c>
      <c r="C788" s="1">
        <v>3</v>
      </c>
      <c r="D788" s="1">
        <v>4</v>
      </c>
      <c r="E788" s="1">
        <v>5</v>
      </c>
      <c r="F788" s="1">
        <v>6</v>
      </c>
      <c r="G788" s="1">
        <v>7</v>
      </c>
    </row>
    <row r="789" spans="1:7" ht="15.75" thickBot="1">
      <c r="A789" s="683" t="s">
        <v>11</v>
      </c>
      <c r="B789" s="684"/>
      <c r="C789" s="119"/>
      <c r="D789" s="119"/>
      <c r="E789" s="119"/>
      <c r="F789" s="119"/>
      <c r="G789" s="120"/>
    </row>
    <row r="790" spans="1:7">
      <c r="A790" s="162" t="s">
        <v>12</v>
      </c>
      <c r="B790" s="116" t="s">
        <v>13</v>
      </c>
      <c r="C790" s="378">
        <f>'Devize obiecte evaluari'!F1746</f>
        <v>0</v>
      </c>
      <c r="D790" s="378">
        <f>'Devize obiecte evaluari'!G1746</f>
        <v>0</v>
      </c>
      <c r="E790" s="378">
        <f>'Devize obiecte evaluari'!H1746</f>
        <v>0</v>
      </c>
      <c r="F790" s="378">
        <f>'Devize obiecte evaluari'!I1746</f>
        <v>0</v>
      </c>
      <c r="G790" s="379">
        <f>'Devize obiecte evaluari'!J1746</f>
        <v>0</v>
      </c>
    </row>
    <row r="791" spans="1:7">
      <c r="A791" s="74" t="s">
        <v>14</v>
      </c>
      <c r="B791" s="2" t="s">
        <v>15</v>
      </c>
      <c r="C791" s="54">
        <f>'Devize obiecte evaluari'!F1749</f>
        <v>0</v>
      </c>
      <c r="D791" s="54">
        <f>'Devize obiecte evaluari'!G1749</f>
        <v>0</v>
      </c>
      <c r="E791" s="54">
        <f>'Devize obiecte evaluari'!H1749</f>
        <v>0</v>
      </c>
      <c r="F791" s="54">
        <f>'Devize obiecte evaluari'!I1749</f>
        <v>0</v>
      </c>
      <c r="G791" s="55">
        <f>'Devize obiecte evaluari'!J1749</f>
        <v>0</v>
      </c>
    </row>
    <row r="792" spans="1:7">
      <c r="A792" s="74" t="s">
        <v>16</v>
      </c>
      <c r="B792" s="2" t="s">
        <v>17</v>
      </c>
      <c r="C792" s="52">
        <f>'Devize obiecte evaluari'!F1752</f>
        <v>0</v>
      </c>
      <c r="D792" s="52">
        <f>'Devize obiecte evaluari'!G1752</f>
        <v>0</v>
      </c>
      <c r="E792" s="52">
        <f>'Devize obiecte evaluari'!H1752</f>
        <v>0</v>
      </c>
      <c r="F792" s="52">
        <f>'Devize obiecte evaluari'!I1752</f>
        <v>0</v>
      </c>
      <c r="G792" s="53">
        <f>'Devize obiecte evaluari'!J1752</f>
        <v>0</v>
      </c>
    </row>
    <row r="793" spans="1:7">
      <c r="A793" s="74" t="s">
        <v>18</v>
      </c>
      <c r="B793" s="2" t="s">
        <v>19</v>
      </c>
      <c r="C793" s="52">
        <f>'Devize obiecte evaluari'!F1755</f>
        <v>0</v>
      </c>
      <c r="D793" s="52">
        <f>'Devize obiecte evaluari'!G1755</f>
        <v>0</v>
      </c>
      <c r="E793" s="52">
        <f>'Devize obiecte evaluari'!H1755</f>
        <v>0</v>
      </c>
      <c r="F793" s="52">
        <f>'Devize obiecte evaluari'!I1755</f>
        <v>0</v>
      </c>
      <c r="G793" s="53">
        <f>'Devize obiecte evaluari'!J1755</f>
        <v>0</v>
      </c>
    </row>
    <row r="794" spans="1:7">
      <c r="A794" s="74" t="s">
        <v>20</v>
      </c>
      <c r="B794" s="2" t="s">
        <v>21</v>
      </c>
      <c r="C794" s="52">
        <f>'Devize obiecte evaluari'!F1770</f>
        <v>0</v>
      </c>
      <c r="D794" s="52">
        <f>'Devize obiecte evaluari'!G1770</f>
        <v>0</v>
      </c>
      <c r="E794" s="52">
        <f>'Devize obiecte evaluari'!H1770</f>
        <v>0</v>
      </c>
      <c r="F794" s="52">
        <f>'Devize obiecte evaluari'!I1770</f>
        <v>0</v>
      </c>
      <c r="G794" s="53">
        <f>'Devize obiecte evaluari'!J1770</f>
        <v>0</v>
      </c>
    </row>
    <row r="795" spans="1:7" ht="25.5">
      <c r="A795" s="74" t="s">
        <v>22</v>
      </c>
      <c r="B795" s="2" t="s">
        <v>23</v>
      </c>
      <c r="C795" s="36">
        <f>'Devize obiecte evaluari'!F1773</f>
        <v>0</v>
      </c>
      <c r="D795" s="36">
        <f>'Devize obiecte evaluari'!G1773</f>
        <v>0</v>
      </c>
      <c r="E795" s="36">
        <f>'Devize obiecte evaluari'!H1773</f>
        <v>0</v>
      </c>
      <c r="F795" s="36">
        <f>'Devize obiecte evaluari'!I1773</f>
        <v>0</v>
      </c>
      <c r="G795" s="37">
        <f>'Devize obiecte evaluari'!J1773</f>
        <v>0</v>
      </c>
    </row>
    <row r="796" spans="1:7">
      <c r="A796" s="74" t="s">
        <v>24</v>
      </c>
      <c r="B796" s="2" t="s">
        <v>25</v>
      </c>
      <c r="C796" s="52">
        <f>'Devize obiecte evaluari'!F1776</f>
        <v>0</v>
      </c>
      <c r="D796" s="52">
        <f>'Devize obiecte evaluari'!G1776</f>
        <v>0</v>
      </c>
      <c r="E796" s="52">
        <f>'Devize obiecte evaluari'!H1776</f>
        <v>0</v>
      </c>
      <c r="F796" s="52">
        <f>'Devize obiecte evaluari'!I1776</f>
        <v>0</v>
      </c>
      <c r="G796" s="53">
        <f>'Devize obiecte evaluari'!J1776</f>
        <v>0</v>
      </c>
    </row>
    <row r="797" spans="1:7" ht="15.75" thickBot="1">
      <c r="A797" s="163" t="s">
        <v>99</v>
      </c>
      <c r="B797" s="121" t="s">
        <v>26</v>
      </c>
      <c r="C797" s="380">
        <f>'Devize obiecte evaluari'!F1779</f>
        <v>0</v>
      </c>
      <c r="D797" s="380">
        <f>'Devize obiecte evaluari'!G1779</f>
        <v>0</v>
      </c>
      <c r="E797" s="380">
        <f>'Devize obiecte evaluari'!H1779</f>
        <v>0</v>
      </c>
      <c r="F797" s="380">
        <f>'Devize obiecte evaluari'!I1779</f>
        <v>0</v>
      </c>
      <c r="G797" s="381">
        <f>'Devize obiecte evaluari'!J1779</f>
        <v>0</v>
      </c>
    </row>
    <row r="798" spans="1:7" ht="15.75" thickBot="1">
      <c r="A798" s="685" t="s">
        <v>27</v>
      </c>
      <c r="B798" s="686"/>
      <c r="C798" s="82">
        <f>SUM(C790:C797)</f>
        <v>0</v>
      </c>
      <c r="D798" s="82">
        <f t="shared" ref="D798:E798" si="129">SUM(D790:D797)</f>
        <v>0</v>
      </c>
      <c r="E798" s="82">
        <f t="shared" si="129"/>
        <v>0</v>
      </c>
      <c r="F798" s="82">
        <f>SUM(F790:F797)</f>
        <v>0</v>
      </c>
      <c r="G798" s="83">
        <f t="shared" ref="G798" si="130">SUM(G790:G797)</f>
        <v>0</v>
      </c>
    </row>
    <row r="799" spans="1:7" ht="15.75" thickBot="1">
      <c r="A799" s="683" t="s">
        <v>28</v>
      </c>
      <c r="B799" s="684"/>
      <c r="C799" s="119"/>
      <c r="D799" s="119"/>
      <c r="E799" s="119"/>
      <c r="F799" s="119"/>
      <c r="G799" s="120"/>
    </row>
    <row r="800" spans="1:7" ht="15.75" thickBot="1">
      <c r="A800" s="126"/>
      <c r="B800" s="127" t="s">
        <v>29</v>
      </c>
      <c r="C800" s="128">
        <f>'Devize obiecte evaluari'!F1784</f>
        <v>0</v>
      </c>
      <c r="D800" s="128">
        <f>'Devize obiecte evaluari'!G1784</f>
        <v>0</v>
      </c>
      <c r="E800" s="128">
        <f>'Devize obiecte evaluari'!H1784</f>
        <v>0</v>
      </c>
      <c r="F800" s="128">
        <f>'Devize obiecte evaluari'!I1784</f>
        <v>0</v>
      </c>
      <c r="G800" s="129">
        <f>'Devize obiecte evaluari'!J1784</f>
        <v>0</v>
      </c>
    </row>
    <row r="801" spans="1:7" ht="15.75" thickBot="1">
      <c r="A801" s="685" t="s">
        <v>30</v>
      </c>
      <c r="B801" s="686"/>
      <c r="C801" s="62">
        <f>C800</f>
        <v>0</v>
      </c>
      <c r="D801" s="62">
        <f>D800</f>
        <v>0</v>
      </c>
      <c r="E801" s="62">
        <f>E800</f>
        <v>0</v>
      </c>
      <c r="F801" s="62">
        <f>F800</f>
        <v>0</v>
      </c>
      <c r="G801" s="63">
        <f>G800</f>
        <v>0</v>
      </c>
    </row>
    <row r="802" spans="1:7" ht="15.75" thickBot="1">
      <c r="A802" s="683" t="s">
        <v>31</v>
      </c>
      <c r="B802" s="684"/>
      <c r="C802" s="119"/>
      <c r="D802" s="119"/>
      <c r="E802" s="119"/>
      <c r="F802" s="119"/>
      <c r="G802" s="120"/>
    </row>
    <row r="803" spans="1:7">
      <c r="A803" s="124"/>
      <c r="B803" s="125" t="s">
        <v>32</v>
      </c>
      <c r="C803" s="382">
        <f>'Devize obiecte evaluari'!F1789</f>
        <v>0</v>
      </c>
      <c r="D803" s="382">
        <f>'Devize obiecte evaluari'!G1789</f>
        <v>0</v>
      </c>
      <c r="E803" s="382">
        <f>'Devize obiecte evaluari'!H1789</f>
        <v>0</v>
      </c>
      <c r="F803" s="382">
        <f>'Devize obiecte evaluari'!I1789</f>
        <v>0</v>
      </c>
      <c r="G803" s="383">
        <f>'Devize obiecte evaluari'!J1789</f>
        <v>0</v>
      </c>
    </row>
    <row r="804" spans="1:7">
      <c r="A804" s="58"/>
      <c r="B804" s="59" t="s">
        <v>33</v>
      </c>
      <c r="C804" s="60">
        <f>'Devize obiecte evaluari'!F1792</f>
        <v>0</v>
      </c>
      <c r="D804" s="60">
        <f>'Devize obiecte evaluari'!G1792</f>
        <v>0</v>
      </c>
      <c r="E804" s="60">
        <f>'Devize obiecte evaluari'!H1792</f>
        <v>0</v>
      </c>
      <c r="F804" s="60">
        <f>'Devize obiecte evaluari'!I1792</f>
        <v>0</v>
      </c>
      <c r="G804" s="61">
        <f>'Devize obiecte evaluari'!J1792</f>
        <v>0</v>
      </c>
    </row>
    <row r="805" spans="1:7" ht="15.75" thickBot="1">
      <c r="A805" s="132"/>
      <c r="B805" s="133" t="s">
        <v>34</v>
      </c>
      <c r="C805" s="384">
        <f>'Devize obiecte evaluari'!F1795</f>
        <v>0</v>
      </c>
      <c r="D805" s="384">
        <f>'Devize obiecte evaluari'!G1795</f>
        <v>0</v>
      </c>
      <c r="E805" s="384">
        <f>'Devize obiecte evaluari'!H1795</f>
        <v>0</v>
      </c>
      <c r="F805" s="384">
        <f>'Devize obiecte evaluari'!I1795</f>
        <v>0</v>
      </c>
      <c r="G805" s="385">
        <f>'Devize obiecte evaluari'!J1795</f>
        <v>0</v>
      </c>
    </row>
    <row r="806" spans="1:7" ht="15.75" thickBot="1">
      <c r="A806" s="685" t="s">
        <v>35</v>
      </c>
      <c r="B806" s="686"/>
      <c r="C806" s="62">
        <f>SUM(C803:C805)</f>
        <v>0</v>
      </c>
      <c r="D806" s="62">
        <f t="shared" ref="D806:E806" si="131">SUM(D803:D805)</f>
        <v>0</v>
      </c>
      <c r="E806" s="62">
        <f t="shared" si="131"/>
        <v>0</v>
      </c>
      <c r="F806" s="62">
        <f>SUM(F803:F805)</f>
        <v>0</v>
      </c>
      <c r="G806" s="63">
        <f t="shared" ref="G806" si="132">SUM(G803:G805)</f>
        <v>0</v>
      </c>
    </row>
    <row r="807" spans="1:7" ht="15.75" thickBot="1">
      <c r="A807" s="685" t="s">
        <v>36</v>
      </c>
      <c r="B807" s="686"/>
      <c r="C807" s="62">
        <f>SUM(C798,C801,C806)</f>
        <v>0</v>
      </c>
      <c r="D807" s="62">
        <f t="shared" ref="D807:E807" si="133">SUM(D798,D801,D806)</f>
        <v>0</v>
      </c>
      <c r="E807" s="62">
        <f t="shared" si="133"/>
        <v>0</v>
      </c>
      <c r="F807" s="62">
        <f>SUM(F798,F801,F806)</f>
        <v>0</v>
      </c>
      <c r="G807" s="63">
        <f t="shared" ref="G807" si="134">SUM(G798,G801,G806)</f>
        <v>0</v>
      </c>
    </row>
    <row r="808" spans="1:7">
      <c r="A808" s="39"/>
      <c r="B808" s="39"/>
      <c r="C808" s="42"/>
      <c r="D808" s="42"/>
      <c r="E808" s="42"/>
      <c r="F808" s="42"/>
      <c r="G808" s="42"/>
    </row>
    <row r="809" spans="1:7">
      <c r="A809" s="42"/>
      <c r="C809" s="42"/>
      <c r="D809" s="64"/>
      <c r="E809" s="42"/>
      <c r="F809" s="42"/>
      <c r="G809" s="42"/>
    </row>
    <row r="810" spans="1:7">
      <c r="A810" s="39"/>
      <c r="B810" s="65" t="s">
        <v>37</v>
      </c>
      <c r="C810" s="39"/>
      <c r="D810" s="66"/>
      <c r="E810" s="39"/>
      <c r="F810" s="39"/>
      <c r="G810" s="39"/>
    </row>
    <row r="811" spans="1:7">
      <c r="A811" s="39"/>
      <c r="B811" s="65" t="str">
        <f>'Date Generale'!$C$7</f>
        <v>S.C. Tehno Consoulting Solutions S.R.L.</v>
      </c>
      <c r="C811" s="39"/>
      <c r="D811" s="39"/>
      <c r="E811" s="39"/>
      <c r="F811" s="39"/>
      <c r="G811" s="39"/>
    </row>
    <row r="812" spans="1:7">
      <c r="A812" s="39"/>
      <c r="B812" s="39"/>
      <c r="C812" s="39"/>
      <c r="D812" s="39"/>
      <c r="E812" s="39"/>
      <c r="F812" s="39"/>
      <c r="G812" s="39"/>
    </row>
    <row r="813" spans="1:7">
      <c r="A813" s="39"/>
      <c r="B813" s="39"/>
      <c r="C813" s="39"/>
      <c r="D813" s="39"/>
      <c r="E813" s="39"/>
      <c r="F813" s="39"/>
      <c r="G813" s="39"/>
    </row>
    <row r="814" spans="1:7">
      <c r="A814" s="67"/>
      <c r="B814" s="67"/>
      <c r="C814" s="67"/>
      <c r="D814" s="67"/>
      <c r="E814" s="67"/>
      <c r="F814" s="67"/>
      <c r="G814" s="67"/>
    </row>
    <row r="815" spans="1:7" ht="15.75">
      <c r="A815" s="41" t="str">
        <f>"Beneficiar: " &amp;'Date Generale'!$C$6</f>
        <v xml:space="preserve">Beneficiar: Judetul Arges </v>
      </c>
      <c r="B815" s="41"/>
      <c r="C815" s="42"/>
      <c r="D815" s="42"/>
      <c r="E815" s="42"/>
      <c r="F815" s="42"/>
      <c r="G815" s="42"/>
    </row>
    <row r="816" spans="1:7" ht="15.75">
      <c r="A816" s="41" t="str">
        <f>"Denumire proiect: " &amp; 'Date Generale'!$C$3</f>
        <v>Denumire proiect: Modernizare DJ 703B Serbanesti (DJ659) - Silistea, km 70+410 - 77+826, 7.416km, in comunele Rociu si Cateasca</v>
      </c>
      <c r="B816" s="41"/>
      <c r="C816" s="43"/>
      <c r="D816" s="43"/>
      <c r="E816" s="43"/>
      <c r="F816" s="43"/>
      <c r="G816" s="43"/>
    </row>
    <row r="817" spans="1:7" ht="15.75">
      <c r="A817" s="41"/>
      <c r="B817" s="41"/>
      <c r="C817" s="44"/>
      <c r="D817" s="44"/>
      <c r="E817" s="44"/>
      <c r="F817" s="44"/>
      <c r="G817" s="44"/>
    </row>
    <row r="818" spans="1:7">
      <c r="A818" s="687" t="str">
        <f>"Devizul Obiectului: " &amp;'Date Generale'!$E$84</f>
        <v>Devizul Obiectului: Obiect 024:0</v>
      </c>
      <c r="B818" s="687"/>
      <c r="C818" s="687"/>
      <c r="D818" s="687"/>
      <c r="E818" s="687"/>
      <c r="F818" s="687"/>
      <c r="G818" s="687"/>
    </row>
    <row r="819" spans="1:7">
      <c r="A819" s="371"/>
      <c r="B819" s="371"/>
      <c r="C819" s="371"/>
      <c r="D819" s="371"/>
      <c r="E819" s="371"/>
      <c r="F819" s="371"/>
      <c r="G819" s="371"/>
    </row>
    <row r="820" spans="1:7" ht="15.75" thickBot="1">
      <c r="A820" s="45"/>
      <c r="B820" s="46"/>
      <c r="C820" s="33"/>
      <c r="D820" s="47" t="s">
        <v>2</v>
      </c>
      <c r="E820" s="48">
        <f>'Date Generale'!$C$54</f>
        <v>4.7233000000000001</v>
      </c>
      <c r="F820" s="49" t="s">
        <v>3</v>
      </c>
      <c r="G820" s="50" t="str">
        <f>'Date Generale'!$D$54</f>
        <v>21,06,2019</v>
      </c>
    </row>
    <row r="821" spans="1:7" ht="15.75" thickBot="1">
      <c r="A821" s="688" t="s">
        <v>4</v>
      </c>
      <c r="B821" s="688" t="s">
        <v>5</v>
      </c>
      <c r="C821" s="689" t="s">
        <v>160</v>
      </c>
      <c r="D821" s="689"/>
      <c r="E821" s="372" t="s">
        <v>7</v>
      </c>
      <c r="F821" s="689" t="s">
        <v>159</v>
      </c>
      <c r="G821" s="689"/>
    </row>
    <row r="822" spans="1:7" ht="15.75" thickBot="1">
      <c r="A822" s="688"/>
      <c r="B822" s="688"/>
      <c r="C822" s="51" t="s">
        <v>9</v>
      </c>
      <c r="D822" s="51" t="s">
        <v>10</v>
      </c>
      <c r="E822" s="51" t="s">
        <v>9</v>
      </c>
      <c r="F822" s="51" t="s">
        <v>9</v>
      </c>
      <c r="G822" s="51" t="s">
        <v>10</v>
      </c>
    </row>
    <row r="823" spans="1:7" ht="15.75" thickBot="1">
      <c r="A823" s="1">
        <v>1</v>
      </c>
      <c r="B823" s="1">
        <v>2</v>
      </c>
      <c r="C823" s="1">
        <v>3</v>
      </c>
      <c r="D823" s="1">
        <v>4</v>
      </c>
      <c r="E823" s="1">
        <v>5</v>
      </c>
      <c r="F823" s="1">
        <v>6</v>
      </c>
      <c r="G823" s="1">
        <v>7</v>
      </c>
    </row>
    <row r="824" spans="1:7" ht="15.75" thickBot="1">
      <c r="A824" s="683" t="s">
        <v>11</v>
      </c>
      <c r="B824" s="684"/>
      <c r="C824" s="119"/>
      <c r="D824" s="119"/>
      <c r="E824" s="119"/>
      <c r="F824" s="119"/>
      <c r="G824" s="120"/>
    </row>
    <row r="825" spans="1:7">
      <c r="A825" s="162" t="s">
        <v>12</v>
      </c>
      <c r="B825" s="116" t="s">
        <v>13</v>
      </c>
      <c r="C825" s="117">
        <f>'Devize obiecte evaluari'!F1818</f>
        <v>0</v>
      </c>
      <c r="D825" s="117">
        <f>'Devize obiecte evaluari'!G1314</f>
        <v>0</v>
      </c>
      <c r="E825" s="117">
        <f>'Devize obiecte evaluari'!H1314</f>
        <v>0</v>
      </c>
      <c r="F825" s="117">
        <f>'Devize obiecte evaluari'!I1314</f>
        <v>0</v>
      </c>
      <c r="G825" s="118">
        <f>'Devize obiecte evaluari'!J1314</f>
        <v>0</v>
      </c>
    </row>
    <row r="826" spans="1:7">
      <c r="A826" s="74" t="s">
        <v>14</v>
      </c>
      <c r="B826" s="2" t="s">
        <v>15</v>
      </c>
      <c r="C826" s="54">
        <f>'Devize obiecte evaluari'!F1821</f>
        <v>0</v>
      </c>
      <c r="D826" s="54">
        <f>'Devize obiecte evaluari'!G1317</f>
        <v>0</v>
      </c>
      <c r="E826" s="54">
        <f>'Devize obiecte evaluari'!H1317</f>
        <v>0</v>
      </c>
      <c r="F826" s="54">
        <f>'Devize obiecte evaluari'!I1317</f>
        <v>0</v>
      </c>
      <c r="G826" s="55">
        <f>'Devize obiecte evaluari'!J1317</f>
        <v>0</v>
      </c>
    </row>
    <row r="827" spans="1:7">
      <c r="A827" s="74" t="s">
        <v>16</v>
      </c>
      <c r="B827" s="2" t="s">
        <v>17</v>
      </c>
      <c r="C827" s="52">
        <f>'Devize obiecte evaluari'!F1824</f>
        <v>0</v>
      </c>
      <c r="D827" s="52">
        <f>'Devize obiecte evaluari'!G1320</f>
        <v>0</v>
      </c>
      <c r="E827" s="52">
        <f>'Devize obiecte evaluari'!H1320</f>
        <v>0</v>
      </c>
      <c r="F827" s="52">
        <f>'Devize obiecte evaluari'!I1320</f>
        <v>0</v>
      </c>
      <c r="G827" s="53">
        <f>'Devize obiecte evaluari'!J1320</f>
        <v>0</v>
      </c>
    </row>
    <row r="828" spans="1:7">
      <c r="A828" s="74" t="s">
        <v>18</v>
      </c>
      <c r="B828" s="2" t="s">
        <v>19</v>
      </c>
      <c r="C828" s="52">
        <f>'Devize obiecte evaluari'!F1827</f>
        <v>0</v>
      </c>
      <c r="D828" s="52">
        <f>'Devize obiecte evaluari'!G1323</f>
        <v>0</v>
      </c>
      <c r="E828" s="52">
        <f>'Devize obiecte evaluari'!H1323</f>
        <v>0</v>
      </c>
      <c r="F828" s="52">
        <f>'Devize obiecte evaluari'!I1323</f>
        <v>0</v>
      </c>
      <c r="G828" s="53">
        <f>'Devize obiecte evaluari'!J1323</f>
        <v>0</v>
      </c>
    </row>
    <row r="829" spans="1:7">
      <c r="A829" s="74" t="s">
        <v>20</v>
      </c>
      <c r="B829" s="2" t="s">
        <v>21</v>
      </c>
      <c r="C829" s="52">
        <f>'Devize obiecte evaluari'!F1842</f>
        <v>0</v>
      </c>
      <c r="D829" s="52">
        <f>'Devize obiecte evaluari'!G1338</f>
        <v>0</v>
      </c>
      <c r="E829" s="52">
        <f>'Devize obiecte evaluari'!H1338</f>
        <v>0</v>
      </c>
      <c r="F829" s="52">
        <f>'Devize obiecte evaluari'!I1338</f>
        <v>0</v>
      </c>
      <c r="G829" s="53">
        <f>'Devize obiecte evaluari'!J1338</f>
        <v>0</v>
      </c>
    </row>
    <row r="830" spans="1:7" ht="25.5">
      <c r="A830" s="74" t="s">
        <v>22</v>
      </c>
      <c r="B830" s="2" t="s">
        <v>23</v>
      </c>
      <c r="C830" s="36">
        <f>'Devize obiecte evaluari'!F1845</f>
        <v>0</v>
      </c>
      <c r="D830" s="36">
        <f>'Devize obiecte evaluari'!G1341</f>
        <v>0</v>
      </c>
      <c r="E830" s="36">
        <f>'Devize obiecte evaluari'!H1341</f>
        <v>0</v>
      </c>
      <c r="F830" s="36">
        <f>'Devize obiecte evaluari'!I1341</f>
        <v>0</v>
      </c>
      <c r="G830" s="37">
        <f>'Devize obiecte evaluari'!J1341</f>
        <v>0</v>
      </c>
    </row>
    <row r="831" spans="1:7">
      <c r="A831" s="74" t="s">
        <v>24</v>
      </c>
      <c r="B831" s="2" t="s">
        <v>25</v>
      </c>
      <c r="C831" s="52">
        <f>'Devize obiecte evaluari'!F1848</f>
        <v>0</v>
      </c>
      <c r="D831" s="52">
        <f>'Devize obiecte evaluari'!G1344</f>
        <v>0</v>
      </c>
      <c r="E831" s="52">
        <f>'Devize obiecte evaluari'!H1344</f>
        <v>0</v>
      </c>
      <c r="F831" s="52">
        <f>'Devize obiecte evaluari'!I1344</f>
        <v>0</v>
      </c>
      <c r="G831" s="53">
        <f>'Devize obiecte evaluari'!J1344</f>
        <v>0</v>
      </c>
    </row>
    <row r="832" spans="1:7" ht="15.75" thickBot="1">
      <c r="A832" s="163" t="s">
        <v>99</v>
      </c>
      <c r="B832" s="121" t="s">
        <v>26</v>
      </c>
      <c r="C832" s="122">
        <f>'Devize obiecte evaluari'!F1851</f>
        <v>0</v>
      </c>
      <c r="D832" s="122">
        <f>'Devize obiecte evaluari'!G1347</f>
        <v>0</v>
      </c>
      <c r="E832" s="122">
        <f>'Devize obiecte evaluari'!H1347</f>
        <v>0</v>
      </c>
      <c r="F832" s="122">
        <f>'Devize obiecte evaluari'!I1347</f>
        <v>0</v>
      </c>
      <c r="G832" s="123">
        <f>'Devize obiecte evaluari'!J1347</f>
        <v>0</v>
      </c>
    </row>
    <row r="833" spans="1:7" ht="15.75" thickBot="1">
      <c r="A833" s="685" t="s">
        <v>27</v>
      </c>
      <c r="B833" s="686"/>
      <c r="C833" s="82">
        <f>SUM(C825:C832)</f>
        <v>0</v>
      </c>
      <c r="D833" s="82">
        <f>SUM(D825:D832)</f>
        <v>0</v>
      </c>
      <c r="E833" s="82">
        <f t="shared" ref="E833" si="135">SUM(E825:E832)</f>
        <v>0</v>
      </c>
      <c r="F833" s="82">
        <f>SUM(F825:F832)</f>
        <v>0</v>
      </c>
      <c r="G833" s="83">
        <f t="shared" ref="G833" si="136">SUM(G825:G832)</f>
        <v>0</v>
      </c>
    </row>
    <row r="834" spans="1:7" ht="15.75" thickBot="1">
      <c r="A834" s="683" t="s">
        <v>28</v>
      </c>
      <c r="B834" s="684"/>
      <c r="C834" s="119"/>
      <c r="D834" s="119"/>
      <c r="E834" s="119"/>
      <c r="F834" s="119"/>
      <c r="G834" s="120"/>
    </row>
    <row r="835" spans="1:7" ht="15.75" thickBot="1">
      <c r="A835" s="126"/>
      <c r="B835" s="127" t="s">
        <v>29</v>
      </c>
      <c r="C835" s="128">
        <f>'Devize obiecte evaluari'!F1856</f>
        <v>0</v>
      </c>
      <c r="D835" s="128">
        <f>'Devize obiecte evaluari'!G1352</f>
        <v>0</v>
      </c>
      <c r="E835" s="128">
        <f>'Devize obiecte evaluari'!H1352</f>
        <v>0</v>
      </c>
      <c r="F835" s="128">
        <f>'Devize obiecte evaluari'!I1352</f>
        <v>0</v>
      </c>
      <c r="G835" s="129">
        <f>'Devize obiecte evaluari'!J1352</f>
        <v>0</v>
      </c>
    </row>
    <row r="836" spans="1:7" ht="15.75" thickBot="1">
      <c r="A836" s="685" t="s">
        <v>30</v>
      </c>
      <c r="B836" s="686"/>
      <c r="C836" s="62">
        <f>C835</f>
        <v>0</v>
      </c>
      <c r="D836" s="62">
        <f>D835</f>
        <v>0</v>
      </c>
      <c r="E836" s="62">
        <f>E835</f>
        <v>0</v>
      </c>
      <c r="F836" s="62">
        <f>F835</f>
        <v>0</v>
      </c>
      <c r="G836" s="63">
        <f>G835</f>
        <v>0</v>
      </c>
    </row>
    <row r="837" spans="1:7" ht="15.75" thickBot="1">
      <c r="A837" s="683" t="s">
        <v>31</v>
      </c>
      <c r="B837" s="684"/>
      <c r="C837" s="119"/>
      <c r="D837" s="119"/>
      <c r="E837" s="119"/>
      <c r="F837" s="119"/>
      <c r="G837" s="120"/>
    </row>
    <row r="838" spans="1:7">
      <c r="A838" s="124"/>
      <c r="B838" s="125" t="s">
        <v>32</v>
      </c>
      <c r="C838" s="130">
        <f>'Devize obiecte evaluari'!F1861</f>
        <v>0</v>
      </c>
      <c r="D838" s="130">
        <f>'Devize obiecte evaluari'!G1357</f>
        <v>0</v>
      </c>
      <c r="E838" s="130">
        <f>'Devize obiecte evaluari'!H1357</f>
        <v>0</v>
      </c>
      <c r="F838" s="130">
        <f>'Devize obiecte evaluari'!I1357</f>
        <v>0</v>
      </c>
      <c r="G838" s="131">
        <f>'Devize obiecte evaluari'!J1357</f>
        <v>0</v>
      </c>
    </row>
    <row r="839" spans="1:7">
      <c r="A839" s="58"/>
      <c r="B839" s="59" t="s">
        <v>33</v>
      </c>
      <c r="C839" s="60">
        <f>'Devize obiecte evaluari'!F1864</f>
        <v>0</v>
      </c>
      <c r="D839" s="60">
        <f>'Devize obiecte evaluari'!G1360</f>
        <v>0</v>
      </c>
      <c r="E839" s="60">
        <f>'Devize obiecte evaluari'!H1360</f>
        <v>0</v>
      </c>
      <c r="F839" s="60">
        <f>'Devize obiecte evaluari'!I1360</f>
        <v>0</v>
      </c>
      <c r="G839" s="61">
        <f>'Devize obiecte evaluari'!J1360</f>
        <v>0</v>
      </c>
    </row>
    <row r="840" spans="1:7" ht="15.75" thickBot="1">
      <c r="A840" s="132"/>
      <c r="B840" s="133" t="s">
        <v>34</v>
      </c>
      <c r="C840" s="134">
        <f>'Devize obiecte evaluari'!F1867</f>
        <v>0</v>
      </c>
      <c r="D840" s="134">
        <f>'Devize obiecte evaluari'!G1363</f>
        <v>0</v>
      </c>
      <c r="E840" s="134">
        <f>'Devize obiecte evaluari'!H1363</f>
        <v>0</v>
      </c>
      <c r="F840" s="134">
        <f>'Devize obiecte evaluari'!I1363</f>
        <v>0</v>
      </c>
      <c r="G840" s="135">
        <f>'Devize obiecte evaluari'!J1363</f>
        <v>0</v>
      </c>
    </row>
    <row r="841" spans="1:7" ht="15.75" thickBot="1">
      <c r="A841" s="685" t="s">
        <v>35</v>
      </c>
      <c r="B841" s="686"/>
      <c r="C841" s="62">
        <f>SUM(C838:C840)</f>
        <v>0</v>
      </c>
      <c r="D841" s="62">
        <f t="shared" ref="D841:E841" si="137">SUM(D838:D840)</f>
        <v>0</v>
      </c>
      <c r="E841" s="62">
        <f t="shared" si="137"/>
        <v>0</v>
      </c>
      <c r="F841" s="62">
        <f>SUM(F838:F840)</f>
        <v>0</v>
      </c>
      <c r="G841" s="63">
        <f t="shared" ref="G841" si="138">SUM(G838:G840)</f>
        <v>0</v>
      </c>
    </row>
    <row r="842" spans="1:7" ht="15.75" thickBot="1">
      <c r="A842" s="685" t="s">
        <v>36</v>
      </c>
      <c r="B842" s="686"/>
      <c r="C842" s="62">
        <f>SUM(C833,C836,C841)</f>
        <v>0</v>
      </c>
      <c r="D842" s="62">
        <f t="shared" ref="D842:E842" si="139">SUM(D833,D836,D841)</f>
        <v>0</v>
      </c>
      <c r="E842" s="62">
        <f t="shared" si="139"/>
        <v>0</v>
      </c>
      <c r="F842" s="62">
        <f>SUM(F833,F836,F841)</f>
        <v>0</v>
      </c>
      <c r="G842" s="63">
        <f t="shared" ref="G842" si="140">SUM(G833,G836,G841)</f>
        <v>0</v>
      </c>
    </row>
    <row r="843" spans="1:7">
      <c r="A843" s="39"/>
      <c r="B843" s="39"/>
      <c r="C843" s="42"/>
      <c r="D843" s="42"/>
      <c r="E843" s="42"/>
      <c r="F843" s="42"/>
      <c r="G843" s="42"/>
    </row>
    <row r="844" spans="1:7">
      <c r="A844" s="42"/>
      <c r="C844" s="42"/>
      <c r="D844" s="64"/>
      <c r="E844" s="42"/>
      <c r="F844" s="42"/>
      <c r="G844" s="42"/>
    </row>
    <row r="845" spans="1:7">
      <c r="A845" s="39"/>
      <c r="B845" s="65" t="s">
        <v>37</v>
      </c>
      <c r="C845" s="39"/>
      <c r="D845" s="66"/>
      <c r="E845" s="39"/>
      <c r="F845" s="39"/>
      <c r="G845" s="39"/>
    </row>
    <row r="846" spans="1:7">
      <c r="A846" s="39"/>
      <c r="B846" s="65" t="str">
        <f>'Date Generale'!$C$7</f>
        <v>S.C. Tehno Consoulting Solutions S.R.L.</v>
      </c>
      <c r="C846" s="39"/>
      <c r="D846" s="39"/>
      <c r="E846" s="39"/>
      <c r="F846" s="39"/>
      <c r="G846" s="39"/>
    </row>
    <row r="847" spans="1:7">
      <c r="A847" s="39"/>
      <c r="B847" s="39"/>
      <c r="C847" s="39"/>
      <c r="D847" s="39"/>
      <c r="E847" s="39"/>
      <c r="F847" s="39"/>
      <c r="G847" s="39"/>
    </row>
    <row r="848" spans="1:7">
      <c r="A848" s="39"/>
      <c r="B848" s="39"/>
      <c r="C848" s="39"/>
      <c r="D848" s="39"/>
      <c r="E848" s="39"/>
      <c r="F848" s="39"/>
      <c r="G848" s="39"/>
    </row>
    <row r="849" spans="1:7">
      <c r="A849" s="67"/>
      <c r="B849" s="67"/>
      <c r="C849" s="67"/>
      <c r="D849" s="67"/>
      <c r="E849" s="67"/>
      <c r="F849" s="67"/>
      <c r="G849" s="67"/>
    </row>
    <row r="850" spans="1:7" ht="15.75">
      <c r="A850" s="41" t="str">
        <f>"Beneficiar: " &amp;'Date Generale'!$C$6</f>
        <v xml:space="preserve">Beneficiar: Judetul Arges </v>
      </c>
      <c r="B850" s="41"/>
      <c r="C850" s="42"/>
      <c r="D850" s="42"/>
      <c r="E850" s="42"/>
      <c r="F850" s="42"/>
      <c r="G850" s="42"/>
    </row>
    <row r="851" spans="1:7" ht="15.75">
      <c r="A851" s="41" t="str">
        <f>"Denumire proiect: " &amp; 'Date Generale'!$C$3</f>
        <v>Denumire proiect: Modernizare DJ 703B Serbanesti (DJ659) - Silistea, km 70+410 - 77+826, 7.416km, in comunele Rociu si Cateasca</v>
      </c>
      <c r="B851" s="41"/>
      <c r="C851" s="43"/>
      <c r="D851" s="43"/>
      <c r="E851" s="43"/>
      <c r="F851" s="43"/>
      <c r="G851" s="43"/>
    </row>
    <row r="852" spans="1:7" ht="15.75">
      <c r="A852" s="41"/>
      <c r="B852" s="41"/>
      <c r="C852" s="44"/>
      <c r="D852" s="44"/>
      <c r="E852" s="44"/>
      <c r="F852" s="44"/>
      <c r="G852" s="44"/>
    </row>
    <row r="853" spans="1:7">
      <c r="A853" s="687" t="str">
        <f>"Devizul Obiectului: " &amp;'Date Generale'!$E$85</f>
        <v>Devizul Obiectului: Obiect 025:0</v>
      </c>
      <c r="B853" s="687"/>
      <c r="C853" s="687"/>
      <c r="D853" s="687"/>
      <c r="E853" s="687"/>
      <c r="F853" s="687"/>
      <c r="G853" s="687"/>
    </row>
    <row r="854" spans="1:7">
      <c r="A854" s="371"/>
      <c r="B854" s="371"/>
      <c r="C854" s="371"/>
      <c r="D854" s="371"/>
      <c r="E854" s="371"/>
      <c r="F854" s="371"/>
      <c r="G854" s="371"/>
    </row>
    <row r="855" spans="1:7" ht="15.75" thickBot="1">
      <c r="A855" s="45"/>
      <c r="B855" s="46"/>
      <c r="C855" s="33"/>
      <c r="D855" s="47" t="s">
        <v>2</v>
      </c>
      <c r="E855" s="48">
        <f>'Date Generale'!$C$54</f>
        <v>4.7233000000000001</v>
      </c>
      <c r="F855" s="49" t="s">
        <v>3</v>
      </c>
      <c r="G855" s="50" t="str">
        <f>'Date Generale'!$D$54</f>
        <v>21,06,2019</v>
      </c>
    </row>
    <row r="856" spans="1:7" ht="15.75" thickBot="1">
      <c r="A856" s="688" t="s">
        <v>4</v>
      </c>
      <c r="B856" s="688" t="s">
        <v>5</v>
      </c>
      <c r="C856" s="689" t="s">
        <v>160</v>
      </c>
      <c r="D856" s="689"/>
      <c r="E856" s="372" t="s">
        <v>7</v>
      </c>
      <c r="F856" s="689" t="s">
        <v>159</v>
      </c>
      <c r="G856" s="689"/>
    </row>
    <row r="857" spans="1:7" ht="15.75" thickBot="1">
      <c r="A857" s="688"/>
      <c r="B857" s="688"/>
      <c r="C857" s="51" t="s">
        <v>9</v>
      </c>
      <c r="D857" s="51" t="s">
        <v>10</v>
      </c>
      <c r="E857" s="51" t="s">
        <v>9</v>
      </c>
      <c r="F857" s="51" t="s">
        <v>9</v>
      </c>
      <c r="G857" s="51" t="s">
        <v>10</v>
      </c>
    </row>
    <row r="858" spans="1:7" ht="15.75" thickBot="1">
      <c r="A858" s="1">
        <v>1</v>
      </c>
      <c r="B858" s="1">
        <v>2</v>
      </c>
      <c r="C858" s="1">
        <v>3</v>
      </c>
      <c r="D858" s="1">
        <v>4</v>
      </c>
      <c r="E858" s="1">
        <v>5</v>
      </c>
      <c r="F858" s="1">
        <v>6</v>
      </c>
      <c r="G858" s="1">
        <v>7</v>
      </c>
    </row>
    <row r="859" spans="1:7" ht="15.75" thickBot="1">
      <c r="A859" s="683" t="s">
        <v>11</v>
      </c>
      <c r="B859" s="684"/>
      <c r="C859" s="119"/>
      <c r="D859" s="119"/>
      <c r="E859" s="119"/>
      <c r="F859" s="119"/>
      <c r="G859" s="120"/>
    </row>
    <row r="860" spans="1:7">
      <c r="A860" s="162" t="s">
        <v>12</v>
      </c>
      <c r="B860" s="116" t="s">
        <v>13</v>
      </c>
      <c r="C860" s="378">
        <f>'Devize obiecte evaluari'!F1890</f>
        <v>0</v>
      </c>
      <c r="D860" s="378">
        <f>'Devize obiecte evaluari'!G1890</f>
        <v>0</v>
      </c>
      <c r="E860" s="378">
        <f>'Devize obiecte evaluari'!H1890</f>
        <v>0</v>
      </c>
      <c r="F860" s="378">
        <f>'Devize obiecte evaluari'!I1890</f>
        <v>0</v>
      </c>
      <c r="G860" s="379">
        <f>'Devize obiecte evaluari'!J1890</f>
        <v>0</v>
      </c>
    </row>
    <row r="861" spans="1:7">
      <c r="A861" s="74" t="s">
        <v>14</v>
      </c>
      <c r="B861" s="2" t="s">
        <v>15</v>
      </c>
      <c r="C861" s="54">
        <f>'Devize obiecte evaluari'!F1893</f>
        <v>0</v>
      </c>
      <c r="D861" s="54">
        <f>'Devize obiecte evaluari'!G1893</f>
        <v>0</v>
      </c>
      <c r="E861" s="54">
        <f>'Devize obiecte evaluari'!H1893</f>
        <v>0</v>
      </c>
      <c r="F861" s="54">
        <f>'Devize obiecte evaluari'!I1893</f>
        <v>0</v>
      </c>
      <c r="G861" s="55">
        <f>'Devize obiecte evaluari'!J1893</f>
        <v>0</v>
      </c>
    </row>
    <row r="862" spans="1:7">
      <c r="A862" s="74" t="s">
        <v>16</v>
      </c>
      <c r="B862" s="2" t="s">
        <v>17</v>
      </c>
      <c r="C862" s="52">
        <f>'Devize obiecte evaluari'!F1896</f>
        <v>0</v>
      </c>
      <c r="D862" s="52">
        <f>'Devize obiecte evaluari'!G1896</f>
        <v>0</v>
      </c>
      <c r="E862" s="52">
        <f>'Devize obiecte evaluari'!H1896</f>
        <v>0</v>
      </c>
      <c r="F862" s="52">
        <f>'Devize obiecte evaluari'!I1896</f>
        <v>0</v>
      </c>
      <c r="G862" s="53">
        <f>'Devize obiecte evaluari'!J1896</f>
        <v>0</v>
      </c>
    </row>
    <row r="863" spans="1:7">
      <c r="A863" s="74" t="s">
        <v>18</v>
      </c>
      <c r="B863" s="2" t="s">
        <v>19</v>
      </c>
      <c r="C863" s="52">
        <f>'Devize obiecte evaluari'!F1899</f>
        <v>0</v>
      </c>
      <c r="D863" s="52">
        <f>'Devize obiecte evaluari'!G1899</f>
        <v>0</v>
      </c>
      <c r="E863" s="52">
        <f>'Devize obiecte evaluari'!H1899</f>
        <v>0</v>
      </c>
      <c r="F863" s="52">
        <f>'Devize obiecte evaluari'!I1899</f>
        <v>0</v>
      </c>
      <c r="G863" s="53">
        <f>'Devize obiecte evaluari'!J1899</f>
        <v>0</v>
      </c>
    </row>
    <row r="864" spans="1:7">
      <c r="A864" s="74" t="s">
        <v>20</v>
      </c>
      <c r="B864" s="2" t="s">
        <v>21</v>
      </c>
      <c r="C864" s="52">
        <f>'Devize obiecte evaluari'!F1914</f>
        <v>0</v>
      </c>
      <c r="D864" s="52">
        <f>'Devize obiecte evaluari'!G1914</f>
        <v>0</v>
      </c>
      <c r="E864" s="52">
        <f>'Devize obiecte evaluari'!H1914</f>
        <v>0</v>
      </c>
      <c r="F864" s="52">
        <f>'Devize obiecte evaluari'!I1914</f>
        <v>0</v>
      </c>
      <c r="G864" s="53">
        <f>'Devize obiecte evaluari'!J1914</f>
        <v>0</v>
      </c>
    </row>
    <row r="865" spans="1:7" ht="25.5">
      <c r="A865" s="74" t="s">
        <v>22</v>
      </c>
      <c r="B865" s="2" t="s">
        <v>23</v>
      </c>
      <c r="C865" s="36">
        <f>'Devize obiecte evaluari'!F1917</f>
        <v>0</v>
      </c>
      <c r="D865" s="36">
        <f>'Devize obiecte evaluari'!G1917</f>
        <v>0</v>
      </c>
      <c r="E865" s="36">
        <f>'Devize obiecte evaluari'!H1917</f>
        <v>0</v>
      </c>
      <c r="F865" s="36">
        <f>'Devize obiecte evaluari'!I1917</f>
        <v>0</v>
      </c>
      <c r="G865" s="37">
        <f>'Devize obiecte evaluari'!J1917</f>
        <v>0</v>
      </c>
    </row>
    <row r="866" spans="1:7">
      <c r="A866" s="74" t="s">
        <v>24</v>
      </c>
      <c r="B866" s="2" t="s">
        <v>25</v>
      </c>
      <c r="C866" s="52">
        <f>'Devize obiecte evaluari'!F1920</f>
        <v>0</v>
      </c>
      <c r="D866" s="52">
        <f>'Devize obiecte evaluari'!G1920</f>
        <v>0</v>
      </c>
      <c r="E866" s="52">
        <f>'Devize obiecte evaluari'!H1920</f>
        <v>0</v>
      </c>
      <c r="F866" s="52">
        <f>'Devize obiecte evaluari'!I1920</f>
        <v>0</v>
      </c>
      <c r="G866" s="53">
        <f>'Devize obiecte evaluari'!J1920</f>
        <v>0</v>
      </c>
    </row>
    <row r="867" spans="1:7" ht="15.75" thickBot="1">
      <c r="A867" s="163" t="s">
        <v>99</v>
      </c>
      <c r="B867" s="121" t="s">
        <v>26</v>
      </c>
      <c r="C867" s="380">
        <f>'Devize obiecte evaluari'!F1923</f>
        <v>0</v>
      </c>
      <c r="D867" s="380">
        <f>'Devize obiecte evaluari'!G1923</f>
        <v>0</v>
      </c>
      <c r="E867" s="380">
        <f>'Devize obiecte evaluari'!H1923</f>
        <v>0</v>
      </c>
      <c r="F867" s="380">
        <f>'Devize obiecte evaluari'!I1923</f>
        <v>0</v>
      </c>
      <c r="G867" s="381">
        <f>'Devize obiecte evaluari'!J1923</f>
        <v>0</v>
      </c>
    </row>
    <row r="868" spans="1:7" ht="15.75" thickBot="1">
      <c r="A868" s="685" t="s">
        <v>27</v>
      </c>
      <c r="B868" s="686"/>
      <c r="C868" s="82">
        <f>SUM(C860:C867)</f>
        <v>0</v>
      </c>
      <c r="D868" s="82">
        <f t="shared" ref="D868:E868" si="141">SUM(D860:D867)</f>
        <v>0</v>
      </c>
      <c r="E868" s="82">
        <f t="shared" si="141"/>
        <v>0</v>
      </c>
      <c r="F868" s="82">
        <f>SUM(F860:F867)</f>
        <v>0</v>
      </c>
      <c r="G868" s="83">
        <f t="shared" ref="G868" si="142">SUM(G860:G867)</f>
        <v>0</v>
      </c>
    </row>
    <row r="869" spans="1:7" ht="15.75" thickBot="1">
      <c r="A869" s="683" t="s">
        <v>28</v>
      </c>
      <c r="B869" s="684"/>
      <c r="C869" s="119"/>
      <c r="D869" s="119"/>
      <c r="E869" s="119"/>
      <c r="F869" s="119"/>
      <c r="G869" s="120"/>
    </row>
    <row r="870" spans="1:7" ht="15.75" thickBot="1">
      <c r="A870" s="126"/>
      <c r="B870" s="127" t="s">
        <v>29</v>
      </c>
      <c r="C870" s="128">
        <f>'Devize obiecte evaluari'!F1928</f>
        <v>0</v>
      </c>
      <c r="D870" s="128">
        <f>'Devize obiecte evaluari'!G1928</f>
        <v>0</v>
      </c>
      <c r="E870" s="128">
        <f>'Devize obiecte evaluari'!H1928</f>
        <v>0</v>
      </c>
      <c r="F870" s="128">
        <f>'Devize obiecte evaluari'!I1928</f>
        <v>0</v>
      </c>
      <c r="G870" s="129">
        <f>'Devize obiecte evaluari'!J1928</f>
        <v>0</v>
      </c>
    </row>
    <row r="871" spans="1:7" ht="15.75" thickBot="1">
      <c r="A871" s="685" t="s">
        <v>30</v>
      </c>
      <c r="B871" s="686"/>
      <c r="C871" s="62">
        <f>C870</f>
        <v>0</v>
      </c>
      <c r="D871" s="62">
        <f>D870</f>
        <v>0</v>
      </c>
      <c r="E871" s="62">
        <f>E870</f>
        <v>0</v>
      </c>
      <c r="F871" s="62">
        <f>F870</f>
        <v>0</v>
      </c>
      <c r="G871" s="63">
        <f>G870</f>
        <v>0</v>
      </c>
    </row>
    <row r="872" spans="1:7" ht="15.75" thickBot="1">
      <c r="A872" s="683" t="s">
        <v>31</v>
      </c>
      <c r="B872" s="684"/>
      <c r="C872" s="119"/>
      <c r="D872" s="119"/>
      <c r="E872" s="119"/>
      <c r="F872" s="119"/>
      <c r="G872" s="120"/>
    </row>
    <row r="873" spans="1:7">
      <c r="A873" s="124"/>
      <c r="B873" s="125" t="s">
        <v>32</v>
      </c>
      <c r="C873" s="382">
        <f>'Devize obiecte evaluari'!F1933</f>
        <v>0</v>
      </c>
      <c r="D873" s="382">
        <f>'Devize obiecte evaluari'!G1933</f>
        <v>0</v>
      </c>
      <c r="E873" s="382">
        <f>'Devize obiecte evaluari'!H1933</f>
        <v>0</v>
      </c>
      <c r="F873" s="382">
        <f>'Devize obiecte evaluari'!I1933</f>
        <v>0</v>
      </c>
      <c r="G873" s="383">
        <f>'Devize obiecte evaluari'!J1933</f>
        <v>0</v>
      </c>
    </row>
    <row r="874" spans="1:7">
      <c r="A874" s="58"/>
      <c r="B874" s="59" t="s">
        <v>33</v>
      </c>
      <c r="C874" s="60">
        <f>'Devize obiecte evaluari'!F1936</f>
        <v>0</v>
      </c>
      <c r="D874" s="60">
        <f>'Devize obiecte evaluari'!G1936</f>
        <v>0</v>
      </c>
      <c r="E874" s="60">
        <f>'Devize obiecte evaluari'!H1936</f>
        <v>0</v>
      </c>
      <c r="F874" s="60">
        <f>'Devize obiecte evaluari'!I1936</f>
        <v>0</v>
      </c>
      <c r="G874" s="61">
        <f>'Devize obiecte evaluari'!J1936</f>
        <v>0</v>
      </c>
    </row>
    <row r="875" spans="1:7" ht="15.75" thickBot="1">
      <c r="A875" s="132"/>
      <c r="B875" s="133" t="s">
        <v>34</v>
      </c>
      <c r="C875" s="384">
        <f>'Devize obiecte evaluari'!F1939</f>
        <v>0</v>
      </c>
      <c r="D875" s="384">
        <f>'Devize obiecte evaluari'!G1939</f>
        <v>0</v>
      </c>
      <c r="E875" s="384">
        <f>'Devize obiecte evaluari'!H1939</f>
        <v>0</v>
      </c>
      <c r="F875" s="384">
        <f>'Devize obiecte evaluari'!I1939</f>
        <v>0</v>
      </c>
      <c r="G875" s="385">
        <f>'Devize obiecte evaluari'!J1939</f>
        <v>0</v>
      </c>
    </row>
    <row r="876" spans="1:7" ht="15.75" thickBot="1">
      <c r="A876" s="685" t="s">
        <v>35</v>
      </c>
      <c r="B876" s="686"/>
      <c r="C876" s="62">
        <f>SUM(C873:C875)</f>
        <v>0</v>
      </c>
      <c r="D876" s="62">
        <f t="shared" ref="D876:E876" si="143">SUM(D873:D875)</f>
        <v>0</v>
      </c>
      <c r="E876" s="62">
        <f t="shared" si="143"/>
        <v>0</v>
      </c>
      <c r="F876" s="62">
        <f>SUM(F873:F875)</f>
        <v>0</v>
      </c>
      <c r="G876" s="63">
        <f t="shared" ref="G876" si="144">SUM(G873:G875)</f>
        <v>0</v>
      </c>
    </row>
    <row r="877" spans="1:7" ht="15.75" thickBot="1">
      <c r="A877" s="685" t="s">
        <v>36</v>
      </c>
      <c r="B877" s="686"/>
      <c r="C877" s="62">
        <f>SUM(C868,C871,C876)</f>
        <v>0</v>
      </c>
      <c r="D877" s="62">
        <f t="shared" ref="D877:E877" si="145">SUM(D868,D871,D876)</f>
        <v>0</v>
      </c>
      <c r="E877" s="62">
        <f t="shared" si="145"/>
        <v>0</v>
      </c>
      <c r="F877" s="62">
        <f>SUM(F868,F871,F876)</f>
        <v>0</v>
      </c>
      <c r="G877" s="63">
        <f t="shared" ref="G877" si="146">SUM(G868,G871,G876)</f>
        <v>0</v>
      </c>
    </row>
    <row r="878" spans="1:7">
      <c r="A878" s="39"/>
      <c r="B878" s="39"/>
      <c r="C878" s="42"/>
      <c r="D878" s="42"/>
      <c r="E878" s="42"/>
      <c r="F878" s="42"/>
      <c r="G878" s="42"/>
    </row>
    <row r="879" spans="1:7">
      <c r="A879" s="42"/>
      <c r="C879" s="42"/>
      <c r="D879" s="64"/>
      <c r="E879" s="42"/>
      <c r="F879" s="42"/>
      <c r="G879" s="42"/>
    </row>
    <row r="880" spans="1:7">
      <c r="A880" s="39"/>
      <c r="B880" s="65" t="s">
        <v>37</v>
      </c>
      <c r="C880" s="39"/>
      <c r="D880" s="66"/>
      <c r="E880" s="39"/>
      <c r="F880" s="39"/>
      <c r="G880" s="39"/>
    </row>
    <row r="881" spans="1:7">
      <c r="A881" s="39"/>
      <c r="B881" s="65" t="str">
        <f>'Date Generale'!$C$7</f>
        <v>S.C. Tehno Consoulting Solutions S.R.L.</v>
      </c>
      <c r="C881" s="39"/>
      <c r="D881" s="39"/>
      <c r="E881" s="39"/>
      <c r="F881" s="39"/>
      <c r="G881" s="39"/>
    </row>
    <row r="882" spans="1:7">
      <c r="A882" s="39"/>
      <c r="B882" s="39"/>
      <c r="C882" s="39"/>
      <c r="D882" s="39"/>
      <c r="E882" s="39"/>
      <c r="F882" s="39"/>
      <c r="G882" s="39"/>
    </row>
    <row r="883" spans="1:7">
      <c r="A883" s="39"/>
      <c r="B883" s="39"/>
      <c r="C883" s="39"/>
      <c r="D883" s="39"/>
      <c r="E883" s="39"/>
      <c r="F883" s="39"/>
      <c r="G883" s="39"/>
    </row>
    <row r="884" spans="1:7">
      <c r="A884" s="67"/>
      <c r="B884" s="67"/>
      <c r="C884" s="67"/>
      <c r="D884" s="67"/>
      <c r="E884" s="67"/>
      <c r="F884" s="67"/>
      <c r="G884" s="67"/>
    </row>
    <row r="885" spans="1:7" ht="15.75">
      <c r="A885" s="41" t="str">
        <f>"Beneficiar: " &amp;'Date Generale'!$C$6</f>
        <v xml:space="preserve">Beneficiar: Judetul Arges </v>
      </c>
      <c r="B885" s="41"/>
      <c r="C885" s="42"/>
      <c r="D885" s="42"/>
      <c r="E885" s="42"/>
      <c r="F885" s="42"/>
      <c r="G885" s="42"/>
    </row>
    <row r="886" spans="1:7" ht="15.75">
      <c r="A886" s="41" t="str">
        <f>"Denumire proiect: " &amp; 'Date Generale'!$C$3</f>
        <v>Denumire proiect: Modernizare DJ 703B Serbanesti (DJ659) - Silistea, km 70+410 - 77+826, 7.416km, in comunele Rociu si Cateasca</v>
      </c>
      <c r="B886" s="41"/>
      <c r="C886" s="43"/>
      <c r="D886" s="43"/>
      <c r="E886" s="43"/>
      <c r="F886" s="43"/>
      <c r="G886" s="43"/>
    </row>
    <row r="887" spans="1:7" ht="15.75">
      <c r="A887" s="41"/>
      <c r="B887" s="41"/>
      <c r="C887" s="44"/>
      <c r="D887" s="44"/>
      <c r="E887" s="44"/>
      <c r="F887" s="44"/>
      <c r="G887" s="44"/>
    </row>
    <row r="888" spans="1:7">
      <c r="A888" s="687" t="str">
        <f>"Devizul Obiectului: " &amp;'Date Generale'!$E$86</f>
        <v>Devizul Obiectului: Obiect 026:0</v>
      </c>
      <c r="B888" s="687"/>
      <c r="C888" s="687"/>
      <c r="D888" s="687"/>
      <c r="E888" s="687"/>
      <c r="F888" s="687"/>
      <c r="G888" s="687"/>
    </row>
    <row r="889" spans="1:7">
      <c r="A889" s="371"/>
      <c r="B889" s="371"/>
      <c r="C889" s="371"/>
      <c r="D889" s="371"/>
      <c r="E889" s="371"/>
      <c r="F889" s="371"/>
      <c r="G889" s="371"/>
    </row>
    <row r="890" spans="1:7" ht="15.75" thickBot="1">
      <c r="A890" s="45"/>
      <c r="B890" s="46"/>
      <c r="C890" s="33"/>
      <c r="D890" s="47" t="s">
        <v>2</v>
      </c>
      <c r="E890" s="48">
        <f>'Date Generale'!$C$54</f>
        <v>4.7233000000000001</v>
      </c>
      <c r="F890" s="49" t="s">
        <v>3</v>
      </c>
      <c r="G890" s="50" t="str">
        <f>'Date Generale'!$D$54</f>
        <v>21,06,2019</v>
      </c>
    </row>
    <row r="891" spans="1:7" ht="15.75" thickBot="1">
      <c r="A891" s="688" t="s">
        <v>4</v>
      </c>
      <c r="B891" s="688" t="s">
        <v>5</v>
      </c>
      <c r="C891" s="689" t="s">
        <v>160</v>
      </c>
      <c r="D891" s="689"/>
      <c r="E891" s="372" t="s">
        <v>7</v>
      </c>
      <c r="F891" s="689" t="s">
        <v>159</v>
      </c>
      <c r="G891" s="689"/>
    </row>
    <row r="892" spans="1:7" ht="15.75" thickBot="1">
      <c r="A892" s="688"/>
      <c r="B892" s="688"/>
      <c r="C892" s="51" t="s">
        <v>9</v>
      </c>
      <c r="D892" s="51" t="s">
        <v>10</v>
      </c>
      <c r="E892" s="51" t="s">
        <v>9</v>
      </c>
      <c r="F892" s="51" t="s">
        <v>9</v>
      </c>
      <c r="G892" s="51" t="s">
        <v>10</v>
      </c>
    </row>
    <row r="893" spans="1:7" ht="15.75" thickBot="1">
      <c r="A893" s="1">
        <v>1</v>
      </c>
      <c r="B893" s="1">
        <v>2</v>
      </c>
      <c r="C893" s="1">
        <v>3</v>
      </c>
      <c r="D893" s="1">
        <v>4</v>
      </c>
      <c r="E893" s="1">
        <v>5</v>
      </c>
      <c r="F893" s="1">
        <v>6</v>
      </c>
      <c r="G893" s="1">
        <v>7</v>
      </c>
    </row>
    <row r="894" spans="1:7" ht="15.75" thickBot="1">
      <c r="A894" s="683" t="s">
        <v>11</v>
      </c>
      <c r="B894" s="684"/>
      <c r="C894" s="119"/>
      <c r="D894" s="119"/>
      <c r="E894" s="119"/>
      <c r="F894" s="119"/>
      <c r="G894" s="120"/>
    </row>
    <row r="895" spans="1:7">
      <c r="A895" s="162" t="s">
        <v>12</v>
      </c>
      <c r="B895" s="116" t="s">
        <v>13</v>
      </c>
      <c r="C895" s="117">
        <f>'Devize obiecte evaluari'!F1962</f>
        <v>0</v>
      </c>
      <c r="D895" s="117">
        <f>'Devize obiecte evaluari'!G1386</f>
        <v>0</v>
      </c>
      <c r="E895" s="117">
        <f>'Devize obiecte evaluari'!H1386</f>
        <v>0</v>
      </c>
      <c r="F895" s="117">
        <f>'Devize obiecte evaluari'!I1386</f>
        <v>0</v>
      </c>
      <c r="G895" s="118">
        <f>'Devize obiecte evaluari'!J1386</f>
        <v>0</v>
      </c>
    </row>
    <row r="896" spans="1:7">
      <c r="A896" s="74" t="s">
        <v>14</v>
      </c>
      <c r="B896" s="2" t="s">
        <v>15</v>
      </c>
      <c r="C896" s="54">
        <f>'Devize obiecte evaluari'!F1965</f>
        <v>0</v>
      </c>
      <c r="D896" s="54">
        <f>'Devize obiecte evaluari'!G1389</f>
        <v>0</v>
      </c>
      <c r="E896" s="54">
        <f>'Devize obiecte evaluari'!H1389</f>
        <v>0</v>
      </c>
      <c r="F896" s="54">
        <f>'Devize obiecte evaluari'!I1389</f>
        <v>0</v>
      </c>
      <c r="G896" s="55">
        <f>'Devize obiecte evaluari'!J1389</f>
        <v>0</v>
      </c>
    </row>
    <row r="897" spans="1:7">
      <c r="A897" s="74" t="s">
        <v>16</v>
      </c>
      <c r="B897" s="2" t="s">
        <v>17</v>
      </c>
      <c r="C897" s="52">
        <f>'Devize obiecte evaluari'!F1968</f>
        <v>0</v>
      </c>
      <c r="D897" s="52">
        <f>'Devize obiecte evaluari'!G1392</f>
        <v>0</v>
      </c>
      <c r="E897" s="52">
        <f>'Devize obiecte evaluari'!H1392</f>
        <v>0</v>
      </c>
      <c r="F897" s="52">
        <f>'Devize obiecte evaluari'!I1392</f>
        <v>0</v>
      </c>
      <c r="G897" s="53">
        <f>'Devize obiecte evaluari'!J1392</f>
        <v>0</v>
      </c>
    </row>
    <row r="898" spans="1:7">
      <c r="A898" s="74" t="s">
        <v>18</v>
      </c>
      <c r="B898" s="2" t="s">
        <v>19</v>
      </c>
      <c r="C898" s="52">
        <f>'Devize obiecte evaluari'!F1971</f>
        <v>0</v>
      </c>
      <c r="D898" s="52">
        <f>'Devize obiecte evaluari'!G1395</f>
        <v>0</v>
      </c>
      <c r="E898" s="52">
        <f>'Devize obiecte evaluari'!H1395</f>
        <v>0</v>
      </c>
      <c r="F898" s="52">
        <f>'Devize obiecte evaluari'!I1395</f>
        <v>0</v>
      </c>
      <c r="G898" s="53">
        <f>'Devize obiecte evaluari'!J1395</f>
        <v>0</v>
      </c>
    </row>
    <row r="899" spans="1:7">
      <c r="A899" s="74" t="s">
        <v>20</v>
      </c>
      <c r="B899" s="2" t="s">
        <v>21</v>
      </c>
      <c r="C899" s="52">
        <f>'Devize obiecte evaluari'!F1986</f>
        <v>0</v>
      </c>
      <c r="D899" s="52">
        <f>'Devize obiecte evaluari'!G1410</f>
        <v>0</v>
      </c>
      <c r="E899" s="52">
        <f>'Devize obiecte evaluari'!H1410</f>
        <v>0</v>
      </c>
      <c r="F899" s="52">
        <f>'Devize obiecte evaluari'!I1410</f>
        <v>0</v>
      </c>
      <c r="G899" s="53">
        <f>'Devize obiecte evaluari'!J1410</f>
        <v>0</v>
      </c>
    </row>
    <row r="900" spans="1:7" ht="25.5">
      <c r="A900" s="74" t="s">
        <v>22</v>
      </c>
      <c r="B900" s="2" t="s">
        <v>23</v>
      </c>
      <c r="C900" s="36">
        <f>'Devize obiecte evaluari'!F1989</f>
        <v>0</v>
      </c>
      <c r="D900" s="36">
        <f>'Devize obiecte evaluari'!G1413</f>
        <v>0</v>
      </c>
      <c r="E900" s="36">
        <f>'Devize obiecte evaluari'!H1413</f>
        <v>0</v>
      </c>
      <c r="F900" s="36">
        <f>'Devize obiecte evaluari'!I1413</f>
        <v>0</v>
      </c>
      <c r="G900" s="37">
        <f>'Devize obiecte evaluari'!J1413</f>
        <v>0</v>
      </c>
    </row>
    <row r="901" spans="1:7">
      <c r="A901" s="74" t="s">
        <v>24</v>
      </c>
      <c r="B901" s="2" t="s">
        <v>25</v>
      </c>
      <c r="C901" s="52">
        <f>'Devize obiecte evaluari'!F1992</f>
        <v>0</v>
      </c>
      <c r="D901" s="52">
        <f>'Devize obiecte evaluari'!G1416</f>
        <v>0</v>
      </c>
      <c r="E901" s="52">
        <f>'Devize obiecte evaluari'!H1416</f>
        <v>0</v>
      </c>
      <c r="F901" s="52">
        <f>'Devize obiecte evaluari'!I1416</f>
        <v>0</v>
      </c>
      <c r="G901" s="53">
        <f>'Devize obiecte evaluari'!J1416</f>
        <v>0</v>
      </c>
    </row>
    <row r="902" spans="1:7" ht="15.75" thickBot="1">
      <c r="A902" s="163" t="s">
        <v>99</v>
      </c>
      <c r="B902" s="121" t="s">
        <v>26</v>
      </c>
      <c r="C902" s="122">
        <f>'Devize obiecte evaluari'!F1995</f>
        <v>0</v>
      </c>
      <c r="D902" s="122">
        <f>'Devize obiecte evaluari'!G1419</f>
        <v>0</v>
      </c>
      <c r="E902" s="122">
        <f>'Devize obiecte evaluari'!H1419</f>
        <v>0</v>
      </c>
      <c r="F902" s="122">
        <f>'Devize obiecte evaluari'!I1419</f>
        <v>0</v>
      </c>
      <c r="G902" s="123">
        <f>'Devize obiecte evaluari'!J1419</f>
        <v>0</v>
      </c>
    </row>
    <row r="903" spans="1:7" ht="15.75" thickBot="1">
      <c r="A903" s="685" t="s">
        <v>27</v>
      </c>
      <c r="B903" s="686"/>
      <c r="C903" s="82">
        <f>SUM(C895:C902)</f>
        <v>0</v>
      </c>
      <c r="D903" s="82">
        <f t="shared" ref="D903:E903" si="147">SUM(D895:D902)</f>
        <v>0</v>
      </c>
      <c r="E903" s="82">
        <f t="shared" si="147"/>
        <v>0</v>
      </c>
      <c r="F903" s="82">
        <f>SUM(F895:F902)</f>
        <v>0</v>
      </c>
      <c r="G903" s="83">
        <f t="shared" ref="G903" si="148">SUM(G895:G902)</f>
        <v>0</v>
      </c>
    </row>
    <row r="904" spans="1:7" ht="15.75" thickBot="1">
      <c r="A904" s="683" t="s">
        <v>28</v>
      </c>
      <c r="B904" s="684"/>
      <c r="C904" s="119"/>
      <c r="D904" s="119"/>
      <c r="E904" s="119"/>
      <c r="F904" s="119"/>
      <c r="G904" s="120"/>
    </row>
    <row r="905" spans="1:7" ht="15.75" thickBot="1">
      <c r="A905" s="126"/>
      <c r="B905" s="127" t="s">
        <v>29</v>
      </c>
      <c r="C905" s="128">
        <f>'Devize obiecte evaluari'!F2000</f>
        <v>0</v>
      </c>
      <c r="D905" s="128">
        <f>'Devize obiecte evaluari'!G1424</f>
        <v>0</v>
      </c>
      <c r="E905" s="128">
        <f>'Devize obiecte evaluari'!H1424</f>
        <v>0</v>
      </c>
      <c r="F905" s="128">
        <f>'Devize obiecte evaluari'!I1424</f>
        <v>0</v>
      </c>
      <c r="G905" s="129">
        <f>'Devize obiecte evaluari'!J1424</f>
        <v>0</v>
      </c>
    </row>
    <row r="906" spans="1:7" ht="15.75" thickBot="1">
      <c r="A906" s="685" t="s">
        <v>30</v>
      </c>
      <c r="B906" s="686"/>
      <c r="C906" s="62">
        <f>C905</f>
        <v>0</v>
      </c>
      <c r="D906" s="62">
        <f>D905</f>
        <v>0</v>
      </c>
      <c r="E906" s="62">
        <f>E905</f>
        <v>0</v>
      </c>
      <c r="F906" s="62">
        <f>F905</f>
        <v>0</v>
      </c>
      <c r="G906" s="63">
        <f>G905</f>
        <v>0</v>
      </c>
    </row>
    <row r="907" spans="1:7" ht="15.75" thickBot="1">
      <c r="A907" s="683" t="s">
        <v>31</v>
      </c>
      <c r="B907" s="684"/>
      <c r="C907" s="119"/>
      <c r="D907" s="119"/>
      <c r="E907" s="119"/>
      <c r="F907" s="119"/>
      <c r="G907" s="120"/>
    </row>
    <row r="908" spans="1:7">
      <c r="A908" s="124"/>
      <c r="B908" s="125" t="s">
        <v>32</v>
      </c>
      <c r="C908" s="130">
        <f>'Devize obiecte evaluari'!F2005</f>
        <v>0</v>
      </c>
      <c r="D908" s="130">
        <f>'Devize obiecte evaluari'!G1429</f>
        <v>0</v>
      </c>
      <c r="E908" s="130">
        <f>'Devize obiecte evaluari'!H1429</f>
        <v>0</v>
      </c>
      <c r="F908" s="130">
        <f>'Devize obiecte evaluari'!I1429</f>
        <v>0</v>
      </c>
      <c r="G908" s="131">
        <f>'Devize obiecte evaluari'!J1429</f>
        <v>0</v>
      </c>
    </row>
    <row r="909" spans="1:7">
      <c r="A909" s="58"/>
      <c r="B909" s="59" t="s">
        <v>33</v>
      </c>
      <c r="C909" s="60">
        <f>'Devize obiecte evaluari'!F2008</f>
        <v>0</v>
      </c>
      <c r="D909" s="60">
        <f>'Devize obiecte evaluari'!G1432</f>
        <v>0</v>
      </c>
      <c r="E909" s="60">
        <f>'Devize obiecte evaluari'!H1432</f>
        <v>0</v>
      </c>
      <c r="F909" s="60">
        <f>'Devize obiecte evaluari'!I1432</f>
        <v>0</v>
      </c>
      <c r="G909" s="61">
        <f>'Devize obiecte evaluari'!J1432</f>
        <v>0</v>
      </c>
    </row>
    <row r="910" spans="1:7" ht="15.75" thickBot="1">
      <c r="A910" s="132"/>
      <c r="B910" s="133" t="s">
        <v>34</v>
      </c>
      <c r="C910" s="134">
        <f>'Devize obiecte evaluari'!F2011</f>
        <v>0</v>
      </c>
      <c r="D910" s="134">
        <f>'Devize obiecte evaluari'!G1435</f>
        <v>0</v>
      </c>
      <c r="E910" s="134">
        <f>'Devize obiecte evaluari'!H1435</f>
        <v>0</v>
      </c>
      <c r="F910" s="134">
        <f>'Devize obiecte evaluari'!I1435</f>
        <v>0</v>
      </c>
      <c r="G910" s="135">
        <f>'Devize obiecte evaluari'!J1435</f>
        <v>0</v>
      </c>
    </row>
    <row r="911" spans="1:7" ht="15.75" thickBot="1">
      <c r="A911" s="685" t="s">
        <v>35</v>
      </c>
      <c r="B911" s="686"/>
      <c r="C911" s="62">
        <f>SUM(C908:C910)</f>
        <v>0</v>
      </c>
      <c r="D911" s="62">
        <f t="shared" ref="D911:E911" si="149">SUM(D908:D910)</f>
        <v>0</v>
      </c>
      <c r="E911" s="62">
        <f t="shared" si="149"/>
        <v>0</v>
      </c>
      <c r="F911" s="62">
        <f>SUM(F908:F910)</f>
        <v>0</v>
      </c>
      <c r="G911" s="63">
        <f t="shared" ref="G911" si="150">SUM(G908:G910)</f>
        <v>0</v>
      </c>
    </row>
    <row r="912" spans="1:7" ht="15.75" thickBot="1">
      <c r="A912" s="685" t="s">
        <v>36</v>
      </c>
      <c r="B912" s="686"/>
      <c r="C912" s="62">
        <f>SUM(C903,C906,C911)</f>
        <v>0</v>
      </c>
      <c r="D912" s="62">
        <f t="shared" ref="D912:E912" si="151">SUM(D903,D906,D911)</f>
        <v>0</v>
      </c>
      <c r="E912" s="62">
        <f t="shared" si="151"/>
        <v>0</v>
      </c>
      <c r="F912" s="62">
        <f>SUM(F903,F906,F911)</f>
        <v>0</v>
      </c>
      <c r="G912" s="63">
        <f t="shared" ref="G912" si="152">SUM(G903,G906,G911)</f>
        <v>0</v>
      </c>
    </row>
    <row r="913" spans="1:7">
      <c r="A913" s="39"/>
      <c r="B913" s="39"/>
      <c r="C913" s="42"/>
      <c r="D913" s="42"/>
      <c r="E913" s="42"/>
      <c r="F913" s="42"/>
      <c r="G913" s="42"/>
    </row>
    <row r="914" spans="1:7">
      <c r="A914" s="42"/>
      <c r="C914" s="42"/>
      <c r="D914" s="64"/>
      <c r="E914" s="42"/>
      <c r="F914" s="42"/>
      <c r="G914" s="42"/>
    </row>
    <row r="915" spans="1:7">
      <c r="A915" s="39"/>
      <c r="B915" s="65" t="s">
        <v>37</v>
      </c>
      <c r="C915" s="39"/>
      <c r="D915" s="66"/>
      <c r="E915" s="39"/>
      <c r="F915" s="39"/>
      <c r="G915" s="39"/>
    </row>
    <row r="916" spans="1:7">
      <c r="A916" s="39"/>
      <c r="B916" s="65" t="str">
        <f>'Date Generale'!$C$7</f>
        <v>S.C. Tehno Consoulting Solutions S.R.L.</v>
      </c>
      <c r="C916" s="39"/>
      <c r="D916" s="39"/>
      <c r="E916" s="39"/>
      <c r="F916" s="39"/>
      <c r="G916" s="39"/>
    </row>
    <row r="917" spans="1:7">
      <c r="A917" s="39"/>
      <c r="B917" s="39"/>
      <c r="C917" s="39"/>
      <c r="D917" s="39"/>
      <c r="E917" s="39"/>
      <c r="F917" s="39"/>
      <c r="G917" s="39"/>
    </row>
    <row r="918" spans="1:7">
      <c r="A918" s="39"/>
      <c r="B918" s="39"/>
      <c r="C918" s="39"/>
      <c r="D918" s="39"/>
      <c r="E918" s="39"/>
      <c r="F918" s="39"/>
      <c r="G918" s="39"/>
    </row>
  </sheetData>
  <mergeCells count="320">
    <mergeCell ref="A3:G3"/>
    <mergeCell ref="A39:G39"/>
    <mergeCell ref="A255:G255"/>
    <mergeCell ref="A219:G219"/>
    <mergeCell ref="A183:G183"/>
    <mergeCell ref="A147:G147"/>
    <mergeCell ref="A111:G111"/>
    <mergeCell ref="A75:G75"/>
    <mergeCell ref="A894:B894"/>
    <mergeCell ref="A824:B824"/>
    <mergeCell ref="A833:B833"/>
    <mergeCell ref="A834:B834"/>
    <mergeCell ref="A836:B836"/>
    <mergeCell ref="A837:B837"/>
    <mergeCell ref="A841:B841"/>
    <mergeCell ref="A842:B842"/>
    <mergeCell ref="A853:G853"/>
    <mergeCell ref="A856:A857"/>
    <mergeCell ref="B856:B857"/>
    <mergeCell ref="C856:D856"/>
    <mergeCell ref="F856:G856"/>
    <mergeCell ref="A789:B789"/>
    <mergeCell ref="A798:B798"/>
    <mergeCell ref="A799:B799"/>
    <mergeCell ref="A903:B903"/>
    <mergeCell ref="A904:B904"/>
    <mergeCell ref="A906:B906"/>
    <mergeCell ref="A907:B907"/>
    <mergeCell ref="A911:B911"/>
    <mergeCell ref="A912:B912"/>
    <mergeCell ref="A859:B859"/>
    <mergeCell ref="A868:B868"/>
    <mergeCell ref="A869:B869"/>
    <mergeCell ref="A871:B871"/>
    <mergeCell ref="A872:B872"/>
    <mergeCell ref="A876:B876"/>
    <mergeCell ref="A877:B877"/>
    <mergeCell ref="A888:G888"/>
    <mergeCell ref="A891:A892"/>
    <mergeCell ref="B891:B892"/>
    <mergeCell ref="C891:D891"/>
    <mergeCell ref="F891:G891"/>
    <mergeCell ref="A801:B801"/>
    <mergeCell ref="A802:B802"/>
    <mergeCell ref="A806:B806"/>
    <mergeCell ref="A807:B807"/>
    <mergeCell ref="A818:G818"/>
    <mergeCell ref="A821:A822"/>
    <mergeCell ref="B821:B822"/>
    <mergeCell ref="C821:D821"/>
    <mergeCell ref="F821:G821"/>
    <mergeCell ref="A754:B754"/>
    <mergeCell ref="A763:B763"/>
    <mergeCell ref="A764:B764"/>
    <mergeCell ref="A766:B766"/>
    <mergeCell ref="A767:B767"/>
    <mergeCell ref="A771:B771"/>
    <mergeCell ref="A772:B772"/>
    <mergeCell ref="A783:G783"/>
    <mergeCell ref="A786:A787"/>
    <mergeCell ref="B786:B787"/>
    <mergeCell ref="C786:D786"/>
    <mergeCell ref="F786:G786"/>
    <mergeCell ref="A719:B719"/>
    <mergeCell ref="A728:B728"/>
    <mergeCell ref="A729:B729"/>
    <mergeCell ref="A731:B731"/>
    <mergeCell ref="A732:B732"/>
    <mergeCell ref="A736:B736"/>
    <mergeCell ref="A737:B737"/>
    <mergeCell ref="A748:G748"/>
    <mergeCell ref="A751:A752"/>
    <mergeCell ref="B751:B752"/>
    <mergeCell ref="C751:D751"/>
    <mergeCell ref="F751:G751"/>
    <mergeCell ref="A684:B684"/>
    <mergeCell ref="A693:B693"/>
    <mergeCell ref="A694:B694"/>
    <mergeCell ref="A696:B696"/>
    <mergeCell ref="A697:B697"/>
    <mergeCell ref="A701:B701"/>
    <mergeCell ref="A702:B702"/>
    <mergeCell ref="A713:G713"/>
    <mergeCell ref="A716:A717"/>
    <mergeCell ref="B716:B717"/>
    <mergeCell ref="C716:D716"/>
    <mergeCell ref="F716:G716"/>
    <mergeCell ref="A649:B649"/>
    <mergeCell ref="A658:B658"/>
    <mergeCell ref="A659:B659"/>
    <mergeCell ref="A661:B661"/>
    <mergeCell ref="A662:B662"/>
    <mergeCell ref="A666:B666"/>
    <mergeCell ref="A667:B667"/>
    <mergeCell ref="A678:G678"/>
    <mergeCell ref="A681:A682"/>
    <mergeCell ref="B681:B682"/>
    <mergeCell ref="C681:D681"/>
    <mergeCell ref="F681:G681"/>
    <mergeCell ref="A614:B614"/>
    <mergeCell ref="A623:B623"/>
    <mergeCell ref="A624:B624"/>
    <mergeCell ref="A626:B626"/>
    <mergeCell ref="A627:B627"/>
    <mergeCell ref="A631:B631"/>
    <mergeCell ref="A632:B632"/>
    <mergeCell ref="A643:G643"/>
    <mergeCell ref="A646:A647"/>
    <mergeCell ref="B646:B647"/>
    <mergeCell ref="C646:D646"/>
    <mergeCell ref="F646:G646"/>
    <mergeCell ref="A579:B579"/>
    <mergeCell ref="A588:B588"/>
    <mergeCell ref="A589:B589"/>
    <mergeCell ref="A591:B591"/>
    <mergeCell ref="A592:B592"/>
    <mergeCell ref="A596:B596"/>
    <mergeCell ref="A597:B597"/>
    <mergeCell ref="A608:G608"/>
    <mergeCell ref="A611:A612"/>
    <mergeCell ref="B611:B612"/>
    <mergeCell ref="C611:D611"/>
    <mergeCell ref="F611:G611"/>
    <mergeCell ref="A544:B544"/>
    <mergeCell ref="A553:B553"/>
    <mergeCell ref="A554:B554"/>
    <mergeCell ref="A556:B556"/>
    <mergeCell ref="A557:B557"/>
    <mergeCell ref="A561:B561"/>
    <mergeCell ref="A562:B562"/>
    <mergeCell ref="A573:G573"/>
    <mergeCell ref="A576:A577"/>
    <mergeCell ref="B576:B577"/>
    <mergeCell ref="C576:D576"/>
    <mergeCell ref="F576:G576"/>
    <mergeCell ref="A509:B509"/>
    <mergeCell ref="A518:B518"/>
    <mergeCell ref="A519:B519"/>
    <mergeCell ref="A521:B521"/>
    <mergeCell ref="A522:B522"/>
    <mergeCell ref="A526:B526"/>
    <mergeCell ref="A527:B527"/>
    <mergeCell ref="A538:G538"/>
    <mergeCell ref="A541:A542"/>
    <mergeCell ref="B541:B542"/>
    <mergeCell ref="C541:D541"/>
    <mergeCell ref="F541:G541"/>
    <mergeCell ref="A474:B474"/>
    <mergeCell ref="A483:B483"/>
    <mergeCell ref="A484:B484"/>
    <mergeCell ref="A486:B486"/>
    <mergeCell ref="A487:B487"/>
    <mergeCell ref="A491:B491"/>
    <mergeCell ref="A492:B492"/>
    <mergeCell ref="A503:G503"/>
    <mergeCell ref="A506:A507"/>
    <mergeCell ref="B506:B507"/>
    <mergeCell ref="C506:D506"/>
    <mergeCell ref="F506:G506"/>
    <mergeCell ref="A439:B439"/>
    <mergeCell ref="A448:B448"/>
    <mergeCell ref="A449:B449"/>
    <mergeCell ref="A451:B451"/>
    <mergeCell ref="A452:B452"/>
    <mergeCell ref="A456:B456"/>
    <mergeCell ref="A457:B457"/>
    <mergeCell ref="A468:G468"/>
    <mergeCell ref="A471:A472"/>
    <mergeCell ref="B471:B472"/>
    <mergeCell ref="C471:D471"/>
    <mergeCell ref="F471:G471"/>
    <mergeCell ref="A413:B413"/>
    <mergeCell ref="A414:B414"/>
    <mergeCell ref="A416:B416"/>
    <mergeCell ref="A417:B417"/>
    <mergeCell ref="A421:B421"/>
    <mergeCell ref="A422:B422"/>
    <mergeCell ref="A433:G433"/>
    <mergeCell ref="A436:A437"/>
    <mergeCell ref="B436:B437"/>
    <mergeCell ref="C436:D436"/>
    <mergeCell ref="F436:G436"/>
    <mergeCell ref="A382:B382"/>
    <mergeCell ref="A386:B386"/>
    <mergeCell ref="A387:B387"/>
    <mergeCell ref="A398:G398"/>
    <mergeCell ref="A401:A402"/>
    <mergeCell ref="B401:B402"/>
    <mergeCell ref="C401:D401"/>
    <mergeCell ref="F401:G401"/>
    <mergeCell ref="A404:B404"/>
    <mergeCell ref="A363:G363"/>
    <mergeCell ref="A366:A367"/>
    <mergeCell ref="B366:B367"/>
    <mergeCell ref="C366:D366"/>
    <mergeCell ref="F366:G366"/>
    <mergeCell ref="A369:B369"/>
    <mergeCell ref="A378:B378"/>
    <mergeCell ref="A379:B379"/>
    <mergeCell ref="A381:B381"/>
    <mergeCell ref="A351:B351"/>
    <mergeCell ref="A352:B352"/>
    <mergeCell ref="A334:B334"/>
    <mergeCell ref="A343:B343"/>
    <mergeCell ref="A344:B344"/>
    <mergeCell ref="A346:B346"/>
    <mergeCell ref="A347:B347"/>
    <mergeCell ref="A316:B316"/>
    <mergeCell ref="A317:B317"/>
    <mergeCell ref="A328:G328"/>
    <mergeCell ref="A331:A332"/>
    <mergeCell ref="B331:B332"/>
    <mergeCell ref="C331:D331"/>
    <mergeCell ref="F331:G331"/>
    <mergeCell ref="A299:B299"/>
    <mergeCell ref="A308:B308"/>
    <mergeCell ref="A309:B309"/>
    <mergeCell ref="A311:B311"/>
    <mergeCell ref="A312:B312"/>
    <mergeCell ref="A281:B281"/>
    <mergeCell ref="A282:B282"/>
    <mergeCell ref="A293:G293"/>
    <mergeCell ref="A296:A297"/>
    <mergeCell ref="B296:B297"/>
    <mergeCell ref="C296:D296"/>
    <mergeCell ref="F296:G296"/>
    <mergeCell ref="A264:B264"/>
    <mergeCell ref="A273:B273"/>
    <mergeCell ref="A274:B274"/>
    <mergeCell ref="A276:B276"/>
    <mergeCell ref="A277:B277"/>
    <mergeCell ref="A245:B245"/>
    <mergeCell ref="A246:B246"/>
    <mergeCell ref="A258:G258"/>
    <mergeCell ref="A261:A262"/>
    <mergeCell ref="B261:B262"/>
    <mergeCell ref="C261:D261"/>
    <mergeCell ref="F261:G261"/>
    <mergeCell ref="A228:B228"/>
    <mergeCell ref="A237:B237"/>
    <mergeCell ref="A238:B238"/>
    <mergeCell ref="A240:B240"/>
    <mergeCell ref="A241:B241"/>
    <mergeCell ref="A209:B209"/>
    <mergeCell ref="A210:B210"/>
    <mergeCell ref="A222:G222"/>
    <mergeCell ref="A225:A226"/>
    <mergeCell ref="B225:B226"/>
    <mergeCell ref="C225:D225"/>
    <mergeCell ref="F225:G225"/>
    <mergeCell ref="A120:B120"/>
    <mergeCell ref="A192:B192"/>
    <mergeCell ref="A201:B201"/>
    <mergeCell ref="A202:B202"/>
    <mergeCell ref="A204:B204"/>
    <mergeCell ref="A205:B205"/>
    <mergeCell ref="A173:B173"/>
    <mergeCell ref="A174:B174"/>
    <mergeCell ref="A186:G186"/>
    <mergeCell ref="A189:A190"/>
    <mergeCell ref="B189:B190"/>
    <mergeCell ref="C189:D189"/>
    <mergeCell ref="F189:G189"/>
    <mergeCell ref="A94:B94"/>
    <mergeCell ref="F81:G81"/>
    <mergeCell ref="A84:B84"/>
    <mergeCell ref="A93:B93"/>
    <mergeCell ref="A156:B156"/>
    <mergeCell ref="A165:B165"/>
    <mergeCell ref="A166:B166"/>
    <mergeCell ref="A168:B168"/>
    <mergeCell ref="A169:B169"/>
    <mergeCell ref="A150:G150"/>
    <mergeCell ref="A153:A154"/>
    <mergeCell ref="B153:B154"/>
    <mergeCell ref="C153:D153"/>
    <mergeCell ref="F153:G153"/>
    <mergeCell ref="A132:B132"/>
    <mergeCell ref="A133:B133"/>
    <mergeCell ref="A138:B138"/>
    <mergeCell ref="A129:B129"/>
    <mergeCell ref="A130:B130"/>
    <mergeCell ref="A137:B137"/>
    <mergeCell ref="A117:A118"/>
    <mergeCell ref="B117:B118"/>
    <mergeCell ref="C117:D117"/>
    <mergeCell ref="F117:G117"/>
    <mergeCell ref="B45:B46"/>
    <mergeCell ref="C45:D45"/>
    <mergeCell ref="F45:G45"/>
    <mergeCell ref="A48:B48"/>
    <mergeCell ref="A57:B57"/>
    <mergeCell ref="A58:B58"/>
    <mergeCell ref="A60:B60"/>
    <mergeCell ref="A61:B61"/>
    <mergeCell ref="A42:G42"/>
    <mergeCell ref="A97:B97"/>
    <mergeCell ref="A101:B101"/>
    <mergeCell ref="A102:B102"/>
    <mergeCell ref="A114:G114"/>
    <mergeCell ref="B81:B82"/>
    <mergeCell ref="C81:D81"/>
    <mergeCell ref="A29:B29"/>
    <mergeCell ref="A6:G6"/>
    <mergeCell ref="A9:A10"/>
    <mergeCell ref="B9:B10"/>
    <mergeCell ref="C9:D9"/>
    <mergeCell ref="F9:G9"/>
    <mergeCell ref="A12:B12"/>
    <mergeCell ref="A21:B21"/>
    <mergeCell ref="A22:B22"/>
    <mergeCell ref="A24:B24"/>
    <mergeCell ref="A25:B25"/>
    <mergeCell ref="A66:B66"/>
    <mergeCell ref="A96:B96"/>
    <mergeCell ref="A78:G78"/>
    <mergeCell ref="A81:A82"/>
    <mergeCell ref="A65:B65"/>
    <mergeCell ref="A30:B30"/>
    <mergeCell ref="A45:A46"/>
  </mergeCells>
  <pageMargins left="0.95" right="0.7" top="0.75" bottom="0.75" header="0.3" footer="0.3"/>
  <pageSetup paperSize="9" scale="62" orientation="landscape" r:id="rId1"/>
  <rowBreaks count="25" manualBreakCount="25">
    <brk id="36" max="6" man="1"/>
    <brk id="72" max="6" man="1"/>
    <brk id="108" min="1" max="6" man="1"/>
    <brk id="144" min="1" max="6" man="1"/>
    <brk id="180" min="1" max="6" man="1"/>
    <brk id="216" min="1" max="6" man="1"/>
    <brk id="252" min="1" max="6" man="1"/>
    <brk id="288" min="1" max="6" man="1"/>
    <brk id="323" min="1" max="6" man="1"/>
    <brk id="358" min="1" max="6" man="1"/>
    <brk id="393" min="1" max="6" man="1"/>
    <brk id="428" min="1" max="6" man="1"/>
    <brk id="463" min="1" max="6" man="1"/>
    <brk id="485" min="1" max="6" man="1"/>
    <brk id="533" min="1" max="6" man="1"/>
    <brk id="568" min="1" max="6" man="1"/>
    <brk id="603" min="1" max="6" man="1"/>
    <brk id="638" min="1" max="6" man="1"/>
    <brk id="673" min="1" max="6" man="1"/>
    <brk id="708" min="1" max="6" man="1"/>
    <brk id="743" min="1" max="6" man="1"/>
    <brk id="778" min="1" max="6" man="1"/>
    <brk id="813" min="1" max="6" man="1"/>
    <brk id="848" min="1" max="6" man="1"/>
    <brk id="883" min="1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20"/>
  <sheetViews>
    <sheetView view="pageBreakPreview" topLeftCell="A341" zoomScale="85" zoomScaleNormal="70" zoomScaleSheetLayoutView="85" workbookViewId="0">
      <selection activeCell="F350" sqref="F350"/>
    </sheetView>
  </sheetViews>
  <sheetFormatPr defaultRowHeight="15"/>
  <cols>
    <col min="1" max="1" width="10.28515625" style="99" customWidth="1"/>
    <col min="2" max="2" width="59.140625" style="40" bestFit="1" customWidth="1"/>
    <col min="3" max="3" width="5.85546875" style="40" customWidth="1"/>
    <col min="4" max="4" width="11.140625" style="40" customWidth="1"/>
    <col min="5" max="5" width="12.140625" style="40" customWidth="1"/>
    <col min="6" max="6" width="15.28515625" style="40" customWidth="1"/>
    <col min="7" max="7" width="13.28515625" style="40" customWidth="1"/>
    <col min="8" max="8" width="12.85546875" style="40" customWidth="1"/>
    <col min="9" max="9" width="15" style="40" customWidth="1"/>
    <col min="10" max="10" width="13.28515625" style="40" customWidth="1"/>
    <col min="11" max="11" width="9.140625" style="68"/>
    <col min="12" max="12" width="11.5703125" style="40" bestFit="1" customWidth="1"/>
    <col min="13" max="15" width="9.140625" style="40"/>
    <col min="16" max="16" width="10.5703125" style="40" bestFit="1" customWidth="1"/>
    <col min="17" max="16384" width="9.140625" style="40"/>
  </cols>
  <sheetData>
    <row r="1" spans="1:10">
      <c r="A1" s="38"/>
      <c r="B1" s="39"/>
      <c r="C1" s="39"/>
      <c r="D1" s="39"/>
      <c r="E1" s="39"/>
      <c r="F1" s="39"/>
      <c r="G1" s="39"/>
      <c r="H1" s="39"/>
      <c r="I1" s="39"/>
      <c r="J1" s="39"/>
    </row>
    <row r="2" spans="1:10" ht="15.75">
      <c r="A2" s="41" t="str">
        <f>"Beneficiar: " &amp;'Date Generale'!$C$6</f>
        <v xml:space="preserve">Beneficiar: Judetul Arges </v>
      </c>
      <c r="B2" s="41"/>
      <c r="C2" s="42"/>
      <c r="D2" s="42"/>
      <c r="E2" s="69"/>
      <c r="F2" s="42"/>
      <c r="G2" s="42"/>
      <c r="H2" s="42"/>
      <c r="I2" s="42"/>
      <c r="J2" s="42"/>
    </row>
    <row r="3" spans="1:10" ht="15.75">
      <c r="A3" s="41" t="str">
        <f>"Denumire Proiect: " &amp; 'Date Generale'!$C$3</f>
        <v>Denumire Proiect: Modernizare DJ 703B Serbanesti (DJ659) - Silistea, km 70+410 - 77+826, 7.416km, in comunele Rociu si Cateasca</v>
      </c>
      <c r="B3" s="41"/>
      <c r="C3" s="44"/>
      <c r="D3" s="44"/>
      <c r="E3" s="44"/>
      <c r="F3" s="44"/>
      <c r="G3" s="44"/>
      <c r="H3" s="44"/>
      <c r="I3" s="44"/>
      <c r="J3" s="44"/>
    </row>
    <row r="4" spans="1:10" ht="15.75">
      <c r="A4" s="235" t="str">
        <f>"Denumire Obiect: " &amp; 'Date Generale'!$C$4</f>
        <v>Denumire Obiect: Deviz actualizat 21.06.2019</v>
      </c>
      <c r="B4" s="41"/>
      <c r="C4" s="44"/>
      <c r="D4" s="44"/>
      <c r="E4" s="44"/>
      <c r="F4" s="44"/>
      <c r="G4" s="44"/>
      <c r="H4" s="44"/>
      <c r="I4" s="44"/>
      <c r="J4" s="44"/>
    </row>
    <row r="5" spans="1:10" ht="15.75">
      <c r="B5" s="41"/>
      <c r="C5" s="44"/>
      <c r="D5" s="44"/>
      <c r="E5" s="44"/>
      <c r="F5" s="44"/>
      <c r="G5" s="44"/>
      <c r="H5" s="44"/>
      <c r="I5" s="44"/>
      <c r="J5" s="44"/>
    </row>
    <row r="6" spans="1:10" ht="15.75">
      <c r="A6" s="41" t="str">
        <f>'Date Generale'!$E$61</f>
        <v>Obiect 001: Lucrari de pasaje pe bretele de acces</v>
      </c>
      <c r="B6" s="44"/>
      <c r="C6" s="44"/>
      <c r="D6" s="44"/>
      <c r="E6" s="44"/>
      <c r="F6" s="44"/>
      <c r="G6" s="44"/>
      <c r="H6" s="44"/>
      <c r="I6" s="44"/>
    </row>
    <row r="7" spans="1:10">
      <c r="A7" s="687" t="s">
        <v>38</v>
      </c>
      <c r="B7" s="687"/>
      <c r="C7" s="687"/>
      <c r="D7" s="687"/>
      <c r="E7" s="687"/>
      <c r="F7" s="687"/>
      <c r="G7" s="687"/>
      <c r="H7" s="687"/>
      <c r="I7" s="687"/>
      <c r="J7" s="687"/>
    </row>
    <row r="8" spans="1:10">
      <c r="A8" s="136"/>
      <c r="B8" s="136"/>
      <c r="C8" s="136"/>
      <c r="D8" s="136"/>
      <c r="E8" s="136"/>
      <c r="F8" s="136"/>
      <c r="G8" s="136"/>
      <c r="H8" s="136"/>
      <c r="I8" s="136"/>
      <c r="J8" s="136"/>
    </row>
    <row r="9" spans="1:10" ht="15.75" thickBot="1">
      <c r="A9" s="42"/>
      <c r="B9" s="46"/>
      <c r="C9" s="71"/>
      <c r="D9" s="71"/>
      <c r="E9" s="71"/>
      <c r="F9" s="33"/>
      <c r="G9" s="47" t="s">
        <v>2</v>
      </c>
      <c r="H9" s="48">
        <f>'Date Generale'!$C$54</f>
        <v>4.7233000000000001</v>
      </c>
      <c r="I9" s="49" t="s">
        <v>3</v>
      </c>
      <c r="J9" s="50" t="str">
        <f>'Date Generale'!$D$54</f>
        <v>21,06,2019</v>
      </c>
    </row>
    <row r="10" spans="1:10" ht="15.75" customHeight="1" thickBot="1">
      <c r="A10" s="688" t="s">
        <v>4</v>
      </c>
      <c r="B10" s="688" t="s">
        <v>5</v>
      </c>
      <c r="C10" s="688" t="s">
        <v>39</v>
      </c>
      <c r="D10" s="688" t="s">
        <v>40</v>
      </c>
      <c r="E10" s="688" t="s">
        <v>228</v>
      </c>
      <c r="F10" s="689" t="s">
        <v>160</v>
      </c>
      <c r="G10" s="689"/>
      <c r="H10" s="24" t="s">
        <v>7</v>
      </c>
      <c r="I10" s="689" t="s">
        <v>159</v>
      </c>
      <c r="J10" s="689"/>
    </row>
    <row r="11" spans="1:10" ht="15.75" thickBot="1">
      <c r="A11" s="688"/>
      <c r="B11" s="688"/>
      <c r="C11" s="688"/>
      <c r="D11" s="688"/>
      <c r="E11" s="688"/>
      <c r="F11" s="51" t="s">
        <v>9</v>
      </c>
      <c r="G11" s="51" t="s">
        <v>10</v>
      </c>
      <c r="H11" s="51" t="s">
        <v>9</v>
      </c>
      <c r="I11" s="51" t="s">
        <v>9</v>
      </c>
      <c r="J11" s="51" t="s">
        <v>10</v>
      </c>
    </row>
    <row r="12" spans="1:10" ht="15.75" thickBot="1">
      <c r="A12" s="3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</row>
    <row r="13" spans="1:10" ht="15.75" customHeight="1" thickBot="1">
      <c r="A13" s="683" t="s">
        <v>11</v>
      </c>
      <c r="B13" s="684"/>
      <c r="C13" s="684"/>
      <c r="D13" s="684"/>
      <c r="E13" s="684"/>
      <c r="F13" s="72"/>
      <c r="G13" s="72"/>
      <c r="H13" s="72"/>
      <c r="I13" s="72"/>
      <c r="J13" s="73"/>
    </row>
    <row r="14" spans="1:10" ht="15" customHeight="1">
      <c r="A14" s="691" t="s">
        <v>41</v>
      </c>
      <c r="B14" s="692"/>
      <c r="C14" s="692"/>
      <c r="D14" s="692"/>
      <c r="E14" s="692"/>
      <c r="F14" s="137">
        <f>SUM(F15:F16)</f>
        <v>0</v>
      </c>
      <c r="G14" s="137">
        <f>SUM(G15:G16)</f>
        <v>0</v>
      </c>
      <c r="H14" s="137">
        <f>SUM(H15:H16)</f>
        <v>0</v>
      </c>
      <c r="I14" s="137">
        <f>SUM(I15:I16)</f>
        <v>0</v>
      </c>
      <c r="J14" s="138">
        <f>SUM(J15:J16)</f>
        <v>0</v>
      </c>
    </row>
    <row r="15" spans="1:10">
      <c r="A15" s="74">
        <v>1.1000000000000001</v>
      </c>
      <c r="B15" s="75"/>
      <c r="C15" s="76" t="str">
        <f>IF(B15="","",VLOOKUP(B15,'Lista articole'!$D$4:$E$2255,2,FALSE))</f>
        <v/>
      </c>
      <c r="D15" s="77">
        <v>0</v>
      </c>
      <c r="E15" s="78">
        <f>IF(B15="",0,VLOOKUP(B15,'Lista articole'!$D$4:$F$2163,3,FALSE))</f>
        <v>0</v>
      </c>
      <c r="F15" s="77">
        <f>D15*E15</f>
        <v>0</v>
      </c>
      <c r="G15" s="77">
        <f t="shared" ref="G15:G16" si="0">F15/$H$9</f>
        <v>0</v>
      </c>
      <c r="H15" s="77">
        <f>F15*'Date Generale'!$D$58</f>
        <v>0</v>
      </c>
      <c r="I15" s="77">
        <f>H15+F15</f>
        <v>0</v>
      </c>
      <c r="J15" s="79">
        <f>I15/$H$9</f>
        <v>0</v>
      </c>
    </row>
    <row r="16" spans="1:10">
      <c r="A16" s="74">
        <v>1.2</v>
      </c>
      <c r="B16" s="75"/>
      <c r="C16" s="76" t="str">
        <f>IF(B16="","",VLOOKUP(B16,'Lista articole'!$D$4:$E$2255,2,FALSE))</f>
        <v/>
      </c>
      <c r="D16" s="77">
        <v>0</v>
      </c>
      <c r="E16" s="78">
        <f>IF(B16="",0,VLOOKUP(B16,'Lista articole'!$D$4:$F$2163,3,FALSE))</f>
        <v>0</v>
      </c>
      <c r="F16" s="77">
        <f>D16*E16</f>
        <v>0</v>
      </c>
      <c r="G16" s="77">
        <f t="shared" si="0"/>
        <v>0</v>
      </c>
      <c r="H16" s="77">
        <f>F16*'Date Generale'!$D$58</f>
        <v>0</v>
      </c>
      <c r="I16" s="77">
        <f>H16+F16</f>
        <v>0</v>
      </c>
      <c r="J16" s="79">
        <f>I16/$H$9</f>
        <v>0</v>
      </c>
    </row>
    <row r="17" spans="1:12" ht="15" customHeight="1">
      <c r="A17" s="693" t="s">
        <v>44</v>
      </c>
      <c r="B17" s="694"/>
      <c r="C17" s="694"/>
      <c r="D17" s="694"/>
      <c r="E17" s="694"/>
      <c r="F17" s="56">
        <f>F18+F59+F100</f>
        <v>14954394.654000001</v>
      </c>
      <c r="G17" s="56">
        <f t="shared" ref="G17:J17" si="1">G18+G59+G100</f>
        <v>3166090.3719856879</v>
      </c>
      <c r="H17" s="56">
        <f t="shared" si="1"/>
        <v>2841334.9842599998</v>
      </c>
      <c r="I17" s="56">
        <f t="shared" si="1"/>
        <v>17795729.638259999</v>
      </c>
      <c r="J17" s="56">
        <f t="shared" si="1"/>
        <v>3767647.5426629684</v>
      </c>
    </row>
    <row r="18" spans="1:12">
      <c r="A18" s="443" t="s">
        <v>273</v>
      </c>
      <c r="B18" s="444" t="s">
        <v>263</v>
      </c>
      <c r="C18" s="445"/>
      <c r="D18" s="446"/>
      <c r="E18" s="447"/>
      <c r="F18" s="448">
        <f>F19+F40+F53</f>
        <v>4463158.2349999994</v>
      </c>
      <c r="G18" s="448">
        <f t="shared" ref="G18:J18" si="2">G19+G40+G53</f>
        <v>944923.72599665483</v>
      </c>
      <c r="H18" s="448">
        <f t="shared" si="2"/>
        <v>848000.06464999996</v>
      </c>
      <c r="I18" s="448">
        <f t="shared" si="2"/>
        <v>5311158.2996499995</v>
      </c>
      <c r="J18" s="448">
        <f t="shared" si="2"/>
        <v>1124459.2339360192</v>
      </c>
    </row>
    <row r="19" spans="1:12">
      <c r="A19" s="418" t="s">
        <v>274</v>
      </c>
      <c r="B19" s="419" t="s">
        <v>275</v>
      </c>
      <c r="C19" s="420"/>
      <c r="D19" s="421"/>
      <c r="E19" s="422"/>
      <c r="F19" s="423">
        <f>SUM(F20:F39)</f>
        <v>1630155.6510000001</v>
      </c>
      <c r="G19" s="423">
        <f t="shared" ref="G19:J19" si="3">SUM(G20:G39)</f>
        <v>345130.66097855312</v>
      </c>
      <c r="H19" s="423">
        <f t="shared" si="3"/>
        <v>309729.57368999999</v>
      </c>
      <c r="I19" s="423">
        <f t="shared" si="3"/>
        <v>1939885.2246900001</v>
      </c>
      <c r="J19" s="423">
        <f t="shared" si="3"/>
        <v>410705.4865644782</v>
      </c>
    </row>
    <row r="20" spans="1:12">
      <c r="A20" s="415">
        <v>1</v>
      </c>
      <c r="B20" s="424" t="s">
        <v>276</v>
      </c>
      <c r="C20" s="425" t="s">
        <v>67</v>
      </c>
      <c r="D20" s="426">
        <f>(14+2.5)*(5*4)</f>
        <v>330</v>
      </c>
      <c r="E20" s="426">
        <v>1337.38</v>
      </c>
      <c r="F20" s="427">
        <f>D20*E20</f>
        <v>441335.4</v>
      </c>
      <c r="G20" s="427">
        <f>F20/$H$9</f>
        <v>93437.935341816104</v>
      </c>
      <c r="H20" s="427">
        <f>'Date Generale'!$D$58*F20</f>
        <v>83853.72600000001</v>
      </c>
      <c r="I20" s="427">
        <f>F20+H20</f>
        <v>525189.12600000005</v>
      </c>
      <c r="J20" s="428">
        <f>I20/$H$9</f>
        <v>111191.14305676117</v>
      </c>
      <c r="L20" s="416"/>
    </row>
    <row r="21" spans="1:12">
      <c r="A21" s="415">
        <f>A20+1</f>
        <v>2</v>
      </c>
      <c r="B21" s="424" t="s">
        <v>277</v>
      </c>
      <c r="C21" s="425" t="s">
        <v>67</v>
      </c>
      <c r="D21" s="426">
        <f>(14+3)*(4)</f>
        <v>68</v>
      </c>
      <c r="E21" s="429">
        <v>1923.75</v>
      </c>
      <c r="F21" s="427">
        <f t="shared" ref="F21:F26" si="4">D21*E21</f>
        <v>130815</v>
      </c>
      <c r="G21" s="427">
        <f t="shared" ref="G21:G58" si="5">F21/$H$9</f>
        <v>27695.678868587638</v>
      </c>
      <c r="H21" s="427">
        <f>'Date Generale'!$D$58*F21</f>
        <v>24854.85</v>
      </c>
      <c r="I21" s="427">
        <f t="shared" ref="I21:I27" si="6">F21+H21</f>
        <v>155669.85</v>
      </c>
      <c r="J21" s="428">
        <f t="shared" ref="J21:J58" si="7">I21/$H$9</f>
        <v>32957.857853619294</v>
      </c>
    </row>
    <row r="22" spans="1:12">
      <c r="A22" s="415">
        <f t="shared" ref="A22:A39" si="8">A21+1</f>
        <v>3</v>
      </c>
      <c r="B22" s="424" t="s">
        <v>278</v>
      </c>
      <c r="C22" s="425" t="s">
        <v>54</v>
      </c>
      <c r="D22" s="426">
        <f>ROUNDUP((14+1)*(5*4)*0.92+(14+1)*1.77*4,0)</f>
        <v>383</v>
      </c>
      <c r="E22" s="429">
        <v>495</v>
      </c>
      <c r="F22" s="427">
        <f t="shared" si="4"/>
        <v>189585</v>
      </c>
      <c r="G22" s="427">
        <f t="shared" si="5"/>
        <v>40138.250799229354</v>
      </c>
      <c r="H22" s="427">
        <f>'Date Generale'!$D$58*F22</f>
        <v>36021.15</v>
      </c>
      <c r="I22" s="427">
        <f t="shared" si="6"/>
        <v>225606.15</v>
      </c>
      <c r="J22" s="428">
        <f t="shared" si="7"/>
        <v>47764.518451082928</v>
      </c>
    </row>
    <row r="23" spans="1:12">
      <c r="A23" s="415">
        <f t="shared" si="8"/>
        <v>4</v>
      </c>
      <c r="B23" s="424" t="s">
        <v>279</v>
      </c>
      <c r="C23" s="425" t="s">
        <v>280</v>
      </c>
      <c r="D23" s="426">
        <f>ROUNDUP(80*(14*4*5)/1000+120*14*4/1000,1)</f>
        <v>29.200000000000003</v>
      </c>
      <c r="E23" s="429">
        <v>4275</v>
      </c>
      <c r="F23" s="427">
        <f t="shared" si="4"/>
        <v>124830.00000000001</v>
      </c>
      <c r="G23" s="427">
        <f t="shared" si="5"/>
        <v>26428.556305972521</v>
      </c>
      <c r="H23" s="427">
        <f>'Date Generale'!$D$58*F23</f>
        <v>23717.700000000004</v>
      </c>
      <c r="I23" s="427">
        <f t="shared" si="6"/>
        <v>148547.70000000001</v>
      </c>
      <c r="J23" s="428">
        <f t="shared" si="7"/>
        <v>31449.9820041073</v>
      </c>
    </row>
    <row r="24" spans="1:12">
      <c r="A24" s="415">
        <f t="shared" si="8"/>
        <v>5</v>
      </c>
      <c r="B24" s="424" t="s">
        <v>281</v>
      </c>
      <c r="C24" s="425" t="s">
        <v>67</v>
      </c>
      <c r="D24" s="426">
        <f>(14+1)*(5*4+4)*3</f>
        <v>1080</v>
      </c>
      <c r="E24" s="429">
        <v>83.7</v>
      </c>
      <c r="F24" s="427">
        <f t="shared" si="4"/>
        <v>90396</v>
      </c>
      <c r="G24" s="427">
        <f t="shared" si="5"/>
        <v>19138.314314144773</v>
      </c>
      <c r="H24" s="427">
        <f>'Date Generale'!$D$58*F24</f>
        <v>17175.240000000002</v>
      </c>
      <c r="I24" s="427">
        <f t="shared" si="6"/>
        <v>107571.24</v>
      </c>
      <c r="J24" s="428">
        <f t="shared" si="7"/>
        <v>22774.59403383228</v>
      </c>
    </row>
    <row r="25" spans="1:12">
      <c r="A25" s="415">
        <f t="shared" si="8"/>
        <v>6</v>
      </c>
      <c r="B25" s="424" t="s">
        <v>282</v>
      </c>
      <c r="C25" s="425" t="s">
        <v>54</v>
      </c>
      <c r="D25" s="426">
        <f>ROUNDUP((7*6*2.6)*4+8.8*6*2.6+7.5*3.5*3*2,1)</f>
        <v>731.6</v>
      </c>
      <c r="E25" s="429">
        <v>56.25</v>
      </c>
      <c r="F25" s="427">
        <f t="shared" si="4"/>
        <v>41152.5</v>
      </c>
      <c r="G25" s="427">
        <f t="shared" si="5"/>
        <v>8712.658522643067</v>
      </c>
      <c r="H25" s="427">
        <f>'Date Generale'!$D$58*F25</f>
        <v>7818.9750000000004</v>
      </c>
      <c r="I25" s="427">
        <f t="shared" si="6"/>
        <v>48971.474999999999</v>
      </c>
      <c r="J25" s="428">
        <f t="shared" si="7"/>
        <v>10368.063641945249</v>
      </c>
    </row>
    <row r="26" spans="1:12">
      <c r="A26" s="415">
        <f t="shared" si="8"/>
        <v>7</v>
      </c>
      <c r="B26" s="424" t="s">
        <v>283</v>
      </c>
      <c r="C26" s="425" t="s">
        <v>54</v>
      </c>
      <c r="D26" s="426">
        <f>ROUNDUP(((5+0.1*2)*(6+2*0.1)*4+(2.5+2*0.1)*(6.5+2*0.1)*2+(7.8+2*0.1)*(5.1+2*0.1))*0.1,1)</f>
        <v>20.8</v>
      </c>
      <c r="E26" s="429">
        <v>369</v>
      </c>
      <c r="F26" s="427">
        <f t="shared" si="4"/>
        <v>7675.2</v>
      </c>
      <c r="G26" s="427">
        <f t="shared" si="5"/>
        <v>1624.9655960874811</v>
      </c>
      <c r="H26" s="427">
        <f>'Date Generale'!$D$58*F26</f>
        <v>1458.288</v>
      </c>
      <c r="I26" s="427">
        <f t="shared" si="6"/>
        <v>9133.4879999999994</v>
      </c>
      <c r="J26" s="428">
        <f t="shared" si="7"/>
        <v>1933.7090593441026</v>
      </c>
    </row>
    <row r="27" spans="1:12">
      <c r="A27" s="415">
        <f t="shared" si="8"/>
        <v>8</v>
      </c>
      <c r="B27" s="424" t="s">
        <v>284</v>
      </c>
      <c r="C27" s="425" t="s">
        <v>285</v>
      </c>
      <c r="D27" s="426">
        <f>ROUNDUP((5+6)*2*4*1.5+(2.5+6.5)*2*2*2+(7.8+5)*2*1.5,1)</f>
        <v>242.4</v>
      </c>
      <c r="E27" s="429">
        <v>30.6</v>
      </c>
      <c r="F27" s="427">
        <f>D27*E27</f>
        <v>7417.4400000000005</v>
      </c>
      <c r="G27" s="427">
        <f t="shared" si="5"/>
        <v>1570.393580759215</v>
      </c>
      <c r="H27" s="427">
        <f>'Date Generale'!$D$58*F27</f>
        <v>1409.3136000000002</v>
      </c>
      <c r="I27" s="427">
        <f t="shared" si="6"/>
        <v>8826.7536</v>
      </c>
      <c r="J27" s="428">
        <f t="shared" si="7"/>
        <v>1868.7683611034658</v>
      </c>
    </row>
    <row r="28" spans="1:12">
      <c r="A28" s="415">
        <f t="shared" si="8"/>
        <v>9</v>
      </c>
      <c r="B28" s="424" t="s">
        <v>286</v>
      </c>
      <c r="C28" s="425" t="s">
        <v>54</v>
      </c>
      <c r="D28" s="426">
        <f>5*6*1.5*4+2.5*6.5*2*2+7.8*5*1.5</f>
        <v>303.5</v>
      </c>
      <c r="E28" s="429">
        <v>396</v>
      </c>
      <c r="F28" s="427">
        <f t="shared" ref="F28:F29" si="9">D28*E28</f>
        <v>120186</v>
      </c>
      <c r="G28" s="427">
        <f t="shared" si="5"/>
        <v>25445.345415281688</v>
      </c>
      <c r="H28" s="427">
        <f>'Date Generale'!$D$58*F28</f>
        <v>22835.34</v>
      </c>
      <c r="I28" s="427">
        <f t="shared" ref="I28:I29" si="10">F28+H28</f>
        <v>143021.34</v>
      </c>
      <c r="J28" s="428">
        <f t="shared" si="7"/>
        <v>30279.961044185209</v>
      </c>
    </row>
    <row r="29" spans="1:12">
      <c r="A29" s="415">
        <f t="shared" si="8"/>
        <v>10</v>
      </c>
      <c r="B29" s="424" t="s">
        <v>287</v>
      </c>
      <c r="C29" s="425" t="s">
        <v>280</v>
      </c>
      <c r="D29" s="426">
        <v>30.4</v>
      </c>
      <c r="E29" s="429">
        <v>3712.5</v>
      </c>
      <c r="F29" s="427">
        <f t="shared" si="9"/>
        <v>112860</v>
      </c>
      <c r="G29" s="427">
        <f t="shared" si="5"/>
        <v>23894.311180742276</v>
      </c>
      <c r="H29" s="427">
        <f>'Date Generale'!$D$58*F29</f>
        <v>21443.4</v>
      </c>
      <c r="I29" s="427">
        <f t="shared" si="10"/>
        <v>134303.4</v>
      </c>
      <c r="J29" s="428">
        <f t="shared" si="7"/>
        <v>28434.230305083307</v>
      </c>
    </row>
    <row r="30" spans="1:12">
      <c r="A30" s="415">
        <f t="shared" si="8"/>
        <v>11</v>
      </c>
      <c r="B30" s="424" t="s">
        <v>288</v>
      </c>
      <c r="C30" s="425" t="s">
        <v>285</v>
      </c>
      <c r="D30" s="426">
        <v>426.8</v>
      </c>
      <c r="E30" s="429">
        <v>38.25</v>
      </c>
      <c r="F30" s="427">
        <f t="shared" ref="F30:F39" si="11">D30*E30</f>
        <v>16325.1</v>
      </c>
      <c r="G30" s="427">
        <f t="shared" si="5"/>
        <v>3456.2911523722823</v>
      </c>
      <c r="H30" s="427">
        <f>'Date Generale'!$D$58*F30</f>
        <v>3101.7690000000002</v>
      </c>
      <c r="I30" s="427">
        <f t="shared" ref="I30:I39" si="12">F30+H30</f>
        <v>19426.868999999999</v>
      </c>
      <c r="J30" s="428">
        <f t="shared" si="7"/>
        <v>4112.9864713230154</v>
      </c>
    </row>
    <row r="31" spans="1:12">
      <c r="A31" s="415">
        <f t="shared" si="8"/>
        <v>12</v>
      </c>
      <c r="B31" s="424" t="s">
        <v>289</v>
      </c>
      <c r="C31" s="425" t="s">
        <v>285</v>
      </c>
      <c r="D31" s="426">
        <v>224.7</v>
      </c>
      <c r="E31" s="429">
        <v>57.38</v>
      </c>
      <c r="F31" s="427">
        <f t="shared" si="11"/>
        <v>12893.286</v>
      </c>
      <c r="G31" s="427">
        <f t="shared" si="5"/>
        <v>2729.719899223001</v>
      </c>
      <c r="H31" s="427">
        <f>'Date Generale'!$D$58*F31</f>
        <v>2449.7243400000002</v>
      </c>
      <c r="I31" s="427">
        <f t="shared" si="12"/>
        <v>15343.010340000001</v>
      </c>
      <c r="J31" s="428">
        <f t="shared" si="7"/>
        <v>3248.3666800753713</v>
      </c>
    </row>
    <row r="32" spans="1:12">
      <c r="A32" s="415">
        <f t="shared" si="8"/>
        <v>13</v>
      </c>
      <c r="B32" s="424" t="s">
        <v>290</v>
      </c>
      <c r="C32" s="425" t="s">
        <v>54</v>
      </c>
      <c r="D32" s="426">
        <v>301</v>
      </c>
      <c r="E32" s="429">
        <v>455.4</v>
      </c>
      <c r="F32" s="427">
        <f t="shared" si="11"/>
        <v>137075.4</v>
      </c>
      <c r="G32" s="427">
        <f t="shared" si="5"/>
        <v>29021.108123557682</v>
      </c>
      <c r="H32" s="427">
        <f>'Date Generale'!$D$58*F32</f>
        <v>26044.326000000001</v>
      </c>
      <c r="I32" s="427">
        <f t="shared" si="12"/>
        <v>163119.726</v>
      </c>
      <c r="J32" s="428">
        <f t="shared" si="7"/>
        <v>34535.118667033639</v>
      </c>
    </row>
    <row r="33" spans="1:10">
      <c r="A33" s="415">
        <f t="shared" si="8"/>
        <v>14</v>
      </c>
      <c r="B33" s="424" t="s">
        <v>291</v>
      </c>
      <c r="C33" s="425" t="s">
        <v>280</v>
      </c>
      <c r="D33" s="426">
        <v>36.200000000000003</v>
      </c>
      <c r="E33" s="429">
        <v>3712.5</v>
      </c>
      <c r="F33" s="427">
        <f t="shared" si="11"/>
        <v>134392.5</v>
      </c>
      <c r="G33" s="427">
        <f t="shared" si="5"/>
        <v>28453.094234962842</v>
      </c>
      <c r="H33" s="427">
        <f>'Date Generale'!$D$58*F33</f>
        <v>25534.575000000001</v>
      </c>
      <c r="I33" s="427">
        <f t="shared" si="12"/>
        <v>159927.07500000001</v>
      </c>
      <c r="J33" s="428">
        <f t="shared" si="7"/>
        <v>33859.182139605786</v>
      </c>
    </row>
    <row r="34" spans="1:10">
      <c r="A34" s="415">
        <f t="shared" si="8"/>
        <v>15</v>
      </c>
      <c r="B34" s="424" t="s">
        <v>292</v>
      </c>
      <c r="C34" s="425" t="s">
        <v>285</v>
      </c>
      <c r="D34" s="426">
        <v>75</v>
      </c>
      <c r="E34" s="429">
        <v>15.53</v>
      </c>
      <c r="F34" s="427">
        <f t="shared" si="11"/>
        <v>1164.75</v>
      </c>
      <c r="G34" s="427">
        <f t="shared" si="5"/>
        <v>246.59665911544894</v>
      </c>
      <c r="H34" s="427">
        <f>'Date Generale'!$D$58*F34</f>
        <v>221.30250000000001</v>
      </c>
      <c r="I34" s="427">
        <f t="shared" si="12"/>
        <v>1386.0525</v>
      </c>
      <c r="J34" s="428">
        <f t="shared" si="7"/>
        <v>293.45002434738421</v>
      </c>
    </row>
    <row r="35" spans="1:10">
      <c r="A35" s="415">
        <f t="shared" si="8"/>
        <v>16</v>
      </c>
      <c r="B35" s="424" t="s">
        <v>293</v>
      </c>
      <c r="C35" s="425" t="s">
        <v>54</v>
      </c>
      <c r="D35" s="426">
        <f>ROUNDUP(4.5*0.6*(7.4-2*0.5),0)</f>
        <v>18</v>
      </c>
      <c r="E35" s="429">
        <v>207</v>
      </c>
      <c r="F35" s="427">
        <f t="shared" si="11"/>
        <v>3726</v>
      </c>
      <c r="G35" s="427">
        <f t="shared" si="5"/>
        <v>788.85524950775937</v>
      </c>
      <c r="H35" s="427">
        <f>'Date Generale'!$D$58*F35</f>
        <v>707.94</v>
      </c>
      <c r="I35" s="427">
        <f t="shared" si="12"/>
        <v>4433.9400000000005</v>
      </c>
      <c r="J35" s="428">
        <f t="shared" si="7"/>
        <v>938.73774691423375</v>
      </c>
    </row>
    <row r="36" spans="1:10">
      <c r="A36" s="415">
        <f t="shared" si="8"/>
        <v>17</v>
      </c>
      <c r="B36" s="424" t="s">
        <v>294</v>
      </c>
      <c r="C36" s="425" t="s">
        <v>54</v>
      </c>
      <c r="D36" s="426">
        <f>378</f>
        <v>378</v>
      </c>
      <c r="E36" s="429">
        <v>54</v>
      </c>
      <c r="F36" s="427">
        <f t="shared" si="11"/>
        <v>20412</v>
      </c>
      <c r="G36" s="427">
        <f t="shared" si="5"/>
        <v>4321.5548451294644</v>
      </c>
      <c r="H36" s="427">
        <f>'Date Generale'!$D$58*F36</f>
        <v>3878.28</v>
      </c>
      <c r="I36" s="427">
        <f t="shared" si="12"/>
        <v>24290.28</v>
      </c>
      <c r="J36" s="428">
        <f t="shared" si="7"/>
        <v>5142.6502657040628</v>
      </c>
    </row>
    <row r="37" spans="1:10">
      <c r="A37" s="415">
        <f t="shared" si="8"/>
        <v>18</v>
      </c>
      <c r="B37" s="424" t="s">
        <v>295</v>
      </c>
      <c r="C37" s="425" t="s">
        <v>285</v>
      </c>
      <c r="D37" s="426">
        <v>651.5</v>
      </c>
      <c r="E37" s="429">
        <v>31.05</v>
      </c>
      <c r="F37" s="427">
        <f t="shared" si="11"/>
        <v>20229.075000000001</v>
      </c>
      <c r="G37" s="427">
        <f t="shared" si="5"/>
        <v>4282.8266254525442</v>
      </c>
      <c r="H37" s="427">
        <f>'Date Generale'!$D$58*F37</f>
        <v>3843.5242500000004</v>
      </c>
      <c r="I37" s="427">
        <f t="shared" si="12"/>
        <v>24072.599249999999</v>
      </c>
      <c r="J37" s="428">
        <f t="shared" si="7"/>
        <v>5096.5636842885269</v>
      </c>
    </row>
    <row r="38" spans="1:10">
      <c r="A38" s="415">
        <f t="shared" si="8"/>
        <v>19</v>
      </c>
      <c r="B38" s="424" t="s">
        <v>296</v>
      </c>
      <c r="C38" s="425" t="s">
        <v>55</v>
      </c>
      <c r="D38" s="426">
        <v>18</v>
      </c>
      <c r="E38" s="429">
        <v>202.5</v>
      </c>
      <c r="F38" s="427">
        <f t="shared" si="11"/>
        <v>3645</v>
      </c>
      <c r="G38" s="427">
        <f t="shared" si="5"/>
        <v>771.7062223445472</v>
      </c>
      <c r="H38" s="427">
        <f>'Date Generale'!$D$58*F38</f>
        <v>692.55</v>
      </c>
      <c r="I38" s="427">
        <f t="shared" si="12"/>
        <v>4337.55</v>
      </c>
      <c r="J38" s="428">
        <f t="shared" si="7"/>
        <v>918.3304045900112</v>
      </c>
    </row>
    <row r="39" spans="1:10">
      <c r="A39" s="415">
        <f t="shared" si="8"/>
        <v>20</v>
      </c>
      <c r="B39" s="424" t="s">
        <v>297</v>
      </c>
      <c r="C39" s="425" t="s">
        <v>55</v>
      </c>
      <c r="D39" s="426">
        <v>6</v>
      </c>
      <c r="E39" s="429">
        <v>2340</v>
      </c>
      <c r="F39" s="427">
        <f t="shared" si="11"/>
        <v>14040</v>
      </c>
      <c r="G39" s="427">
        <f t="shared" si="5"/>
        <v>2972.4980416234412</v>
      </c>
      <c r="H39" s="427">
        <f>'Date Generale'!$D$58*F39</f>
        <v>2667.6</v>
      </c>
      <c r="I39" s="427">
        <f t="shared" si="12"/>
        <v>16707.599999999999</v>
      </c>
      <c r="J39" s="428">
        <f t="shared" si="7"/>
        <v>3537.2726695318947</v>
      </c>
    </row>
    <row r="40" spans="1:10">
      <c r="A40" s="418" t="s">
        <v>298</v>
      </c>
      <c r="B40" s="419" t="s">
        <v>299</v>
      </c>
      <c r="C40" s="420"/>
      <c r="D40" s="421"/>
      <c r="E40" s="422"/>
      <c r="F40" s="423">
        <f>SUM(F41:F52)</f>
        <v>2549340.5839999993</v>
      </c>
      <c r="G40" s="423">
        <f t="shared" ref="G40:J40" si="13">SUM(G41:G52)</f>
        <v>539737.17189253273</v>
      </c>
      <c r="H40" s="423">
        <f t="shared" si="13"/>
        <v>484374.71095999994</v>
      </c>
      <c r="I40" s="423">
        <f t="shared" si="13"/>
        <v>3033715.2949599996</v>
      </c>
      <c r="J40" s="423">
        <f t="shared" si="13"/>
        <v>642287.23455211392</v>
      </c>
    </row>
    <row r="41" spans="1:10">
      <c r="A41" s="415">
        <v>1</v>
      </c>
      <c r="B41" s="424" t="s">
        <v>300</v>
      </c>
      <c r="C41" s="425" t="s">
        <v>280</v>
      </c>
      <c r="D41" s="414">
        <v>167.2</v>
      </c>
      <c r="E41" s="78">
        <v>11182.5</v>
      </c>
      <c r="F41" s="427">
        <f t="shared" ref="F41" si="14">D41*E41</f>
        <v>1869713.9999999998</v>
      </c>
      <c r="G41" s="427">
        <f t="shared" si="5"/>
        <v>395849.08856096369</v>
      </c>
      <c r="H41" s="427">
        <f>'Date Generale'!$D$58*F41</f>
        <v>355245.66</v>
      </c>
      <c r="I41" s="427">
        <f t="shared" ref="I41" si="15">F41+H41</f>
        <v>2224959.6599999997</v>
      </c>
      <c r="J41" s="428">
        <f t="shared" si="7"/>
        <v>471060.41538754676</v>
      </c>
    </row>
    <row r="42" spans="1:10">
      <c r="A42" s="415">
        <f>A41+1</f>
        <v>2</v>
      </c>
      <c r="B42" s="424" t="s">
        <v>301</v>
      </c>
      <c r="C42" s="425" t="s">
        <v>54</v>
      </c>
      <c r="D42" s="414">
        <v>27.2</v>
      </c>
      <c r="E42" s="78">
        <v>910.8</v>
      </c>
      <c r="F42" s="427">
        <f t="shared" ref="F42:F52" si="16">D42*E42</f>
        <v>24773.759999999998</v>
      </c>
      <c r="G42" s="427">
        <f t="shared" si="5"/>
        <v>5245.0109033938134</v>
      </c>
      <c r="H42" s="427">
        <f>'Date Generale'!$D$58*F42</f>
        <v>4707.0144</v>
      </c>
      <c r="I42" s="427">
        <f t="shared" ref="I42:I52" si="17">F42+H42</f>
        <v>29480.774399999998</v>
      </c>
      <c r="J42" s="428">
        <f t="shared" si="7"/>
        <v>6241.5629750386379</v>
      </c>
    </row>
    <row r="43" spans="1:10">
      <c r="A43" s="415">
        <f t="shared" ref="A43:A52" si="18">A42+1</f>
        <v>3</v>
      </c>
      <c r="B43" s="424" t="s">
        <v>302</v>
      </c>
      <c r="C43" s="425" t="s">
        <v>285</v>
      </c>
      <c r="D43" s="414">
        <v>255.8</v>
      </c>
      <c r="E43" s="78">
        <v>80.33</v>
      </c>
      <c r="F43" s="427">
        <f t="shared" si="16"/>
        <v>20548.414000000001</v>
      </c>
      <c r="G43" s="427">
        <f t="shared" si="5"/>
        <v>4350.4359240361609</v>
      </c>
      <c r="H43" s="427">
        <f>'Date Generale'!$D$58*F43</f>
        <v>3904.19866</v>
      </c>
      <c r="I43" s="427">
        <f t="shared" si="17"/>
        <v>24452.612659999999</v>
      </c>
      <c r="J43" s="428">
        <f t="shared" si="7"/>
        <v>5177.0187496030312</v>
      </c>
    </row>
    <row r="44" spans="1:10">
      <c r="A44" s="415">
        <f t="shared" si="18"/>
        <v>4</v>
      </c>
      <c r="B44" s="424" t="s">
        <v>290</v>
      </c>
      <c r="C44" s="425" t="s">
        <v>54</v>
      </c>
      <c r="D44" s="414">
        <v>275</v>
      </c>
      <c r="E44" s="78">
        <v>569.25</v>
      </c>
      <c r="F44" s="427">
        <f t="shared" si="16"/>
        <v>156543.75</v>
      </c>
      <c r="G44" s="427">
        <f t="shared" si="5"/>
        <v>33142.876802235725</v>
      </c>
      <c r="H44" s="427">
        <f>'Date Generale'!$D$58*F44</f>
        <v>29743.3125</v>
      </c>
      <c r="I44" s="427">
        <f t="shared" si="17"/>
        <v>186287.0625</v>
      </c>
      <c r="J44" s="428">
        <f t="shared" si="7"/>
        <v>39440.023394660515</v>
      </c>
    </row>
    <row r="45" spans="1:10">
      <c r="A45" s="415">
        <f t="shared" si="18"/>
        <v>5</v>
      </c>
      <c r="B45" s="424" t="s">
        <v>303</v>
      </c>
      <c r="C45" s="425" t="s">
        <v>280</v>
      </c>
      <c r="D45" s="414">
        <v>41.25</v>
      </c>
      <c r="E45" s="78">
        <v>4455</v>
      </c>
      <c r="F45" s="427">
        <f t="shared" si="16"/>
        <v>183768.75</v>
      </c>
      <c r="G45" s="427">
        <f t="shared" si="5"/>
        <v>38906.855376537591</v>
      </c>
      <c r="H45" s="427">
        <f>'Date Generale'!$D$58*F45</f>
        <v>34916.0625</v>
      </c>
      <c r="I45" s="427">
        <f t="shared" si="17"/>
        <v>218684.8125</v>
      </c>
      <c r="J45" s="428">
        <f t="shared" si="7"/>
        <v>46299.157898079735</v>
      </c>
    </row>
    <row r="46" spans="1:10">
      <c r="A46" s="415">
        <f t="shared" si="18"/>
        <v>6</v>
      </c>
      <c r="B46" s="424" t="s">
        <v>304</v>
      </c>
      <c r="C46" s="425" t="s">
        <v>285</v>
      </c>
      <c r="D46" s="414">
        <v>1049</v>
      </c>
      <c r="E46" s="78">
        <v>81</v>
      </c>
      <c r="F46" s="427">
        <f t="shared" si="16"/>
        <v>84969</v>
      </c>
      <c r="G46" s="427">
        <f t="shared" si="5"/>
        <v>17989.329494209556</v>
      </c>
      <c r="H46" s="427">
        <f>'Date Generale'!$D$58*F46</f>
        <v>16144.11</v>
      </c>
      <c r="I46" s="427">
        <f t="shared" si="17"/>
        <v>101113.11</v>
      </c>
      <c r="J46" s="428">
        <f t="shared" si="7"/>
        <v>21407.302098109372</v>
      </c>
    </row>
    <row r="47" spans="1:10">
      <c r="A47" s="415">
        <f t="shared" si="18"/>
        <v>7</v>
      </c>
      <c r="B47" s="424" t="s">
        <v>305</v>
      </c>
      <c r="C47" s="425" t="s">
        <v>285</v>
      </c>
      <c r="D47" s="414">
        <f>ROUNDUP(6.6*(85.4+80.65)/2*1.05,0)</f>
        <v>576</v>
      </c>
      <c r="E47" s="78">
        <v>54</v>
      </c>
      <c r="F47" s="427">
        <f t="shared" si="16"/>
        <v>31104</v>
      </c>
      <c r="G47" s="427">
        <f t="shared" si="5"/>
        <v>6585.2264306734696</v>
      </c>
      <c r="H47" s="427">
        <f>'Date Generale'!$D$58*F47</f>
        <v>5909.76</v>
      </c>
      <c r="I47" s="427">
        <f t="shared" si="17"/>
        <v>37013.760000000002</v>
      </c>
      <c r="J47" s="428">
        <f t="shared" si="7"/>
        <v>7836.4194525014291</v>
      </c>
    </row>
    <row r="48" spans="1:10">
      <c r="A48" s="415">
        <f t="shared" si="18"/>
        <v>8</v>
      </c>
      <c r="B48" s="424" t="s">
        <v>306</v>
      </c>
      <c r="C48" s="425" t="s">
        <v>67</v>
      </c>
      <c r="D48" s="414">
        <f>ROUNDUP(85.4+80.65,0)</f>
        <v>167</v>
      </c>
      <c r="E48" s="78">
        <v>45</v>
      </c>
      <c r="F48" s="427">
        <f t="shared" si="16"/>
        <v>7515</v>
      </c>
      <c r="G48" s="427">
        <f t="shared" si="5"/>
        <v>1591.0486312535727</v>
      </c>
      <c r="H48" s="427">
        <f>'Date Generale'!$D$58*F48</f>
        <v>1427.85</v>
      </c>
      <c r="I48" s="427">
        <f t="shared" si="17"/>
        <v>8942.85</v>
      </c>
      <c r="J48" s="428">
        <f t="shared" si="7"/>
        <v>1893.3478711917517</v>
      </c>
    </row>
    <row r="49" spans="1:10">
      <c r="A49" s="415">
        <f t="shared" si="18"/>
        <v>9</v>
      </c>
      <c r="B49" s="424" t="s">
        <v>307</v>
      </c>
      <c r="C49" s="425" t="s">
        <v>67</v>
      </c>
      <c r="D49" s="414">
        <f>ROUNDUP(15.75+7.8,1)</f>
        <v>23.6</v>
      </c>
      <c r="E49" s="78">
        <v>1656</v>
      </c>
      <c r="F49" s="427">
        <f t="shared" si="16"/>
        <v>39081.600000000006</v>
      </c>
      <c r="G49" s="427">
        <f t="shared" si="5"/>
        <v>8274.2150615036117</v>
      </c>
      <c r="H49" s="427">
        <f>'Date Generale'!$D$58*F49</f>
        <v>7425.5040000000008</v>
      </c>
      <c r="I49" s="427">
        <f t="shared" si="17"/>
        <v>46507.104000000007</v>
      </c>
      <c r="J49" s="428">
        <f t="shared" si="7"/>
        <v>9846.3159231892969</v>
      </c>
    </row>
    <row r="50" spans="1:10">
      <c r="A50" s="415">
        <f t="shared" si="18"/>
        <v>10</v>
      </c>
      <c r="B50" s="424" t="s">
        <v>308</v>
      </c>
      <c r="C50" s="425" t="s">
        <v>67</v>
      </c>
      <c r="D50" s="414">
        <f>ROUNDUP(85.4+80.65,0)</f>
        <v>167</v>
      </c>
      <c r="E50" s="78">
        <v>627.53</v>
      </c>
      <c r="F50" s="427">
        <f t="shared" si="16"/>
        <v>104797.51</v>
      </c>
      <c r="G50" s="427">
        <f t="shared" si="5"/>
        <v>22187.34994601232</v>
      </c>
      <c r="H50" s="427">
        <f>'Date Generale'!$D$58*F50</f>
        <v>19911.526900000001</v>
      </c>
      <c r="I50" s="427">
        <f t="shared" si="17"/>
        <v>124709.03689999999</v>
      </c>
      <c r="J50" s="428">
        <f t="shared" si="7"/>
        <v>26402.94643575466</v>
      </c>
    </row>
    <row r="51" spans="1:10">
      <c r="A51" s="415">
        <f t="shared" si="18"/>
        <v>11</v>
      </c>
      <c r="B51" s="424" t="s">
        <v>295</v>
      </c>
      <c r="C51" s="425" t="s">
        <v>285</v>
      </c>
      <c r="D51" s="414">
        <f>ROUNDUP((85.4+80.65)/2*9.82,0)</f>
        <v>816</v>
      </c>
      <c r="E51" s="78">
        <v>31.05</v>
      </c>
      <c r="F51" s="427">
        <f t="shared" si="16"/>
        <v>25336.799999999999</v>
      </c>
      <c r="G51" s="427">
        <f t="shared" si="5"/>
        <v>5364.2156966527637</v>
      </c>
      <c r="H51" s="427">
        <f>'Date Generale'!$D$58*F51</f>
        <v>4813.9920000000002</v>
      </c>
      <c r="I51" s="427">
        <f t="shared" si="17"/>
        <v>30150.792000000001</v>
      </c>
      <c r="J51" s="428">
        <f t="shared" si="7"/>
        <v>6383.4166790167892</v>
      </c>
    </row>
    <row r="52" spans="1:10">
      <c r="A52" s="415">
        <f t="shared" si="18"/>
        <v>12</v>
      </c>
      <c r="B52" s="424" t="s">
        <v>309</v>
      </c>
      <c r="C52" s="425" t="s">
        <v>55</v>
      </c>
      <c r="D52" s="414">
        <v>6</v>
      </c>
      <c r="E52" s="78">
        <v>198</v>
      </c>
      <c r="F52" s="427">
        <f t="shared" si="16"/>
        <v>1188</v>
      </c>
      <c r="G52" s="427">
        <f t="shared" si="5"/>
        <v>251.51906506044503</v>
      </c>
      <c r="H52" s="427">
        <f>'Date Generale'!$D$58*F52</f>
        <v>225.72</v>
      </c>
      <c r="I52" s="427">
        <f t="shared" si="17"/>
        <v>1413.72</v>
      </c>
      <c r="J52" s="428">
        <f t="shared" si="7"/>
        <v>299.30768742192959</v>
      </c>
    </row>
    <row r="53" spans="1:10">
      <c r="A53" s="418" t="s">
        <v>310</v>
      </c>
      <c r="B53" s="419" t="s">
        <v>311</v>
      </c>
      <c r="C53" s="420"/>
      <c r="D53" s="421"/>
      <c r="E53" s="422"/>
      <c r="F53" s="423">
        <f>SUM(F54:F58)</f>
        <v>283662</v>
      </c>
      <c r="G53" s="423">
        <f t="shared" ref="G53:J53" si="19">SUM(G54:G58)</f>
        <v>60055.893125568989</v>
      </c>
      <c r="H53" s="423">
        <f t="shared" si="19"/>
        <v>53895.780000000006</v>
      </c>
      <c r="I53" s="423">
        <f t="shared" si="19"/>
        <v>337557.77999999997</v>
      </c>
      <c r="J53" s="423">
        <f t="shared" si="19"/>
        <v>71466.512819427095</v>
      </c>
    </row>
    <row r="54" spans="1:10">
      <c r="A54" s="415">
        <v>1</v>
      </c>
      <c r="B54" s="424" t="s">
        <v>282</v>
      </c>
      <c r="C54" s="425" t="s">
        <v>54</v>
      </c>
      <c r="D54" s="426">
        <f>6*(1*2*2*2)</f>
        <v>48</v>
      </c>
      <c r="E54" s="78">
        <v>56.25</v>
      </c>
      <c r="F54" s="427">
        <f t="shared" ref="F54" si="20">D54*E54</f>
        <v>2700</v>
      </c>
      <c r="G54" s="427">
        <f t="shared" si="5"/>
        <v>571.63423877373873</v>
      </c>
      <c r="H54" s="427">
        <f>'Date Generale'!$D$58*F54</f>
        <v>513</v>
      </c>
      <c r="I54" s="427">
        <f t="shared" ref="I54" si="21">F54+H54</f>
        <v>3213</v>
      </c>
      <c r="J54" s="428">
        <f t="shared" si="7"/>
        <v>680.24474414074905</v>
      </c>
    </row>
    <row r="55" spans="1:10">
      <c r="A55" s="415">
        <f>A54+1</f>
        <v>2</v>
      </c>
      <c r="B55" s="424" t="s">
        <v>286</v>
      </c>
      <c r="C55" s="425" t="s">
        <v>54</v>
      </c>
      <c r="D55" s="426">
        <f>D54</f>
        <v>48</v>
      </c>
      <c r="E55" s="78">
        <v>396</v>
      </c>
      <c r="F55" s="427">
        <f t="shared" ref="F55:F58" si="22">D55*E55</f>
        <v>19008</v>
      </c>
      <c r="G55" s="427">
        <f t="shared" si="5"/>
        <v>4024.3050409671205</v>
      </c>
      <c r="H55" s="427">
        <f>'Date Generale'!$D$58*F55</f>
        <v>3611.52</v>
      </c>
      <c r="I55" s="427">
        <f t="shared" ref="I55:I58" si="23">F55+H55</f>
        <v>22619.52</v>
      </c>
      <c r="J55" s="428">
        <f t="shared" si="7"/>
        <v>4788.9229987508734</v>
      </c>
    </row>
    <row r="56" spans="1:10">
      <c r="A56" s="415">
        <f t="shared" ref="A56:A58" si="24">A55+1</f>
        <v>3</v>
      </c>
      <c r="B56" s="424" t="s">
        <v>287</v>
      </c>
      <c r="C56" s="425" t="s">
        <v>280</v>
      </c>
      <c r="D56" s="426">
        <f>ROUNDUP(D55*100/1000,1)</f>
        <v>4.8</v>
      </c>
      <c r="E56" s="78">
        <v>3712.5</v>
      </c>
      <c r="F56" s="427">
        <f t="shared" si="22"/>
        <v>17820</v>
      </c>
      <c r="G56" s="427">
        <f t="shared" si="5"/>
        <v>3772.7859759066755</v>
      </c>
      <c r="H56" s="427">
        <f>'Date Generale'!$D$58*F56</f>
        <v>3385.8</v>
      </c>
      <c r="I56" s="427">
        <f t="shared" si="23"/>
        <v>21205.8</v>
      </c>
      <c r="J56" s="428">
        <f t="shared" si="7"/>
        <v>4489.6153113289438</v>
      </c>
    </row>
    <row r="57" spans="1:10">
      <c r="A57" s="415">
        <f t="shared" si="24"/>
        <v>4</v>
      </c>
      <c r="B57" s="424" t="s">
        <v>312</v>
      </c>
      <c r="C57" s="425" t="s">
        <v>280</v>
      </c>
      <c r="D57" s="426">
        <f>2*1.5*2*6</f>
        <v>36</v>
      </c>
      <c r="E57" s="78">
        <v>6709.5</v>
      </c>
      <c r="F57" s="427">
        <f t="shared" si="22"/>
        <v>241542</v>
      </c>
      <c r="G57" s="427">
        <f t="shared" si="5"/>
        <v>51138.399000698664</v>
      </c>
      <c r="H57" s="427">
        <f>'Date Generale'!$D$58*F57</f>
        <v>45892.98</v>
      </c>
      <c r="I57" s="427">
        <f t="shared" si="23"/>
        <v>287434.98</v>
      </c>
      <c r="J57" s="428">
        <f t="shared" si="7"/>
        <v>60854.694810831403</v>
      </c>
    </row>
    <row r="58" spans="1:10">
      <c r="A58" s="415">
        <f t="shared" si="24"/>
        <v>5</v>
      </c>
      <c r="B58" s="424" t="s">
        <v>313</v>
      </c>
      <c r="C58" s="425" t="s">
        <v>54</v>
      </c>
      <c r="D58" s="426">
        <f>D55</f>
        <v>48</v>
      </c>
      <c r="E58" s="78">
        <v>54</v>
      </c>
      <c r="F58" s="427">
        <f t="shared" si="22"/>
        <v>2592</v>
      </c>
      <c r="G58" s="427">
        <f t="shared" si="5"/>
        <v>548.76886922278914</v>
      </c>
      <c r="H58" s="427">
        <f>'Date Generale'!$D$58*F58</f>
        <v>492.48</v>
      </c>
      <c r="I58" s="427">
        <f t="shared" si="23"/>
        <v>3084.48</v>
      </c>
      <c r="J58" s="428">
        <f t="shared" si="7"/>
        <v>653.03495437511913</v>
      </c>
    </row>
    <row r="59" spans="1:10">
      <c r="A59" s="443" t="s">
        <v>314</v>
      </c>
      <c r="B59" s="444" t="s">
        <v>267</v>
      </c>
      <c r="C59" s="445"/>
      <c r="D59" s="446"/>
      <c r="E59" s="447"/>
      <c r="F59" s="448">
        <f>F60+F81+F94</f>
        <v>4217329.3500000006</v>
      </c>
      <c r="G59" s="448">
        <f t="shared" ref="G59:J59" si="25">G60+G81+G94</f>
        <v>892877.72320199863</v>
      </c>
      <c r="H59" s="448">
        <f t="shared" si="25"/>
        <v>801292.57650000008</v>
      </c>
      <c r="I59" s="448">
        <f t="shared" si="25"/>
        <v>5018621.9265000001</v>
      </c>
      <c r="J59" s="448">
        <f t="shared" si="25"/>
        <v>1062524.4906103783</v>
      </c>
    </row>
    <row r="60" spans="1:10">
      <c r="A60" s="418" t="s">
        <v>315</v>
      </c>
      <c r="B60" s="419" t="s">
        <v>275</v>
      </c>
      <c r="C60" s="420"/>
      <c r="D60" s="421"/>
      <c r="E60" s="422"/>
      <c r="F60" s="423">
        <f>SUM(F61:F80)</f>
        <v>1619833.3280000002</v>
      </c>
      <c r="G60" s="423">
        <f t="shared" ref="G60:J60" si="26">SUM(G61:G80)</f>
        <v>342945.2560709673</v>
      </c>
      <c r="H60" s="423">
        <f t="shared" si="26"/>
        <v>307768.33231999999</v>
      </c>
      <c r="I60" s="423">
        <f t="shared" si="26"/>
        <v>1927601.66032</v>
      </c>
      <c r="J60" s="423">
        <f t="shared" si="26"/>
        <v>408104.85472445103</v>
      </c>
    </row>
    <row r="61" spans="1:10">
      <c r="A61" s="415">
        <v>1</v>
      </c>
      <c r="B61" s="424" t="s">
        <v>276</v>
      </c>
      <c r="C61" s="425" t="s">
        <v>67</v>
      </c>
      <c r="D61" s="426">
        <f>(14+2.5)*(5*4)</f>
        <v>330</v>
      </c>
      <c r="E61" s="426">
        <v>1337.38</v>
      </c>
      <c r="F61" s="427">
        <f>D61*E61</f>
        <v>441335.4</v>
      </c>
      <c r="G61" s="427">
        <f>F61/$H$9</f>
        <v>93437.935341816104</v>
      </c>
      <c r="H61" s="427">
        <f>'Date Generale'!$D$58*F61</f>
        <v>83853.72600000001</v>
      </c>
      <c r="I61" s="427">
        <f>F61+H61</f>
        <v>525189.12600000005</v>
      </c>
      <c r="J61" s="428">
        <f>I61/$H$9</f>
        <v>111191.14305676117</v>
      </c>
    </row>
    <row r="62" spans="1:10">
      <c r="A62" s="415">
        <f>A61+1</f>
        <v>2</v>
      </c>
      <c r="B62" s="424" t="s">
        <v>277</v>
      </c>
      <c r="C62" s="425" t="s">
        <v>67</v>
      </c>
      <c r="D62" s="426">
        <f>(14+3)*(4)</f>
        <v>68</v>
      </c>
      <c r="E62" s="429">
        <v>1923.75</v>
      </c>
      <c r="F62" s="427">
        <f t="shared" ref="F62:F67" si="27">D62*E62</f>
        <v>130815</v>
      </c>
      <c r="G62" s="427">
        <f t="shared" ref="G62:G99" si="28">F62/$H$9</f>
        <v>27695.678868587638</v>
      </c>
      <c r="H62" s="427">
        <f>'Date Generale'!$D$58*F62</f>
        <v>24854.85</v>
      </c>
      <c r="I62" s="427">
        <f t="shared" ref="I62:I80" si="29">F62+H62</f>
        <v>155669.85</v>
      </c>
      <c r="J62" s="428">
        <f t="shared" ref="J62:J99" si="30">I62/$H$9</f>
        <v>32957.857853619294</v>
      </c>
    </row>
    <row r="63" spans="1:10">
      <c r="A63" s="415">
        <f t="shared" ref="A63:A80" si="31">A62+1</f>
        <v>3</v>
      </c>
      <c r="B63" s="424" t="s">
        <v>278</v>
      </c>
      <c r="C63" s="425" t="s">
        <v>54</v>
      </c>
      <c r="D63" s="426">
        <f>ROUNDUP((14+1)*(5*4)*0.92+(14+1)*1.77*4,0)</f>
        <v>383</v>
      </c>
      <c r="E63" s="429">
        <v>495</v>
      </c>
      <c r="F63" s="427">
        <f t="shared" si="27"/>
        <v>189585</v>
      </c>
      <c r="G63" s="427">
        <f t="shared" si="28"/>
        <v>40138.250799229354</v>
      </c>
      <c r="H63" s="427">
        <f>'Date Generale'!$D$58*F63</f>
        <v>36021.15</v>
      </c>
      <c r="I63" s="427">
        <f t="shared" si="29"/>
        <v>225606.15</v>
      </c>
      <c r="J63" s="428">
        <f t="shared" si="30"/>
        <v>47764.518451082928</v>
      </c>
    </row>
    <row r="64" spans="1:10">
      <c r="A64" s="415">
        <f t="shared" si="31"/>
        <v>4</v>
      </c>
      <c r="B64" s="424" t="s">
        <v>279</v>
      </c>
      <c r="C64" s="425" t="s">
        <v>280</v>
      </c>
      <c r="D64" s="426">
        <f>ROUNDUP(80*(14*4*5)/1000+120*14*4/1000,1)</f>
        <v>29.200000000000003</v>
      </c>
      <c r="E64" s="429">
        <v>4275</v>
      </c>
      <c r="F64" s="427">
        <f t="shared" si="27"/>
        <v>124830.00000000001</v>
      </c>
      <c r="G64" s="427">
        <f t="shared" si="28"/>
        <v>26428.556305972521</v>
      </c>
      <c r="H64" s="427">
        <f>'Date Generale'!$D$58*F64</f>
        <v>23717.700000000004</v>
      </c>
      <c r="I64" s="427">
        <f t="shared" si="29"/>
        <v>148547.70000000001</v>
      </c>
      <c r="J64" s="428">
        <f t="shared" si="30"/>
        <v>31449.9820041073</v>
      </c>
    </row>
    <row r="65" spans="1:10">
      <c r="A65" s="415">
        <f t="shared" si="31"/>
        <v>5</v>
      </c>
      <c r="B65" s="424" t="s">
        <v>281</v>
      </c>
      <c r="C65" s="425" t="s">
        <v>67</v>
      </c>
      <c r="D65" s="426">
        <f>(14+1)*(5*4+4)*3</f>
        <v>1080</v>
      </c>
      <c r="E65" s="429">
        <v>83.7</v>
      </c>
      <c r="F65" s="427">
        <f t="shared" si="27"/>
        <v>90396</v>
      </c>
      <c r="G65" s="427">
        <f t="shared" si="28"/>
        <v>19138.314314144773</v>
      </c>
      <c r="H65" s="427">
        <f>'Date Generale'!$D$58*F65</f>
        <v>17175.240000000002</v>
      </c>
      <c r="I65" s="427">
        <f t="shared" si="29"/>
        <v>107571.24</v>
      </c>
      <c r="J65" s="428">
        <f t="shared" si="30"/>
        <v>22774.59403383228</v>
      </c>
    </row>
    <row r="66" spans="1:10">
      <c r="A66" s="415">
        <f t="shared" si="31"/>
        <v>6</v>
      </c>
      <c r="B66" s="424" t="s">
        <v>282</v>
      </c>
      <c r="C66" s="425" t="s">
        <v>54</v>
      </c>
      <c r="D66" s="426">
        <f>ROUNDUP((7*6*2.6)*4+8.8*6*2.6+7.5*3.5*3*2,1)</f>
        <v>731.6</v>
      </c>
      <c r="E66" s="429">
        <v>56.25</v>
      </c>
      <c r="F66" s="427">
        <f t="shared" si="27"/>
        <v>41152.5</v>
      </c>
      <c r="G66" s="427">
        <f t="shared" si="28"/>
        <v>8712.658522643067</v>
      </c>
      <c r="H66" s="427">
        <f>'Date Generale'!$D$58*F66</f>
        <v>7818.9750000000004</v>
      </c>
      <c r="I66" s="427">
        <f t="shared" si="29"/>
        <v>48971.474999999999</v>
      </c>
      <c r="J66" s="428">
        <f t="shared" si="30"/>
        <v>10368.063641945249</v>
      </c>
    </row>
    <row r="67" spans="1:10">
      <c r="A67" s="415">
        <f t="shared" si="31"/>
        <v>7</v>
      </c>
      <c r="B67" s="424" t="s">
        <v>283</v>
      </c>
      <c r="C67" s="425" t="s">
        <v>54</v>
      </c>
      <c r="D67" s="426">
        <f>ROUNDUP(((5+0.1*2)*(6+2*0.1)*4+(2.5+2*0.1)*(6.5+2*0.1)*2+(7.8+2*0.1)*(5.1+2*0.1))*0.1,1)</f>
        <v>20.8</v>
      </c>
      <c r="E67" s="429">
        <v>369</v>
      </c>
      <c r="F67" s="427">
        <f t="shared" si="27"/>
        <v>7675.2</v>
      </c>
      <c r="G67" s="427">
        <f t="shared" si="28"/>
        <v>1624.9655960874811</v>
      </c>
      <c r="H67" s="427">
        <f>'Date Generale'!$D$58*F67</f>
        <v>1458.288</v>
      </c>
      <c r="I67" s="427">
        <f t="shared" si="29"/>
        <v>9133.4879999999994</v>
      </c>
      <c r="J67" s="428">
        <f t="shared" si="30"/>
        <v>1933.7090593441026</v>
      </c>
    </row>
    <row r="68" spans="1:10">
      <c r="A68" s="415">
        <f t="shared" si="31"/>
        <v>8</v>
      </c>
      <c r="B68" s="424" t="s">
        <v>284</v>
      </c>
      <c r="C68" s="425" t="s">
        <v>285</v>
      </c>
      <c r="D68" s="426">
        <f>ROUNDUP((5+6)*2*4*1.5+(2.5+6.5)*2*2*2+(7.8+5)*2*1.5,1)</f>
        <v>242.4</v>
      </c>
      <c r="E68" s="429">
        <v>30.6</v>
      </c>
      <c r="F68" s="427">
        <f>D68*E68</f>
        <v>7417.4400000000005</v>
      </c>
      <c r="G68" s="427">
        <f t="shared" si="28"/>
        <v>1570.393580759215</v>
      </c>
      <c r="H68" s="427">
        <f>'Date Generale'!$D$58*F68</f>
        <v>1409.3136000000002</v>
      </c>
      <c r="I68" s="427">
        <f t="shared" si="29"/>
        <v>8826.7536</v>
      </c>
      <c r="J68" s="428">
        <f t="shared" si="30"/>
        <v>1868.7683611034658</v>
      </c>
    </row>
    <row r="69" spans="1:10">
      <c r="A69" s="415">
        <f t="shared" si="31"/>
        <v>9</v>
      </c>
      <c r="B69" s="424" t="s">
        <v>286</v>
      </c>
      <c r="C69" s="425" t="s">
        <v>54</v>
      </c>
      <c r="D69" s="426">
        <f>5*6*1.5*4+2.5*6.5*2*2+7.8*5*1.5</f>
        <v>303.5</v>
      </c>
      <c r="E69" s="429">
        <v>396</v>
      </c>
      <c r="F69" s="427">
        <f t="shared" ref="F69:F80" si="32">D69*E69</f>
        <v>120186</v>
      </c>
      <c r="G69" s="427">
        <f t="shared" si="28"/>
        <v>25445.345415281688</v>
      </c>
      <c r="H69" s="427">
        <f>'Date Generale'!$D$58*F69</f>
        <v>22835.34</v>
      </c>
      <c r="I69" s="427">
        <f t="shared" si="29"/>
        <v>143021.34</v>
      </c>
      <c r="J69" s="428">
        <f t="shared" si="30"/>
        <v>30279.961044185209</v>
      </c>
    </row>
    <row r="70" spans="1:10">
      <c r="A70" s="415">
        <f t="shared" si="31"/>
        <v>10</v>
      </c>
      <c r="B70" s="424" t="s">
        <v>287</v>
      </c>
      <c r="C70" s="425" t="s">
        <v>280</v>
      </c>
      <c r="D70" s="426">
        <v>30.4</v>
      </c>
      <c r="E70" s="429">
        <v>3712.5</v>
      </c>
      <c r="F70" s="427">
        <f t="shared" si="32"/>
        <v>112860</v>
      </c>
      <c r="G70" s="427">
        <f t="shared" si="28"/>
        <v>23894.311180742276</v>
      </c>
      <c r="H70" s="427">
        <f>'Date Generale'!$D$58*F70</f>
        <v>21443.4</v>
      </c>
      <c r="I70" s="427">
        <f t="shared" si="29"/>
        <v>134303.4</v>
      </c>
      <c r="J70" s="428">
        <f t="shared" si="30"/>
        <v>28434.230305083307</v>
      </c>
    </row>
    <row r="71" spans="1:10">
      <c r="A71" s="415">
        <f t="shared" si="31"/>
        <v>11</v>
      </c>
      <c r="B71" s="424" t="s">
        <v>288</v>
      </c>
      <c r="C71" s="425" t="s">
        <v>285</v>
      </c>
      <c r="D71" s="426">
        <v>473.6</v>
      </c>
      <c r="E71" s="429">
        <v>38.25</v>
      </c>
      <c r="F71" s="427">
        <f t="shared" si="32"/>
        <v>18115.2</v>
      </c>
      <c r="G71" s="427">
        <f t="shared" si="28"/>
        <v>3835.2846526792709</v>
      </c>
      <c r="H71" s="427">
        <f>'Date Generale'!$D$58*F71</f>
        <v>3441.8880000000004</v>
      </c>
      <c r="I71" s="427">
        <f t="shared" si="29"/>
        <v>21557.088</v>
      </c>
      <c r="J71" s="428">
        <f t="shared" si="30"/>
        <v>4563.9887366883322</v>
      </c>
    </row>
    <row r="72" spans="1:10">
      <c r="A72" s="415">
        <f t="shared" si="31"/>
        <v>12</v>
      </c>
      <c r="B72" s="424" t="s">
        <v>289</v>
      </c>
      <c r="C72" s="425" t="s">
        <v>285</v>
      </c>
      <c r="D72" s="426">
        <v>199.6</v>
      </c>
      <c r="E72" s="429">
        <v>57.38</v>
      </c>
      <c r="F72" s="427">
        <f t="shared" si="32"/>
        <v>11453.048000000001</v>
      </c>
      <c r="G72" s="427">
        <f t="shared" si="28"/>
        <v>2424.7979167107742</v>
      </c>
      <c r="H72" s="427">
        <f>'Date Generale'!$D$58*F72</f>
        <v>2176.0791200000003</v>
      </c>
      <c r="I72" s="427">
        <f t="shared" si="29"/>
        <v>13629.127120000001</v>
      </c>
      <c r="J72" s="428">
        <f t="shared" si="30"/>
        <v>2885.5095208858215</v>
      </c>
    </row>
    <row r="73" spans="1:10">
      <c r="A73" s="415">
        <f t="shared" si="31"/>
        <v>13</v>
      </c>
      <c r="B73" s="424" t="s">
        <v>290</v>
      </c>
      <c r="C73" s="425" t="s">
        <v>54</v>
      </c>
      <c r="D73" s="426">
        <v>288.39999999999998</v>
      </c>
      <c r="E73" s="429">
        <v>455.4</v>
      </c>
      <c r="F73" s="427">
        <f t="shared" si="32"/>
        <v>131337.35999999999</v>
      </c>
      <c r="G73" s="427">
        <f t="shared" si="28"/>
        <v>27806.271039315729</v>
      </c>
      <c r="H73" s="427">
        <f>'Date Generale'!$D$58*F73</f>
        <v>24954.098399999999</v>
      </c>
      <c r="I73" s="427">
        <f t="shared" si="29"/>
        <v>156291.45839999997</v>
      </c>
      <c r="J73" s="428">
        <f t="shared" si="30"/>
        <v>33089.462536785715</v>
      </c>
    </row>
    <row r="74" spans="1:10">
      <c r="A74" s="415">
        <f t="shared" si="31"/>
        <v>14</v>
      </c>
      <c r="B74" s="424" t="s">
        <v>291</v>
      </c>
      <c r="C74" s="425" t="s">
        <v>280</v>
      </c>
      <c r="D74" s="426">
        <v>34.700000000000003</v>
      </c>
      <c r="E74" s="429">
        <v>3712.5</v>
      </c>
      <c r="F74" s="427">
        <f t="shared" si="32"/>
        <v>128823.75000000001</v>
      </c>
      <c r="G74" s="427">
        <f t="shared" si="28"/>
        <v>27274.098617492011</v>
      </c>
      <c r="H74" s="427">
        <f>'Date Generale'!$D$58*F74</f>
        <v>24476.512500000004</v>
      </c>
      <c r="I74" s="427">
        <f t="shared" si="29"/>
        <v>153300.26250000001</v>
      </c>
      <c r="J74" s="428">
        <f t="shared" si="30"/>
        <v>32456.177354815492</v>
      </c>
    </row>
    <row r="75" spans="1:10">
      <c r="A75" s="415">
        <f t="shared" si="31"/>
        <v>15</v>
      </c>
      <c r="B75" s="424" t="s">
        <v>292</v>
      </c>
      <c r="C75" s="425" t="s">
        <v>285</v>
      </c>
      <c r="D75" s="426">
        <v>69</v>
      </c>
      <c r="E75" s="429">
        <v>15.53</v>
      </c>
      <c r="F75" s="427">
        <f t="shared" si="32"/>
        <v>1071.57</v>
      </c>
      <c r="G75" s="427">
        <f t="shared" si="28"/>
        <v>226.86892638621302</v>
      </c>
      <c r="H75" s="427">
        <f>'Date Generale'!$D$58*F75</f>
        <v>203.59829999999999</v>
      </c>
      <c r="I75" s="427">
        <f t="shared" si="29"/>
        <v>1275.1682999999998</v>
      </c>
      <c r="J75" s="428">
        <f t="shared" si="30"/>
        <v>269.97402239959348</v>
      </c>
    </row>
    <row r="76" spans="1:10">
      <c r="A76" s="415">
        <f t="shared" si="31"/>
        <v>16</v>
      </c>
      <c r="B76" s="424" t="s">
        <v>293</v>
      </c>
      <c r="C76" s="425" t="s">
        <v>54</v>
      </c>
      <c r="D76" s="426">
        <f>ROUNDUP(4.5*0.6*(7.4-2*0.5),0)</f>
        <v>18</v>
      </c>
      <c r="E76" s="429">
        <v>207</v>
      </c>
      <c r="F76" s="427">
        <f t="shared" si="32"/>
        <v>3726</v>
      </c>
      <c r="G76" s="427">
        <f t="shared" si="28"/>
        <v>788.85524950775937</v>
      </c>
      <c r="H76" s="427">
        <f>'Date Generale'!$D$58*F76</f>
        <v>707.94</v>
      </c>
      <c r="I76" s="427">
        <f t="shared" si="29"/>
        <v>4433.9400000000005</v>
      </c>
      <c r="J76" s="428">
        <f t="shared" si="30"/>
        <v>938.73774691423375</v>
      </c>
    </row>
    <row r="77" spans="1:10">
      <c r="A77" s="415">
        <f t="shared" si="31"/>
        <v>17</v>
      </c>
      <c r="B77" s="424" t="s">
        <v>294</v>
      </c>
      <c r="C77" s="425" t="s">
        <v>54</v>
      </c>
      <c r="D77" s="426">
        <f>379</f>
        <v>379</v>
      </c>
      <c r="E77" s="429">
        <v>54</v>
      </c>
      <c r="F77" s="427">
        <f t="shared" si="32"/>
        <v>20466</v>
      </c>
      <c r="G77" s="427">
        <f t="shared" si="28"/>
        <v>4332.987529904939</v>
      </c>
      <c r="H77" s="427">
        <f>'Date Generale'!$D$58*F77</f>
        <v>3888.54</v>
      </c>
      <c r="I77" s="427">
        <f t="shared" si="29"/>
        <v>24354.54</v>
      </c>
      <c r="J77" s="428">
        <f t="shared" si="30"/>
        <v>5156.2551605868775</v>
      </c>
    </row>
    <row r="78" spans="1:10">
      <c r="A78" s="415">
        <f t="shared" si="31"/>
        <v>18</v>
      </c>
      <c r="B78" s="424" t="s">
        <v>295</v>
      </c>
      <c r="C78" s="425" t="s">
        <v>285</v>
      </c>
      <c r="D78" s="426">
        <v>673.2</v>
      </c>
      <c r="E78" s="429">
        <v>31.05</v>
      </c>
      <c r="F78" s="427">
        <f t="shared" si="32"/>
        <v>20902.86</v>
      </c>
      <c r="G78" s="427">
        <f t="shared" si="28"/>
        <v>4425.4779497385307</v>
      </c>
      <c r="H78" s="427">
        <f>'Date Generale'!$D$58*F78</f>
        <v>3971.5434</v>
      </c>
      <c r="I78" s="427">
        <f t="shared" si="29"/>
        <v>24874.403399999999</v>
      </c>
      <c r="J78" s="428">
        <f t="shared" si="30"/>
        <v>5266.3187601888512</v>
      </c>
    </row>
    <row r="79" spans="1:10">
      <c r="A79" s="415">
        <f t="shared" si="31"/>
        <v>19</v>
      </c>
      <c r="B79" s="424" t="s">
        <v>296</v>
      </c>
      <c r="C79" s="425" t="s">
        <v>55</v>
      </c>
      <c r="D79" s="426">
        <v>18</v>
      </c>
      <c r="E79" s="429">
        <v>202.5</v>
      </c>
      <c r="F79" s="427">
        <f t="shared" si="32"/>
        <v>3645</v>
      </c>
      <c r="G79" s="427">
        <f t="shared" si="28"/>
        <v>771.7062223445472</v>
      </c>
      <c r="H79" s="427">
        <f>'Date Generale'!$D$58*F79</f>
        <v>692.55</v>
      </c>
      <c r="I79" s="427">
        <f t="shared" si="29"/>
        <v>4337.55</v>
      </c>
      <c r="J79" s="428">
        <f t="shared" si="30"/>
        <v>918.3304045900112</v>
      </c>
    </row>
    <row r="80" spans="1:10">
      <c r="A80" s="415">
        <f t="shared" si="31"/>
        <v>20</v>
      </c>
      <c r="B80" s="424" t="s">
        <v>297</v>
      </c>
      <c r="C80" s="425" t="s">
        <v>55</v>
      </c>
      <c r="D80" s="426">
        <v>6</v>
      </c>
      <c r="E80" s="429">
        <v>2340</v>
      </c>
      <c r="F80" s="427">
        <f t="shared" si="32"/>
        <v>14040</v>
      </c>
      <c r="G80" s="427">
        <f t="shared" si="28"/>
        <v>2972.4980416234412</v>
      </c>
      <c r="H80" s="427">
        <f>'Date Generale'!$D$58*F80</f>
        <v>2667.6</v>
      </c>
      <c r="I80" s="427">
        <f t="shared" si="29"/>
        <v>16707.599999999999</v>
      </c>
      <c r="J80" s="428">
        <f t="shared" si="30"/>
        <v>3537.2726695318947</v>
      </c>
    </row>
    <row r="81" spans="1:10">
      <c r="A81" s="418" t="s">
        <v>316</v>
      </c>
      <c r="B81" s="419" t="s">
        <v>299</v>
      </c>
      <c r="C81" s="420"/>
      <c r="D81" s="421"/>
      <c r="E81" s="422"/>
      <c r="F81" s="423">
        <f>SUM(F82:F93)</f>
        <v>2313834.0220000003</v>
      </c>
      <c r="G81" s="423">
        <f t="shared" ref="G81" si="33">SUM(G82:G93)</f>
        <v>489876.57400546235</v>
      </c>
      <c r="H81" s="423">
        <f t="shared" ref="H81" si="34">SUM(H82:H93)</f>
        <v>439628.46418000007</v>
      </c>
      <c r="I81" s="423">
        <f t="shared" ref="I81" si="35">SUM(I82:I93)</f>
        <v>2753462.48618</v>
      </c>
      <c r="J81" s="423">
        <f t="shared" ref="J81" si="36">SUM(J82:J93)</f>
        <v>582953.12306650018</v>
      </c>
    </row>
    <row r="82" spans="1:10">
      <c r="A82" s="415">
        <v>1</v>
      </c>
      <c r="B82" s="424" t="s">
        <v>300</v>
      </c>
      <c r="C82" s="425" t="s">
        <v>280</v>
      </c>
      <c r="D82" s="414">
        <v>159.9</v>
      </c>
      <c r="E82" s="78">
        <v>11182.5</v>
      </c>
      <c r="F82" s="427">
        <f t="shared" ref="F82:F93" si="37">D82*E82</f>
        <v>1788081.75</v>
      </c>
      <c r="G82" s="427">
        <f t="shared" si="28"/>
        <v>378566.20371350541</v>
      </c>
      <c r="H82" s="427">
        <f>'Date Generale'!$D$58*F82</f>
        <v>339735.53250000003</v>
      </c>
      <c r="I82" s="427">
        <f t="shared" ref="I82:I93" si="38">F82+H82</f>
        <v>2127817.2825000002</v>
      </c>
      <c r="J82" s="428">
        <f t="shared" si="30"/>
        <v>450493.78241907147</v>
      </c>
    </row>
    <row r="83" spans="1:10">
      <c r="A83" s="415">
        <f>A82+1</f>
        <v>2</v>
      </c>
      <c r="B83" s="424" t="s">
        <v>301</v>
      </c>
      <c r="C83" s="425" t="s">
        <v>54</v>
      </c>
      <c r="D83" s="414">
        <v>26</v>
      </c>
      <c r="E83" s="78">
        <v>910.8</v>
      </c>
      <c r="F83" s="427">
        <f t="shared" si="37"/>
        <v>23680.799999999999</v>
      </c>
      <c r="G83" s="427">
        <f t="shared" si="28"/>
        <v>5013.6133635382039</v>
      </c>
      <c r="H83" s="427">
        <f>'Date Generale'!$D$58*F83</f>
        <v>4499.3519999999999</v>
      </c>
      <c r="I83" s="427">
        <f t="shared" si="38"/>
        <v>28180.151999999998</v>
      </c>
      <c r="J83" s="428">
        <f t="shared" si="30"/>
        <v>5966.1999026104622</v>
      </c>
    </row>
    <row r="84" spans="1:10">
      <c r="A84" s="415">
        <f t="shared" ref="A84:A93" si="39">A83+1</f>
        <v>3</v>
      </c>
      <c r="B84" s="424" t="s">
        <v>302</v>
      </c>
      <c r="C84" s="425" t="s">
        <v>285</v>
      </c>
      <c r="D84" s="414">
        <v>242.4</v>
      </c>
      <c r="E84" s="78">
        <v>80.33</v>
      </c>
      <c r="F84" s="427">
        <f t="shared" si="37"/>
        <v>19471.991999999998</v>
      </c>
      <c r="G84" s="427">
        <f t="shared" si="28"/>
        <v>4122.5397497512331</v>
      </c>
      <c r="H84" s="427">
        <f>'Date Generale'!$D$58*F84</f>
        <v>3699.6784799999996</v>
      </c>
      <c r="I84" s="427">
        <f t="shared" si="38"/>
        <v>23171.670479999997</v>
      </c>
      <c r="J84" s="428">
        <f t="shared" si="30"/>
        <v>4905.8223022039665</v>
      </c>
    </row>
    <row r="85" spans="1:10">
      <c r="A85" s="415">
        <f t="shared" si="39"/>
        <v>4</v>
      </c>
      <c r="B85" s="424" t="s">
        <v>290</v>
      </c>
      <c r="C85" s="425" t="s">
        <v>54</v>
      </c>
      <c r="D85" s="414">
        <v>172</v>
      </c>
      <c r="E85" s="78">
        <v>569.25</v>
      </c>
      <c r="F85" s="427">
        <f t="shared" si="37"/>
        <v>97911</v>
      </c>
      <c r="G85" s="427">
        <f t="shared" si="28"/>
        <v>20729.362945398345</v>
      </c>
      <c r="H85" s="427">
        <f>'Date Generale'!$D$58*F85</f>
        <v>18603.09</v>
      </c>
      <c r="I85" s="427">
        <f t="shared" si="38"/>
        <v>116514.09</v>
      </c>
      <c r="J85" s="428">
        <f t="shared" si="30"/>
        <v>24667.941905024029</v>
      </c>
    </row>
    <row r="86" spans="1:10">
      <c r="A86" s="415">
        <f t="shared" si="39"/>
        <v>5</v>
      </c>
      <c r="B86" s="424" t="s">
        <v>303</v>
      </c>
      <c r="C86" s="425" t="s">
        <v>280</v>
      </c>
      <c r="D86" s="414">
        <v>25.8</v>
      </c>
      <c r="E86" s="78">
        <v>4455</v>
      </c>
      <c r="F86" s="427">
        <f t="shared" si="37"/>
        <v>114939</v>
      </c>
      <c r="G86" s="427">
        <f t="shared" si="28"/>
        <v>24334.469544598058</v>
      </c>
      <c r="H86" s="427">
        <f>'Date Generale'!$D$58*F86</f>
        <v>21838.41</v>
      </c>
      <c r="I86" s="427">
        <f t="shared" si="38"/>
        <v>136777.41</v>
      </c>
      <c r="J86" s="428">
        <f t="shared" si="30"/>
        <v>28958.018758071688</v>
      </c>
    </row>
    <row r="87" spans="1:10">
      <c r="A87" s="415">
        <f t="shared" si="39"/>
        <v>6</v>
      </c>
      <c r="B87" s="424" t="s">
        <v>304</v>
      </c>
      <c r="C87" s="425" t="s">
        <v>285</v>
      </c>
      <c r="D87" s="414">
        <v>657</v>
      </c>
      <c r="E87" s="78">
        <v>81</v>
      </c>
      <c r="F87" s="427">
        <f t="shared" si="37"/>
        <v>53217</v>
      </c>
      <c r="G87" s="427">
        <f t="shared" si="28"/>
        <v>11266.91084623039</v>
      </c>
      <c r="H87" s="427">
        <f>'Date Generale'!$D$58*F87</f>
        <v>10111.23</v>
      </c>
      <c r="I87" s="427">
        <f t="shared" si="38"/>
        <v>63328.229999999996</v>
      </c>
      <c r="J87" s="428">
        <f t="shared" si="30"/>
        <v>13407.623907014164</v>
      </c>
    </row>
    <row r="88" spans="1:10">
      <c r="A88" s="415">
        <f t="shared" si="39"/>
        <v>7</v>
      </c>
      <c r="B88" s="424" t="s">
        <v>305</v>
      </c>
      <c r="C88" s="425" t="s">
        <v>285</v>
      </c>
      <c r="D88" s="414">
        <v>546</v>
      </c>
      <c r="E88" s="78">
        <v>54</v>
      </c>
      <c r="F88" s="427">
        <f t="shared" si="37"/>
        <v>29484</v>
      </c>
      <c r="G88" s="427">
        <f t="shared" si="28"/>
        <v>6242.2458874092263</v>
      </c>
      <c r="H88" s="427">
        <f>'Date Generale'!$D$58*F88</f>
        <v>5601.96</v>
      </c>
      <c r="I88" s="427">
        <f t="shared" si="38"/>
        <v>35085.96</v>
      </c>
      <c r="J88" s="428">
        <f t="shared" si="30"/>
        <v>7428.2726060169798</v>
      </c>
    </row>
    <row r="89" spans="1:10">
      <c r="A89" s="415">
        <f t="shared" si="39"/>
        <v>8</v>
      </c>
      <c r="B89" s="424" t="s">
        <v>306</v>
      </c>
      <c r="C89" s="425" t="s">
        <v>67</v>
      </c>
      <c r="D89" s="414">
        <v>158</v>
      </c>
      <c r="E89" s="78">
        <v>45</v>
      </c>
      <c r="F89" s="427">
        <f t="shared" si="37"/>
        <v>7110</v>
      </c>
      <c r="G89" s="427">
        <f t="shared" si="28"/>
        <v>1505.3034954375119</v>
      </c>
      <c r="H89" s="427">
        <f>'Date Generale'!$D$58*F89</f>
        <v>1350.9</v>
      </c>
      <c r="I89" s="427">
        <f t="shared" si="38"/>
        <v>8460.9</v>
      </c>
      <c r="J89" s="428">
        <f t="shared" si="30"/>
        <v>1791.3111595706391</v>
      </c>
    </row>
    <row r="90" spans="1:10">
      <c r="A90" s="415">
        <f t="shared" si="39"/>
        <v>9</v>
      </c>
      <c r="B90" s="424" t="s">
        <v>307</v>
      </c>
      <c r="C90" s="425" t="s">
        <v>67</v>
      </c>
      <c r="D90" s="414">
        <v>32.1</v>
      </c>
      <c r="E90" s="78">
        <v>1656</v>
      </c>
      <c r="F90" s="427">
        <f t="shared" si="37"/>
        <v>53157.600000000006</v>
      </c>
      <c r="G90" s="427">
        <f t="shared" si="28"/>
        <v>11254.334892977369</v>
      </c>
      <c r="H90" s="427">
        <f>'Date Generale'!$D$58*F90</f>
        <v>10099.944000000001</v>
      </c>
      <c r="I90" s="427">
        <f t="shared" si="38"/>
        <v>63257.544000000009</v>
      </c>
      <c r="J90" s="428">
        <f t="shared" si="30"/>
        <v>13392.658522643069</v>
      </c>
    </row>
    <row r="91" spans="1:10">
      <c r="A91" s="415">
        <f t="shared" si="39"/>
        <v>10</v>
      </c>
      <c r="B91" s="424" t="s">
        <v>308</v>
      </c>
      <c r="C91" s="425" t="s">
        <v>67</v>
      </c>
      <c r="D91" s="414">
        <v>161</v>
      </c>
      <c r="E91" s="78">
        <v>627.53</v>
      </c>
      <c r="F91" s="427">
        <f t="shared" si="37"/>
        <v>101032.33</v>
      </c>
      <c r="G91" s="427">
        <f t="shared" si="28"/>
        <v>21390.199648550803</v>
      </c>
      <c r="H91" s="427">
        <f>'Date Generale'!$D$58*F91</f>
        <v>19196.1427</v>
      </c>
      <c r="I91" s="427">
        <f t="shared" si="38"/>
        <v>120228.4727</v>
      </c>
      <c r="J91" s="428">
        <f t="shared" si="30"/>
        <v>25454.337581775453</v>
      </c>
    </row>
    <row r="92" spans="1:10">
      <c r="A92" s="415">
        <f t="shared" si="39"/>
        <v>11</v>
      </c>
      <c r="B92" s="424" t="s">
        <v>295</v>
      </c>
      <c r="C92" s="425" t="s">
        <v>285</v>
      </c>
      <c r="D92" s="414">
        <v>791</v>
      </c>
      <c r="E92" s="78">
        <v>31.05</v>
      </c>
      <c r="F92" s="427">
        <f t="shared" si="37"/>
        <v>24560.55</v>
      </c>
      <c r="G92" s="427">
        <f t="shared" si="28"/>
        <v>5199.8708530053136</v>
      </c>
      <c r="H92" s="427">
        <f>'Date Generale'!$D$58*F92</f>
        <v>4666.5045</v>
      </c>
      <c r="I92" s="427">
        <f t="shared" si="38"/>
        <v>29227.054499999998</v>
      </c>
      <c r="J92" s="428">
        <f t="shared" si="30"/>
        <v>6187.8463150763237</v>
      </c>
    </row>
    <row r="93" spans="1:10">
      <c r="A93" s="415">
        <f t="shared" si="39"/>
        <v>12</v>
      </c>
      <c r="B93" s="424" t="s">
        <v>309</v>
      </c>
      <c r="C93" s="425" t="s">
        <v>55</v>
      </c>
      <c r="D93" s="414">
        <v>6</v>
      </c>
      <c r="E93" s="78">
        <v>198</v>
      </c>
      <c r="F93" s="427">
        <f t="shared" si="37"/>
        <v>1188</v>
      </c>
      <c r="G93" s="427">
        <f t="shared" si="28"/>
        <v>251.51906506044503</v>
      </c>
      <c r="H93" s="427">
        <f>'Date Generale'!$D$58*F93</f>
        <v>225.72</v>
      </c>
      <c r="I93" s="427">
        <f t="shared" si="38"/>
        <v>1413.72</v>
      </c>
      <c r="J93" s="428">
        <f t="shared" si="30"/>
        <v>299.30768742192959</v>
      </c>
    </row>
    <row r="94" spans="1:10">
      <c r="A94" s="418" t="s">
        <v>317</v>
      </c>
      <c r="B94" s="419" t="s">
        <v>311</v>
      </c>
      <c r="C94" s="420"/>
      <c r="D94" s="421"/>
      <c r="E94" s="422"/>
      <c r="F94" s="423">
        <f>SUM(F95:F99)</f>
        <v>283662</v>
      </c>
      <c r="G94" s="423">
        <f t="shared" ref="G94" si="40">SUM(G95:G99)</f>
        <v>60055.893125568989</v>
      </c>
      <c r="H94" s="423">
        <f t="shared" ref="H94" si="41">SUM(H95:H99)</f>
        <v>53895.780000000006</v>
      </c>
      <c r="I94" s="423">
        <f t="shared" ref="I94" si="42">SUM(I95:I99)</f>
        <v>337557.77999999997</v>
      </c>
      <c r="J94" s="423">
        <f t="shared" ref="J94" si="43">SUM(J95:J99)</f>
        <v>71466.512819427095</v>
      </c>
    </row>
    <row r="95" spans="1:10">
      <c r="A95" s="415">
        <v>1</v>
      </c>
      <c r="B95" s="424" t="s">
        <v>282</v>
      </c>
      <c r="C95" s="425" t="s">
        <v>54</v>
      </c>
      <c r="D95" s="426">
        <f>6*(1*2*2*2)</f>
        <v>48</v>
      </c>
      <c r="E95" s="78">
        <v>56.25</v>
      </c>
      <c r="F95" s="427">
        <f t="shared" ref="F95:F99" si="44">D95*E95</f>
        <v>2700</v>
      </c>
      <c r="G95" s="427">
        <f t="shared" si="28"/>
        <v>571.63423877373873</v>
      </c>
      <c r="H95" s="427">
        <f>'Date Generale'!$D$58*F95</f>
        <v>513</v>
      </c>
      <c r="I95" s="427">
        <f t="shared" ref="I95:I99" si="45">F95+H95</f>
        <v>3213</v>
      </c>
      <c r="J95" s="428">
        <f t="shared" si="30"/>
        <v>680.24474414074905</v>
      </c>
    </row>
    <row r="96" spans="1:10">
      <c r="A96" s="415">
        <f>A95+1</f>
        <v>2</v>
      </c>
      <c r="B96" s="424" t="s">
        <v>286</v>
      </c>
      <c r="C96" s="425" t="s">
        <v>54</v>
      </c>
      <c r="D96" s="426">
        <f>D95</f>
        <v>48</v>
      </c>
      <c r="E96" s="78">
        <v>396</v>
      </c>
      <c r="F96" s="427">
        <f t="shared" si="44"/>
        <v>19008</v>
      </c>
      <c r="G96" s="427">
        <f t="shared" si="28"/>
        <v>4024.3050409671205</v>
      </c>
      <c r="H96" s="427">
        <f>'Date Generale'!$D$58*F96</f>
        <v>3611.52</v>
      </c>
      <c r="I96" s="427">
        <f t="shared" si="45"/>
        <v>22619.52</v>
      </c>
      <c r="J96" s="428">
        <f t="shared" si="30"/>
        <v>4788.9229987508734</v>
      </c>
    </row>
    <row r="97" spans="1:10">
      <c r="A97" s="415">
        <f t="shared" ref="A97:A99" si="46">A96+1</f>
        <v>3</v>
      </c>
      <c r="B97" s="424" t="s">
        <v>287</v>
      </c>
      <c r="C97" s="425" t="s">
        <v>280</v>
      </c>
      <c r="D97" s="426">
        <f>ROUNDUP(D96*100/1000,1)</f>
        <v>4.8</v>
      </c>
      <c r="E97" s="78">
        <v>3712.5</v>
      </c>
      <c r="F97" s="427">
        <f t="shared" si="44"/>
        <v>17820</v>
      </c>
      <c r="G97" s="427">
        <f t="shared" si="28"/>
        <v>3772.7859759066755</v>
      </c>
      <c r="H97" s="427">
        <f>'Date Generale'!$D$58*F97</f>
        <v>3385.8</v>
      </c>
      <c r="I97" s="427">
        <f t="shared" si="45"/>
        <v>21205.8</v>
      </c>
      <c r="J97" s="428">
        <f t="shared" si="30"/>
        <v>4489.6153113289438</v>
      </c>
    </row>
    <row r="98" spans="1:10">
      <c r="A98" s="415">
        <f t="shared" si="46"/>
        <v>4</v>
      </c>
      <c r="B98" s="424" t="s">
        <v>312</v>
      </c>
      <c r="C98" s="425" t="s">
        <v>280</v>
      </c>
      <c r="D98" s="426">
        <f>2*1.5*2*6</f>
        <v>36</v>
      </c>
      <c r="E98" s="78">
        <v>6709.5</v>
      </c>
      <c r="F98" s="427">
        <f t="shared" si="44"/>
        <v>241542</v>
      </c>
      <c r="G98" s="427">
        <f t="shared" si="28"/>
        <v>51138.399000698664</v>
      </c>
      <c r="H98" s="427">
        <f>'Date Generale'!$D$58*F98</f>
        <v>45892.98</v>
      </c>
      <c r="I98" s="427">
        <f t="shared" si="45"/>
        <v>287434.98</v>
      </c>
      <c r="J98" s="428">
        <f t="shared" si="30"/>
        <v>60854.694810831403</v>
      </c>
    </row>
    <row r="99" spans="1:10">
      <c r="A99" s="415">
        <f t="shared" si="46"/>
        <v>5</v>
      </c>
      <c r="B99" s="424" t="s">
        <v>313</v>
      </c>
      <c r="C99" s="425" t="s">
        <v>54</v>
      </c>
      <c r="D99" s="426">
        <f>D96</f>
        <v>48</v>
      </c>
      <c r="E99" s="78">
        <v>54</v>
      </c>
      <c r="F99" s="427">
        <f t="shared" si="44"/>
        <v>2592</v>
      </c>
      <c r="G99" s="427">
        <f t="shared" si="28"/>
        <v>548.76886922278914</v>
      </c>
      <c r="H99" s="427">
        <f>'Date Generale'!$D$58*F99</f>
        <v>492.48</v>
      </c>
      <c r="I99" s="427">
        <f t="shared" si="45"/>
        <v>3084.48</v>
      </c>
      <c r="J99" s="428">
        <f t="shared" si="30"/>
        <v>653.03495437511913</v>
      </c>
    </row>
    <row r="100" spans="1:10">
      <c r="A100" s="443" t="s">
        <v>321</v>
      </c>
      <c r="B100" s="444" t="s">
        <v>322</v>
      </c>
      <c r="C100" s="445"/>
      <c r="D100" s="446"/>
      <c r="E100" s="447"/>
      <c r="F100" s="448">
        <f>F101+F122+F135</f>
        <v>6273907.0690000001</v>
      </c>
      <c r="G100" s="448">
        <f t="shared" ref="G100" si="47">G101+G122+G135</f>
        <v>1328288.9227870344</v>
      </c>
      <c r="H100" s="448">
        <f t="shared" ref="H100" si="48">H101+H122+H135</f>
        <v>1192042.3431099998</v>
      </c>
      <c r="I100" s="448">
        <f t="shared" ref="I100" si="49">I101+I122+I135</f>
        <v>7465949.4121099999</v>
      </c>
      <c r="J100" s="448">
        <f t="shared" ref="J100" si="50">J101+J122+J135</f>
        <v>1580663.8181165708</v>
      </c>
    </row>
    <row r="101" spans="1:10">
      <c r="A101" s="418" t="s">
        <v>320</v>
      </c>
      <c r="B101" s="419" t="s">
        <v>275</v>
      </c>
      <c r="C101" s="420"/>
      <c r="D101" s="421"/>
      <c r="E101" s="422"/>
      <c r="F101" s="423">
        <f>SUM(F102:F121)</f>
        <v>2723554.16</v>
      </c>
      <c r="G101" s="423">
        <f t="shared" ref="G101" si="51">SUM(G102:G121)</f>
        <v>576621.04037431465</v>
      </c>
      <c r="H101" s="423">
        <f t="shared" ref="H101" si="52">SUM(H102:H121)</f>
        <v>517475.2904</v>
      </c>
      <c r="I101" s="423">
        <f t="shared" ref="I101" si="53">SUM(I102:I121)</f>
        <v>3241029.4503999995</v>
      </c>
      <c r="J101" s="423">
        <f t="shared" ref="J101" si="54">SUM(J102:J121)</f>
        <v>686179.03804543428</v>
      </c>
    </row>
    <row r="102" spans="1:10">
      <c r="A102" s="415">
        <v>1</v>
      </c>
      <c r="B102" s="424" t="s">
        <v>276</v>
      </c>
      <c r="C102" s="425" t="s">
        <v>67</v>
      </c>
      <c r="D102" s="426">
        <v>528</v>
      </c>
      <c r="E102" s="426">
        <v>1337.38</v>
      </c>
      <c r="F102" s="427">
        <f>D102*E102</f>
        <v>706136.64</v>
      </c>
      <c r="G102" s="427">
        <f>F102/$H$9</f>
        <v>149500.69654690576</v>
      </c>
      <c r="H102" s="427">
        <f>'Date Generale'!$D$58*F102</f>
        <v>134165.96160000001</v>
      </c>
      <c r="I102" s="427">
        <f>F102+H102</f>
        <v>840302.60160000005</v>
      </c>
      <c r="J102" s="428">
        <f>I102/$H$9</f>
        <v>177905.82889081788</v>
      </c>
    </row>
    <row r="103" spans="1:10">
      <c r="A103" s="415">
        <f>A102+1</f>
        <v>2</v>
      </c>
      <c r="B103" s="424" t="s">
        <v>277</v>
      </c>
      <c r="C103" s="425" t="s">
        <v>67</v>
      </c>
      <c r="D103" s="426">
        <v>136</v>
      </c>
      <c r="E103" s="429">
        <v>1923.75</v>
      </c>
      <c r="F103" s="427">
        <f t="shared" ref="F103:F108" si="55">D103*E103</f>
        <v>261630</v>
      </c>
      <c r="G103" s="427">
        <f t="shared" ref="G103:G140" si="56">F103/$H$9</f>
        <v>55391.357737175276</v>
      </c>
      <c r="H103" s="427">
        <f>'Date Generale'!$D$58*F103</f>
        <v>49709.7</v>
      </c>
      <c r="I103" s="427">
        <f t="shared" ref="I103:I121" si="57">F103+H103</f>
        <v>311339.7</v>
      </c>
      <c r="J103" s="428">
        <f t="shared" ref="J103:J140" si="58">I103/$H$9</f>
        <v>65915.715707238589</v>
      </c>
    </row>
    <row r="104" spans="1:10">
      <c r="A104" s="415">
        <f t="shared" ref="A104:A121" si="59">A103+1</f>
        <v>3</v>
      </c>
      <c r="B104" s="424" t="s">
        <v>278</v>
      </c>
      <c r="C104" s="425" t="s">
        <v>54</v>
      </c>
      <c r="D104" s="426">
        <v>654</v>
      </c>
      <c r="E104" s="429">
        <v>495</v>
      </c>
      <c r="F104" s="427">
        <f t="shared" si="55"/>
        <v>323730</v>
      </c>
      <c r="G104" s="427">
        <f t="shared" si="56"/>
        <v>68538.945228971264</v>
      </c>
      <c r="H104" s="427">
        <f>'Date Generale'!$D$58*F104</f>
        <v>61508.7</v>
      </c>
      <c r="I104" s="427">
        <f t="shared" si="57"/>
        <v>385238.7</v>
      </c>
      <c r="J104" s="428">
        <f t="shared" si="58"/>
        <v>81561.344822475818</v>
      </c>
    </row>
    <row r="105" spans="1:10">
      <c r="A105" s="415">
        <f t="shared" si="59"/>
        <v>4</v>
      </c>
      <c r="B105" s="424" t="s">
        <v>279</v>
      </c>
      <c r="C105" s="425" t="s">
        <v>280</v>
      </c>
      <c r="D105" s="426">
        <v>49.3</v>
      </c>
      <c r="E105" s="429">
        <v>4275</v>
      </c>
      <c r="F105" s="427">
        <f t="shared" si="55"/>
        <v>210757.5</v>
      </c>
      <c r="G105" s="427">
        <f t="shared" si="56"/>
        <v>44620.815954946753</v>
      </c>
      <c r="H105" s="427">
        <f>'Date Generale'!$D$58*F105</f>
        <v>40043.925000000003</v>
      </c>
      <c r="I105" s="427">
        <f t="shared" si="57"/>
        <v>250801.42499999999</v>
      </c>
      <c r="J105" s="428">
        <f t="shared" si="58"/>
        <v>53098.770986386633</v>
      </c>
    </row>
    <row r="106" spans="1:10">
      <c r="A106" s="415">
        <f t="shared" si="59"/>
        <v>5</v>
      </c>
      <c r="B106" s="424" t="s">
        <v>281</v>
      </c>
      <c r="C106" s="425" t="s">
        <v>67</v>
      </c>
      <c r="D106" s="426">
        <v>1800</v>
      </c>
      <c r="E106" s="429">
        <v>83.7</v>
      </c>
      <c r="F106" s="427">
        <f t="shared" si="55"/>
        <v>150660</v>
      </c>
      <c r="G106" s="427">
        <f t="shared" si="56"/>
        <v>31897.19052357462</v>
      </c>
      <c r="H106" s="427">
        <f>'Date Generale'!$D$58*F106</f>
        <v>28625.4</v>
      </c>
      <c r="I106" s="427">
        <f t="shared" si="57"/>
        <v>179285.4</v>
      </c>
      <c r="J106" s="428">
        <f t="shared" si="58"/>
        <v>37957.656723053798</v>
      </c>
    </row>
    <row r="107" spans="1:10">
      <c r="A107" s="415">
        <f t="shared" si="59"/>
        <v>6</v>
      </c>
      <c r="B107" s="424" t="s">
        <v>282</v>
      </c>
      <c r="C107" s="425" t="s">
        <v>54</v>
      </c>
      <c r="D107" s="426">
        <v>1051.4000000000001</v>
      </c>
      <c r="E107" s="429">
        <v>56.25</v>
      </c>
      <c r="F107" s="427">
        <f t="shared" si="55"/>
        <v>59141.250000000007</v>
      </c>
      <c r="G107" s="427">
        <f t="shared" si="56"/>
        <v>12521.171638473103</v>
      </c>
      <c r="H107" s="427">
        <f>'Date Generale'!$D$58*F107</f>
        <v>11236.837500000001</v>
      </c>
      <c r="I107" s="427">
        <f t="shared" si="57"/>
        <v>70378.087500000009</v>
      </c>
      <c r="J107" s="428">
        <f t="shared" si="58"/>
        <v>14900.194249782993</v>
      </c>
    </row>
    <row r="108" spans="1:10">
      <c r="A108" s="415">
        <f t="shared" si="59"/>
        <v>7</v>
      </c>
      <c r="B108" s="424" t="s">
        <v>283</v>
      </c>
      <c r="C108" s="425" t="s">
        <v>54</v>
      </c>
      <c r="D108" s="426">
        <v>35</v>
      </c>
      <c r="E108" s="429">
        <v>369</v>
      </c>
      <c r="F108" s="427">
        <f t="shared" si="55"/>
        <v>12915</v>
      </c>
      <c r="G108" s="427">
        <f t="shared" si="56"/>
        <v>2734.3171088010499</v>
      </c>
      <c r="H108" s="427">
        <f>'Date Generale'!$D$58*F108</f>
        <v>2453.85</v>
      </c>
      <c r="I108" s="427">
        <f t="shared" si="57"/>
        <v>15368.85</v>
      </c>
      <c r="J108" s="428">
        <f t="shared" si="58"/>
        <v>3253.8373594732498</v>
      </c>
    </row>
    <row r="109" spans="1:10">
      <c r="A109" s="415">
        <f t="shared" si="59"/>
        <v>8</v>
      </c>
      <c r="B109" s="424" t="s">
        <v>284</v>
      </c>
      <c r="C109" s="425" t="s">
        <v>285</v>
      </c>
      <c r="D109" s="426">
        <v>441.9</v>
      </c>
      <c r="E109" s="429">
        <v>30.6</v>
      </c>
      <c r="F109" s="427">
        <f>D109*E109</f>
        <v>13522.14</v>
      </c>
      <c r="G109" s="427">
        <f t="shared" si="56"/>
        <v>2862.858594626638</v>
      </c>
      <c r="H109" s="427">
        <f>'Date Generale'!$D$58*F109</f>
        <v>2569.2066</v>
      </c>
      <c r="I109" s="427">
        <f t="shared" si="57"/>
        <v>16091.346599999999</v>
      </c>
      <c r="J109" s="428">
        <f t="shared" si="58"/>
        <v>3406.8017276056989</v>
      </c>
    </row>
    <row r="110" spans="1:10">
      <c r="A110" s="415">
        <f t="shared" si="59"/>
        <v>9</v>
      </c>
      <c r="B110" s="424" t="s">
        <v>286</v>
      </c>
      <c r="C110" s="425" t="s">
        <v>54</v>
      </c>
      <c r="D110" s="426">
        <v>522.29999999999995</v>
      </c>
      <c r="E110" s="429">
        <v>396</v>
      </c>
      <c r="F110" s="427">
        <f t="shared" ref="F110:F121" si="60">D110*E110</f>
        <v>206830.8</v>
      </c>
      <c r="G110" s="427">
        <f t="shared" si="56"/>
        <v>43789.469227023474</v>
      </c>
      <c r="H110" s="427">
        <f>'Date Generale'!$D$58*F110</f>
        <v>39297.851999999999</v>
      </c>
      <c r="I110" s="427">
        <f t="shared" si="57"/>
        <v>246128.652</v>
      </c>
      <c r="J110" s="428">
        <f t="shared" si="58"/>
        <v>52109.468380157938</v>
      </c>
    </row>
    <row r="111" spans="1:10">
      <c r="A111" s="415">
        <f t="shared" si="59"/>
        <v>10</v>
      </c>
      <c r="B111" s="424" t="s">
        <v>287</v>
      </c>
      <c r="C111" s="425" t="s">
        <v>280</v>
      </c>
      <c r="D111" s="426">
        <v>52.3</v>
      </c>
      <c r="E111" s="429">
        <v>3712.5</v>
      </c>
      <c r="F111" s="427">
        <f t="shared" si="60"/>
        <v>194163.75</v>
      </c>
      <c r="G111" s="427">
        <f t="shared" si="56"/>
        <v>41107.647195816484</v>
      </c>
      <c r="H111" s="427">
        <f>'Date Generale'!$D$58*F111</f>
        <v>36891.112500000003</v>
      </c>
      <c r="I111" s="427">
        <f t="shared" si="57"/>
        <v>231054.86249999999</v>
      </c>
      <c r="J111" s="428">
        <f t="shared" si="58"/>
        <v>48918.100163021612</v>
      </c>
    </row>
    <row r="112" spans="1:10">
      <c r="A112" s="415">
        <f t="shared" si="59"/>
        <v>11</v>
      </c>
      <c r="B112" s="424" t="s">
        <v>288</v>
      </c>
      <c r="C112" s="425" t="s">
        <v>285</v>
      </c>
      <c r="D112" s="426">
        <v>700.6</v>
      </c>
      <c r="E112" s="429">
        <v>38.25</v>
      </c>
      <c r="F112" s="427">
        <f t="shared" si="60"/>
        <v>26797.95</v>
      </c>
      <c r="G112" s="427">
        <f t="shared" si="56"/>
        <v>5673.5650922024861</v>
      </c>
      <c r="H112" s="427">
        <f>'Date Generale'!$D$58*F112</f>
        <v>5091.6104999999998</v>
      </c>
      <c r="I112" s="427">
        <f t="shared" si="57"/>
        <v>31889.5605</v>
      </c>
      <c r="J112" s="428">
        <f t="shared" si="58"/>
        <v>6751.5424597209576</v>
      </c>
    </row>
    <row r="113" spans="1:10">
      <c r="A113" s="415">
        <f t="shared" si="59"/>
        <v>12</v>
      </c>
      <c r="B113" s="424" t="s">
        <v>289</v>
      </c>
      <c r="C113" s="425" t="s">
        <v>285</v>
      </c>
      <c r="D113" s="426">
        <v>330</v>
      </c>
      <c r="E113" s="429">
        <v>57.38</v>
      </c>
      <c r="F113" s="427">
        <f t="shared" si="60"/>
        <v>18935.400000000001</v>
      </c>
      <c r="G113" s="427">
        <f t="shared" si="56"/>
        <v>4008.934431435649</v>
      </c>
      <c r="H113" s="427">
        <f>'Date Generale'!$D$58*F113</f>
        <v>3597.7260000000001</v>
      </c>
      <c r="I113" s="427">
        <f t="shared" si="57"/>
        <v>22533.126</v>
      </c>
      <c r="J113" s="428">
        <f t="shared" si="58"/>
        <v>4770.6319734084218</v>
      </c>
    </row>
    <row r="114" spans="1:10">
      <c r="A114" s="415">
        <f t="shared" si="59"/>
        <v>13</v>
      </c>
      <c r="B114" s="424" t="s">
        <v>290</v>
      </c>
      <c r="C114" s="425" t="s">
        <v>54</v>
      </c>
      <c r="D114" s="426">
        <v>489.8</v>
      </c>
      <c r="E114" s="429">
        <v>455.4</v>
      </c>
      <c r="F114" s="427">
        <f t="shared" si="60"/>
        <v>223054.91999999998</v>
      </c>
      <c r="G114" s="427">
        <f t="shared" si="56"/>
        <v>47224.381258865622</v>
      </c>
      <c r="H114" s="427">
        <f>'Date Generale'!$D$58*F114</f>
        <v>42380.434799999995</v>
      </c>
      <c r="I114" s="427">
        <f t="shared" si="57"/>
        <v>265435.35479999997</v>
      </c>
      <c r="J114" s="428">
        <f t="shared" si="58"/>
        <v>56197.013698050083</v>
      </c>
    </row>
    <row r="115" spans="1:10">
      <c r="A115" s="415">
        <f t="shared" si="59"/>
        <v>14</v>
      </c>
      <c r="B115" s="424" t="s">
        <v>291</v>
      </c>
      <c r="C115" s="425" t="s">
        <v>280</v>
      </c>
      <c r="D115" s="426">
        <v>58.8</v>
      </c>
      <c r="E115" s="429">
        <v>3712.5</v>
      </c>
      <c r="F115" s="427">
        <f t="shared" si="60"/>
        <v>218295</v>
      </c>
      <c r="G115" s="427">
        <f t="shared" si="56"/>
        <v>46216.628204856774</v>
      </c>
      <c r="H115" s="427">
        <f>'Date Generale'!$D$58*F115</f>
        <v>41476.050000000003</v>
      </c>
      <c r="I115" s="427">
        <f t="shared" si="57"/>
        <v>259771.05</v>
      </c>
      <c r="J115" s="428">
        <f t="shared" si="58"/>
        <v>54997.787563779559</v>
      </c>
    </row>
    <row r="116" spans="1:10">
      <c r="A116" s="415">
        <f t="shared" si="59"/>
        <v>15</v>
      </c>
      <c r="B116" s="424" t="s">
        <v>292</v>
      </c>
      <c r="C116" s="425" t="s">
        <v>285</v>
      </c>
      <c r="D116" s="426">
        <v>106</v>
      </c>
      <c r="E116" s="429">
        <v>15.53</v>
      </c>
      <c r="F116" s="427">
        <f t="shared" si="60"/>
        <v>1646.1799999999998</v>
      </c>
      <c r="G116" s="427">
        <f t="shared" si="56"/>
        <v>348.52327821650113</v>
      </c>
      <c r="H116" s="427">
        <f>'Date Generale'!$D$58*F116</f>
        <v>312.77419999999995</v>
      </c>
      <c r="I116" s="427">
        <f t="shared" si="57"/>
        <v>1958.9541999999997</v>
      </c>
      <c r="J116" s="428">
        <f t="shared" si="58"/>
        <v>414.7427010776363</v>
      </c>
    </row>
    <row r="117" spans="1:10">
      <c r="A117" s="415">
        <f t="shared" si="59"/>
        <v>16</v>
      </c>
      <c r="B117" s="424" t="s">
        <v>293</v>
      </c>
      <c r="C117" s="425" t="s">
        <v>54</v>
      </c>
      <c r="D117" s="426">
        <v>33</v>
      </c>
      <c r="E117" s="429">
        <v>207</v>
      </c>
      <c r="F117" s="427">
        <f t="shared" si="60"/>
        <v>6831</v>
      </c>
      <c r="G117" s="427">
        <f t="shared" si="56"/>
        <v>1446.2346240975589</v>
      </c>
      <c r="H117" s="427">
        <f>'Date Generale'!$D$58*F117</f>
        <v>1297.8900000000001</v>
      </c>
      <c r="I117" s="427">
        <f t="shared" si="57"/>
        <v>8128.89</v>
      </c>
      <c r="J117" s="428">
        <f t="shared" si="58"/>
        <v>1721.0192026760951</v>
      </c>
    </row>
    <row r="118" spans="1:10">
      <c r="A118" s="415">
        <f t="shared" si="59"/>
        <v>17</v>
      </c>
      <c r="B118" s="424" t="s">
        <v>294</v>
      </c>
      <c r="C118" s="425" t="s">
        <v>54</v>
      </c>
      <c r="D118" s="426">
        <v>446</v>
      </c>
      <c r="E118" s="429">
        <v>54</v>
      </c>
      <c r="F118" s="427">
        <f t="shared" si="60"/>
        <v>24084</v>
      </c>
      <c r="G118" s="427">
        <f t="shared" si="56"/>
        <v>5098.977409861749</v>
      </c>
      <c r="H118" s="427">
        <f>'Date Generale'!$D$58*F118</f>
        <v>4575.96</v>
      </c>
      <c r="I118" s="427">
        <f t="shared" si="57"/>
        <v>28659.96</v>
      </c>
      <c r="J118" s="428">
        <f t="shared" si="58"/>
        <v>6067.783117735481</v>
      </c>
    </row>
    <row r="119" spans="1:10">
      <c r="A119" s="415">
        <f t="shared" si="59"/>
        <v>18</v>
      </c>
      <c r="B119" s="424" t="s">
        <v>295</v>
      </c>
      <c r="C119" s="425" t="s">
        <v>285</v>
      </c>
      <c r="D119" s="426">
        <v>1030.5999999999999</v>
      </c>
      <c r="E119" s="429">
        <v>31.05</v>
      </c>
      <c r="F119" s="427">
        <f t="shared" si="60"/>
        <v>32000.129999999997</v>
      </c>
      <c r="G119" s="427">
        <f t="shared" si="56"/>
        <v>6774.9518345224733</v>
      </c>
      <c r="H119" s="427">
        <f>'Date Generale'!$D$58*F119</f>
        <v>6080.0246999999999</v>
      </c>
      <c r="I119" s="427">
        <f t="shared" si="57"/>
        <v>38080.154699999999</v>
      </c>
      <c r="J119" s="428">
        <f t="shared" si="58"/>
        <v>8062.1926830817438</v>
      </c>
    </row>
    <row r="120" spans="1:10">
      <c r="A120" s="415">
        <f t="shared" si="59"/>
        <v>19</v>
      </c>
      <c r="B120" s="424" t="s">
        <v>296</v>
      </c>
      <c r="C120" s="425" t="s">
        <v>55</v>
      </c>
      <c r="D120" s="426">
        <v>33</v>
      </c>
      <c r="E120" s="429">
        <v>202.5</v>
      </c>
      <c r="F120" s="427">
        <f t="shared" si="60"/>
        <v>6682.5</v>
      </c>
      <c r="G120" s="427">
        <f t="shared" si="56"/>
        <v>1414.7947409650033</v>
      </c>
      <c r="H120" s="427">
        <f>'Date Generale'!$D$58*F120</f>
        <v>1269.675</v>
      </c>
      <c r="I120" s="427">
        <f t="shared" si="57"/>
        <v>7952.1750000000002</v>
      </c>
      <c r="J120" s="428">
        <f t="shared" si="58"/>
        <v>1683.6057417483539</v>
      </c>
    </row>
    <row r="121" spans="1:10">
      <c r="A121" s="415">
        <f t="shared" si="59"/>
        <v>20</v>
      </c>
      <c r="B121" s="424" t="s">
        <v>297</v>
      </c>
      <c r="C121" s="425" t="s">
        <v>55</v>
      </c>
      <c r="D121" s="426">
        <v>11</v>
      </c>
      <c r="E121" s="429">
        <v>2340</v>
      </c>
      <c r="F121" s="427">
        <f t="shared" si="60"/>
        <v>25740</v>
      </c>
      <c r="G121" s="427">
        <f t="shared" si="56"/>
        <v>5449.5797429763088</v>
      </c>
      <c r="H121" s="427">
        <f>'Date Generale'!$D$58*F121</f>
        <v>4890.6000000000004</v>
      </c>
      <c r="I121" s="427">
        <f t="shared" si="57"/>
        <v>30630.6</v>
      </c>
      <c r="J121" s="428">
        <f t="shared" si="58"/>
        <v>6484.9998941418071</v>
      </c>
    </row>
    <row r="122" spans="1:10">
      <c r="A122" s="418" t="s">
        <v>319</v>
      </c>
      <c r="B122" s="419" t="s">
        <v>299</v>
      </c>
      <c r="C122" s="420"/>
      <c r="D122" s="421"/>
      <c r="E122" s="422"/>
      <c r="F122" s="423">
        <f>SUM(F123:F134)</f>
        <v>3456014.9090000005</v>
      </c>
      <c r="G122" s="423">
        <f t="shared" ref="G122" si="61">SUM(G123:G134)</f>
        <v>731694.98210996529</v>
      </c>
      <c r="H122" s="423">
        <f t="shared" ref="H122" si="62">SUM(H123:H134)</f>
        <v>656642.83270999987</v>
      </c>
      <c r="I122" s="423">
        <f t="shared" ref="I122" si="63">SUM(I123:I134)</f>
        <v>4112657.7417100002</v>
      </c>
      <c r="J122" s="423">
        <f t="shared" ref="J122" si="64">SUM(J123:J134)</f>
        <v>870717.02871085866</v>
      </c>
    </row>
    <row r="123" spans="1:10">
      <c r="A123" s="415">
        <v>1</v>
      </c>
      <c r="B123" s="424" t="s">
        <v>300</v>
      </c>
      <c r="C123" s="425" t="s">
        <v>280</v>
      </c>
      <c r="D123" s="414">
        <v>238.2</v>
      </c>
      <c r="E123" s="78">
        <v>11182.5</v>
      </c>
      <c r="F123" s="427">
        <f t="shared" ref="F123:F134" si="65">D123*E123</f>
        <v>2663671.5</v>
      </c>
      <c r="G123" s="427">
        <f t="shared" si="56"/>
        <v>563942.90009103809</v>
      </c>
      <c r="H123" s="427">
        <f>'Date Generale'!$D$58*F123</f>
        <v>506097.58500000002</v>
      </c>
      <c r="I123" s="427">
        <f t="shared" ref="I123:I134" si="66">F123+H123</f>
        <v>3169769.085</v>
      </c>
      <c r="J123" s="428">
        <f t="shared" si="58"/>
        <v>671092.05110833526</v>
      </c>
    </row>
    <row r="124" spans="1:10">
      <c r="A124" s="415">
        <f>A123+1</f>
        <v>2</v>
      </c>
      <c r="B124" s="424" t="s">
        <v>301</v>
      </c>
      <c r="C124" s="425" t="s">
        <v>54</v>
      </c>
      <c r="D124" s="414">
        <v>37.1</v>
      </c>
      <c r="E124" s="78">
        <v>910.8</v>
      </c>
      <c r="F124" s="427">
        <f t="shared" si="65"/>
        <v>33790.68</v>
      </c>
      <c r="G124" s="427">
        <f t="shared" si="56"/>
        <v>7154.0406072025917</v>
      </c>
      <c r="H124" s="427">
        <f>'Date Generale'!$D$58*F124</f>
        <v>6420.2291999999998</v>
      </c>
      <c r="I124" s="427">
        <f t="shared" si="66"/>
        <v>40210.909200000002</v>
      </c>
      <c r="J124" s="428">
        <f t="shared" si="58"/>
        <v>8513.3083225710834</v>
      </c>
    </row>
    <row r="125" spans="1:10">
      <c r="A125" s="415">
        <f t="shared" ref="A125:A134" si="67">A124+1</f>
        <v>3</v>
      </c>
      <c r="B125" s="424" t="s">
        <v>302</v>
      </c>
      <c r="C125" s="425" t="s">
        <v>285</v>
      </c>
      <c r="D125" s="414">
        <v>284.3</v>
      </c>
      <c r="E125" s="78">
        <v>80.33</v>
      </c>
      <c r="F125" s="427">
        <f t="shared" si="65"/>
        <v>22837.819</v>
      </c>
      <c r="G125" s="427">
        <f t="shared" si="56"/>
        <v>4835.1404738212686</v>
      </c>
      <c r="H125" s="427">
        <f>'Date Generale'!$D$58*F125</f>
        <v>4339.1856099999995</v>
      </c>
      <c r="I125" s="427">
        <f t="shared" si="66"/>
        <v>27177.00461</v>
      </c>
      <c r="J125" s="428">
        <f t="shared" si="58"/>
        <v>5753.8171638473104</v>
      </c>
    </row>
    <row r="126" spans="1:10">
      <c r="A126" s="415">
        <f t="shared" si="67"/>
        <v>4</v>
      </c>
      <c r="B126" s="424" t="s">
        <v>290</v>
      </c>
      <c r="C126" s="425" t="s">
        <v>54</v>
      </c>
      <c r="D126" s="414">
        <v>268</v>
      </c>
      <c r="E126" s="78">
        <v>569.25</v>
      </c>
      <c r="F126" s="427">
        <f t="shared" si="65"/>
        <v>152559</v>
      </c>
      <c r="G126" s="427">
        <f t="shared" si="56"/>
        <v>32299.239938178816</v>
      </c>
      <c r="H126" s="427">
        <f>'Date Generale'!$D$58*F126</f>
        <v>28986.21</v>
      </c>
      <c r="I126" s="427">
        <f t="shared" si="66"/>
        <v>181545.21</v>
      </c>
      <c r="J126" s="428">
        <f t="shared" si="58"/>
        <v>38436.095526432786</v>
      </c>
    </row>
    <row r="127" spans="1:10">
      <c r="A127" s="415">
        <f t="shared" si="67"/>
        <v>5</v>
      </c>
      <c r="B127" s="424" t="s">
        <v>303</v>
      </c>
      <c r="C127" s="425" t="s">
        <v>280</v>
      </c>
      <c r="D127" s="414">
        <v>40.200000000000003</v>
      </c>
      <c r="E127" s="78">
        <v>4455</v>
      </c>
      <c r="F127" s="427">
        <f t="shared" si="65"/>
        <v>179091</v>
      </c>
      <c r="G127" s="427">
        <f t="shared" si="56"/>
        <v>37916.499057862085</v>
      </c>
      <c r="H127" s="427">
        <f>'Date Generale'!$D$58*F127</f>
        <v>34027.29</v>
      </c>
      <c r="I127" s="427">
        <f t="shared" si="66"/>
        <v>213118.29</v>
      </c>
      <c r="J127" s="428">
        <f t="shared" si="58"/>
        <v>45120.633878855886</v>
      </c>
    </row>
    <row r="128" spans="1:10">
      <c r="A128" s="415">
        <f t="shared" si="67"/>
        <v>6</v>
      </c>
      <c r="B128" s="424" t="s">
        <v>304</v>
      </c>
      <c r="C128" s="425" t="s">
        <v>285</v>
      </c>
      <c r="D128" s="414">
        <v>1030</v>
      </c>
      <c r="E128" s="78">
        <v>81</v>
      </c>
      <c r="F128" s="427">
        <f t="shared" si="65"/>
        <v>83430</v>
      </c>
      <c r="G128" s="427">
        <f t="shared" si="56"/>
        <v>17663.497978108524</v>
      </c>
      <c r="H128" s="427">
        <f>'Date Generale'!$D$58*F128</f>
        <v>15851.7</v>
      </c>
      <c r="I128" s="427">
        <f t="shared" si="66"/>
        <v>99281.7</v>
      </c>
      <c r="J128" s="428">
        <f t="shared" si="58"/>
        <v>21019.562593949144</v>
      </c>
    </row>
    <row r="129" spans="1:10">
      <c r="A129" s="415">
        <f t="shared" si="67"/>
        <v>7</v>
      </c>
      <c r="B129" s="424" t="s">
        <v>305</v>
      </c>
      <c r="C129" s="425" t="s">
        <v>285</v>
      </c>
      <c r="D129" s="414">
        <v>957</v>
      </c>
      <c r="E129" s="78">
        <v>54</v>
      </c>
      <c r="F129" s="427">
        <f t="shared" si="65"/>
        <v>51678</v>
      </c>
      <c r="G129" s="427">
        <f t="shared" si="56"/>
        <v>10941.079330129358</v>
      </c>
      <c r="H129" s="427">
        <f>'Date Generale'!$D$58*F129</f>
        <v>9818.82</v>
      </c>
      <c r="I129" s="427">
        <f t="shared" si="66"/>
        <v>61496.82</v>
      </c>
      <c r="J129" s="428">
        <f t="shared" si="58"/>
        <v>13019.884402853937</v>
      </c>
    </row>
    <row r="130" spans="1:10">
      <c r="A130" s="415">
        <f t="shared" si="67"/>
        <v>8</v>
      </c>
      <c r="B130" s="424" t="s">
        <v>306</v>
      </c>
      <c r="C130" s="425" t="s">
        <v>67</v>
      </c>
      <c r="D130" s="414">
        <v>169</v>
      </c>
      <c r="E130" s="78">
        <v>45</v>
      </c>
      <c r="F130" s="427">
        <f t="shared" si="65"/>
        <v>7605</v>
      </c>
      <c r="G130" s="427">
        <f t="shared" si="56"/>
        <v>1610.103105879364</v>
      </c>
      <c r="H130" s="427">
        <f>'Date Generale'!$D$58*F130</f>
        <v>1444.95</v>
      </c>
      <c r="I130" s="427">
        <f t="shared" si="66"/>
        <v>9049.9500000000007</v>
      </c>
      <c r="J130" s="428">
        <f t="shared" si="58"/>
        <v>1916.0226959964432</v>
      </c>
    </row>
    <row r="131" spans="1:10">
      <c r="A131" s="415">
        <f t="shared" si="67"/>
        <v>9</v>
      </c>
      <c r="B131" s="424" t="s">
        <v>307</v>
      </c>
      <c r="C131" s="425" t="s">
        <v>67</v>
      </c>
      <c r="D131" s="414">
        <v>62.5</v>
      </c>
      <c r="E131" s="78">
        <v>1656</v>
      </c>
      <c r="F131" s="427">
        <f t="shared" si="65"/>
        <v>103500</v>
      </c>
      <c r="G131" s="427">
        <f t="shared" si="56"/>
        <v>21912.645819659981</v>
      </c>
      <c r="H131" s="427">
        <f>'Date Generale'!$D$58*F131</f>
        <v>19665</v>
      </c>
      <c r="I131" s="427">
        <f t="shared" si="66"/>
        <v>123165</v>
      </c>
      <c r="J131" s="428">
        <f t="shared" si="58"/>
        <v>26076.048525395381</v>
      </c>
    </row>
    <row r="132" spans="1:10">
      <c r="A132" s="415">
        <f t="shared" si="67"/>
        <v>10</v>
      </c>
      <c r="B132" s="424" t="s">
        <v>308</v>
      </c>
      <c r="C132" s="425" t="s">
        <v>67</v>
      </c>
      <c r="D132" s="414">
        <v>182</v>
      </c>
      <c r="E132" s="78">
        <v>627.53</v>
      </c>
      <c r="F132" s="427">
        <f t="shared" si="65"/>
        <v>114210.45999999999</v>
      </c>
      <c r="G132" s="427">
        <f t="shared" si="56"/>
        <v>24180.22568966612</v>
      </c>
      <c r="H132" s="427">
        <f>'Date Generale'!$D$58*F132</f>
        <v>21699.987399999998</v>
      </c>
      <c r="I132" s="427">
        <f t="shared" si="66"/>
        <v>135910.4474</v>
      </c>
      <c r="J132" s="428">
        <f t="shared" si="58"/>
        <v>28774.468570702687</v>
      </c>
    </row>
    <row r="133" spans="1:10">
      <c r="A133" s="415">
        <f t="shared" si="67"/>
        <v>11</v>
      </c>
      <c r="B133" s="424" t="s">
        <v>295</v>
      </c>
      <c r="C133" s="425" t="s">
        <v>285</v>
      </c>
      <c r="D133" s="414">
        <v>1329</v>
      </c>
      <c r="E133" s="78">
        <v>31.05</v>
      </c>
      <c r="F133" s="427">
        <f t="shared" si="65"/>
        <v>41265.450000000004</v>
      </c>
      <c r="G133" s="427">
        <f t="shared" si="56"/>
        <v>8736.5718882984365</v>
      </c>
      <c r="H133" s="427">
        <f>'Date Generale'!$D$58*F133</f>
        <v>7840.4355000000005</v>
      </c>
      <c r="I133" s="427">
        <f t="shared" si="66"/>
        <v>49105.885500000004</v>
      </c>
      <c r="J133" s="428">
        <f t="shared" si="58"/>
        <v>10396.520547075139</v>
      </c>
    </row>
    <row r="134" spans="1:10">
      <c r="A134" s="415">
        <f t="shared" si="67"/>
        <v>12</v>
      </c>
      <c r="B134" s="424" t="s">
        <v>309</v>
      </c>
      <c r="C134" s="425" t="s">
        <v>55</v>
      </c>
      <c r="D134" s="414">
        <v>12</v>
      </c>
      <c r="E134" s="78">
        <v>198</v>
      </c>
      <c r="F134" s="427">
        <f t="shared" si="65"/>
        <v>2376</v>
      </c>
      <c r="G134" s="427">
        <f t="shared" si="56"/>
        <v>503.03813012089006</v>
      </c>
      <c r="H134" s="427">
        <f>'Date Generale'!$D$58*F134</f>
        <v>451.44</v>
      </c>
      <c r="I134" s="427">
        <f t="shared" si="66"/>
        <v>2827.44</v>
      </c>
      <c r="J134" s="428">
        <f t="shared" si="58"/>
        <v>598.61537484385917</v>
      </c>
    </row>
    <row r="135" spans="1:10">
      <c r="A135" s="418" t="s">
        <v>318</v>
      </c>
      <c r="B135" s="419" t="s">
        <v>311</v>
      </c>
      <c r="C135" s="420"/>
      <c r="D135" s="421"/>
      <c r="E135" s="422"/>
      <c r="F135" s="423">
        <f>SUM(F136:F140)</f>
        <v>94338</v>
      </c>
      <c r="G135" s="423">
        <f t="shared" ref="G135" si="68">SUM(G136:G140)</f>
        <v>19972.900302754428</v>
      </c>
      <c r="H135" s="423">
        <f t="shared" ref="H135" si="69">SUM(H136:H140)</f>
        <v>17924.219999999998</v>
      </c>
      <c r="I135" s="423">
        <f t="shared" ref="I135" si="70">SUM(I136:I140)</f>
        <v>112262.22</v>
      </c>
      <c r="J135" s="423">
        <f t="shared" ref="J135" si="71">SUM(J136:J140)</f>
        <v>23767.751360277773</v>
      </c>
    </row>
    <row r="136" spans="1:10">
      <c r="A136" s="415">
        <v>1</v>
      </c>
      <c r="B136" s="424" t="s">
        <v>282</v>
      </c>
      <c r="C136" s="425" t="s">
        <v>54</v>
      </c>
      <c r="D136" s="426">
        <v>16</v>
      </c>
      <c r="E136" s="78">
        <v>56.25</v>
      </c>
      <c r="F136" s="427">
        <f t="shared" ref="F136:F140" si="72">D136*E136</f>
        <v>900</v>
      </c>
      <c r="G136" s="427">
        <f t="shared" si="56"/>
        <v>190.54474625791289</v>
      </c>
      <c r="H136" s="427">
        <f>'Date Generale'!$D$58*F136</f>
        <v>171</v>
      </c>
      <c r="I136" s="427">
        <f t="shared" ref="I136:I140" si="73">F136+H136</f>
        <v>1071</v>
      </c>
      <c r="J136" s="428">
        <f t="shared" si="58"/>
        <v>226.74824804691636</v>
      </c>
    </row>
    <row r="137" spans="1:10">
      <c r="A137" s="415">
        <f>A136+1</f>
        <v>2</v>
      </c>
      <c r="B137" s="424" t="s">
        <v>286</v>
      </c>
      <c r="C137" s="425" t="s">
        <v>54</v>
      </c>
      <c r="D137" s="426">
        <v>16</v>
      </c>
      <c r="E137" s="78">
        <v>396</v>
      </c>
      <c r="F137" s="427">
        <f t="shared" si="72"/>
        <v>6336</v>
      </c>
      <c r="G137" s="427">
        <f t="shared" si="56"/>
        <v>1341.4350136557068</v>
      </c>
      <c r="H137" s="427">
        <f>'Date Generale'!$D$58*F137</f>
        <v>1203.8399999999999</v>
      </c>
      <c r="I137" s="427">
        <f t="shared" si="73"/>
        <v>7539.84</v>
      </c>
      <c r="J137" s="428">
        <f t="shared" si="58"/>
        <v>1596.307666250291</v>
      </c>
    </row>
    <row r="138" spans="1:10">
      <c r="A138" s="415">
        <f t="shared" ref="A138:A140" si="74">A137+1</f>
        <v>3</v>
      </c>
      <c r="B138" s="424" t="s">
        <v>287</v>
      </c>
      <c r="C138" s="425" t="s">
        <v>280</v>
      </c>
      <c r="D138" s="426">
        <v>1.6</v>
      </c>
      <c r="E138" s="78">
        <v>3712.5</v>
      </c>
      <c r="F138" s="427">
        <f t="shared" si="72"/>
        <v>5940</v>
      </c>
      <c r="G138" s="427">
        <f t="shared" si="56"/>
        <v>1257.5953253022251</v>
      </c>
      <c r="H138" s="427">
        <f>'Date Generale'!$D$58*F138</f>
        <v>1128.5999999999999</v>
      </c>
      <c r="I138" s="427">
        <f t="shared" si="73"/>
        <v>7068.6</v>
      </c>
      <c r="J138" s="428">
        <f t="shared" si="58"/>
        <v>1496.5384371096479</v>
      </c>
    </row>
    <row r="139" spans="1:10">
      <c r="A139" s="415">
        <f t="shared" si="74"/>
        <v>4</v>
      </c>
      <c r="B139" s="424" t="s">
        <v>312</v>
      </c>
      <c r="C139" s="425" t="s">
        <v>280</v>
      </c>
      <c r="D139" s="426">
        <v>12</v>
      </c>
      <c r="E139" s="78">
        <v>6709.5</v>
      </c>
      <c r="F139" s="427">
        <f t="shared" si="72"/>
        <v>80514</v>
      </c>
      <c r="G139" s="427">
        <f t="shared" si="56"/>
        <v>17046.133000232887</v>
      </c>
      <c r="H139" s="427">
        <f>'Date Generale'!$D$58*F139</f>
        <v>15297.66</v>
      </c>
      <c r="I139" s="427">
        <f t="shared" si="73"/>
        <v>95811.66</v>
      </c>
      <c r="J139" s="428">
        <f t="shared" si="58"/>
        <v>20284.898270277135</v>
      </c>
    </row>
    <row r="140" spans="1:10">
      <c r="A140" s="415">
        <f t="shared" si="74"/>
        <v>5</v>
      </c>
      <c r="B140" s="424" t="s">
        <v>313</v>
      </c>
      <c r="C140" s="425" t="s">
        <v>54</v>
      </c>
      <c r="D140" s="426">
        <v>12</v>
      </c>
      <c r="E140" s="78">
        <v>54</v>
      </c>
      <c r="F140" s="427">
        <f t="shared" si="72"/>
        <v>648</v>
      </c>
      <c r="G140" s="427">
        <f t="shared" si="56"/>
        <v>137.19221730569728</v>
      </c>
      <c r="H140" s="427">
        <f>'Date Generale'!$D$58*F140</f>
        <v>123.12</v>
      </c>
      <c r="I140" s="427">
        <f t="shared" si="73"/>
        <v>771.12</v>
      </c>
      <c r="J140" s="428">
        <f t="shared" si="58"/>
        <v>163.25873859377978</v>
      </c>
    </row>
    <row r="141" spans="1:10">
      <c r="A141" s="693" t="s">
        <v>45</v>
      </c>
      <c r="B141" s="694"/>
      <c r="C141" s="694"/>
      <c r="D141" s="694"/>
      <c r="E141" s="694"/>
      <c r="F141" s="56">
        <f>SUM(F142:F143)</f>
        <v>0</v>
      </c>
      <c r="G141" s="56">
        <f>SUM(G142:G143)</f>
        <v>0</v>
      </c>
      <c r="H141" s="56">
        <f>SUM(H142:H143)</f>
        <v>0</v>
      </c>
      <c r="I141" s="56">
        <f>SUM(I142:I143)</f>
        <v>0</v>
      </c>
      <c r="J141" s="57">
        <f>SUM(J142:J143)</f>
        <v>0</v>
      </c>
    </row>
    <row r="142" spans="1:10">
      <c r="A142" s="80">
        <v>1</v>
      </c>
      <c r="B142" s="81"/>
      <c r="C142" s="76" t="str">
        <f>IF(B142="","",VLOOKUP(B142,'Lista articole'!$D$4:$E$2255,2,FALSE))</f>
        <v/>
      </c>
      <c r="D142" s="77">
        <v>0</v>
      </c>
      <c r="E142" s="78">
        <f>IF(B142="",0,VLOOKUP(B142,'Lista articole'!$D$4:$F$2163,3,FALSE))</f>
        <v>0</v>
      </c>
      <c r="F142" s="77">
        <f t="shared" ref="F142:F143" si="75">D142*E142</f>
        <v>0</v>
      </c>
      <c r="G142" s="77">
        <f t="shared" ref="G142:G143" si="76">F142/$H$9</f>
        <v>0</v>
      </c>
      <c r="H142" s="77">
        <f>F142*'Date Generale'!$D$58</f>
        <v>0</v>
      </c>
      <c r="I142" s="77">
        <f t="shared" ref="I142:I143" si="77">H142+F142</f>
        <v>0</v>
      </c>
      <c r="J142" s="79">
        <f t="shared" ref="J142:J143" si="78">I142/$H$9</f>
        <v>0</v>
      </c>
    </row>
    <row r="143" spans="1:10">
      <c r="A143" s="80">
        <v>2</v>
      </c>
      <c r="B143" s="81"/>
      <c r="C143" s="76" t="str">
        <f>IF(B143="","",VLOOKUP(B143,'Lista articole'!$D$4:$E$2255,2,FALSE))</f>
        <v/>
      </c>
      <c r="D143" s="77">
        <v>0</v>
      </c>
      <c r="E143" s="78">
        <f>IF(B143="",0,VLOOKUP(B143,'Lista articole'!$D$4:$F$2163,3,FALSE))</f>
        <v>0</v>
      </c>
      <c r="F143" s="77">
        <f t="shared" si="75"/>
        <v>0</v>
      </c>
      <c r="G143" s="77">
        <f t="shared" si="76"/>
        <v>0</v>
      </c>
      <c r="H143" s="77">
        <f>F143*'Date Generale'!$D$58</f>
        <v>0</v>
      </c>
      <c r="I143" s="77">
        <f t="shared" si="77"/>
        <v>0</v>
      </c>
      <c r="J143" s="79">
        <f t="shared" si="78"/>
        <v>0</v>
      </c>
    </row>
    <row r="144" spans="1:10" ht="15" customHeight="1">
      <c r="A144" s="693" t="s">
        <v>46</v>
      </c>
      <c r="B144" s="694"/>
      <c r="C144" s="694"/>
      <c r="D144" s="694"/>
      <c r="E144" s="694"/>
      <c r="F144" s="56">
        <f>SUM(F145:F146)</f>
        <v>0</v>
      </c>
      <c r="G144" s="56">
        <f>SUM(G145:G146)</f>
        <v>0</v>
      </c>
      <c r="H144" s="56">
        <f>SUM(H145:H146)</f>
        <v>0</v>
      </c>
      <c r="I144" s="56">
        <f>SUM(I145:I146)</f>
        <v>0</v>
      </c>
      <c r="J144" s="57">
        <f>SUM(J145:J146)</f>
        <v>0</v>
      </c>
    </row>
    <row r="145" spans="1:18">
      <c r="A145" s="80">
        <v>1</v>
      </c>
      <c r="B145" s="75"/>
      <c r="C145" s="76"/>
      <c r="D145" s="77"/>
      <c r="E145" s="78"/>
      <c r="F145" s="77"/>
      <c r="G145" s="77"/>
      <c r="H145" s="77"/>
      <c r="I145" s="77"/>
      <c r="J145" s="79"/>
      <c r="N145" s="388"/>
      <c r="P145" s="388"/>
      <c r="R145" s="388"/>
    </row>
    <row r="146" spans="1:18">
      <c r="A146" s="80">
        <v>2</v>
      </c>
      <c r="B146" s="75"/>
      <c r="C146" s="76"/>
      <c r="D146" s="77"/>
      <c r="E146" s="78"/>
      <c r="F146" s="77"/>
      <c r="G146" s="77"/>
      <c r="H146" s="77"/>
      <c r="I146" s="77"/>
      <c r="J146" s="79"/>
      <c r="N146" s="388"/>
      <c r="P146" s="388"/>
      <c r="R146" s="388"/>
    </row>
    <row r="147" spans="1:18" ht="15" customHeight="1">
      <c r="A147" s="693" t="s">
        <v>50</v>
      </c>
      <c r="B147" s="694"/>
      <c r="C147" s="694"/>
      <c r="D147" s="694"/>
      <c r="E147" s="694"/>
      <c r="F147" s="56">
        <f>SUM(F148:F149)</f>
        <v>0</v>
      </c>
      <c r="G147" s="56">
        <f>SUM(G148:G149)</f>
        <v>0</v>
      </c>
      <c r="H147" s="56">
        <f>SUM(H148:H149)</f>
        <v>0</v>
      </c>
      <c r="I147" s="56">
        <f>SUM(I148:I149)</f>
        <v>0</v>
      </c>
      <c r="J147" s="57">
        <f>SUM(J148:J149)</f>
        <v>0</v>
      </c>
    </row>
    <row r="148" spans="1:18">
      <c r="A148" s="80">
        <v>1</v>
      </c>
      <c r="B148" s="81"/>
      <c r="C148" s="76" t="str">
        <f>IF(B148="","",VLOOKUP(B148,'Lista articole'!$D$4:$E$2255,2,FALSE))</f>
        <v/>
      </c>
      <c r="D148" s="77">
        <v>0</v>
      </c>
      <c r="E148" s="78">
        <f>IF(B148="",0,VLOOKUP(B148,'Lista articole'!$D$4:$F$2163,3,FALSE))</f>
        <v>0</v>
      </c>
      <c r="F148" s="77">
        <f t="shared" ref="F148:F149" si="79">D148*E148</f>
        <v>0</v>
      </c>
      <c r="G148" s="77">
        <f t="shared" ref="G148:G149" si="80">F148/$H$9</f>
        <v>0</v>
      </c>
      <c r="H148" s="77">
        <f>F148*'Date Generale'!$D$58</f>
        <v>0</v>
      </c>
      <c r="I148" s="77">
        <f t="shared" ref="I148:I149" si="81">H148+F148</f>
        <v>0</v>
      </c>
      <c r="J148" s="79">
        <f t="shared" ref="J148:J149" si="82">I148/$H$9</f>
        <v>0</v>
      </c>
    </row>
    <row r="149" spans="1:18" s="68" customFormat="1">
      <c r="A149" s="74">
        <f>A148+1</f>
        <v>2</v>
      </c>
      <c r="B149" s="75"/>
      <c r="C149" s="76" t="str">
        <f>IF(B149="","",VLOOKUP(B149,'Lista articole'!$D$4:$E$2255,2,FALSE))</f>
        <v/>
      </c>
      <c r="D149" s="77">
        <v>0</v>
      </c>
      <c r="E149" s="78">
        <f>IF(B149="",0,VLOOKUP(B149,'Lista articole'!$D$4:$F$2163,3,FALSE))</f>
        <v>0</v>
      </c>
      <c r="F149" s="77">
        <f t="shared" si="79"/>
        <v>0</v>
      </c>
      <c r="G149" s="77">
        <f t="shared" si="80"/>
        <v>0</v>
      </c>
      <c r="H149" s="77">
        <f>F149*'Date Generale'!$D$58</f>
        <v>0</v>
      </c>
      <c r="I149" s="77">
        <f t="shared" si="81"/>
        <v>0</v>
      </c>
      <c r="J149" s="79">
        <f t="shared" si="82"/>
        <v>0</v>
      </c>
    </row>
    <row r="150" spans="1:18" ht="15" customHeight="1">
      <c r="A150" s="693" t="s">
        <v>51</v>
      </c>
      <c r="B150" s="694"/>
      <c r="C150" s="694"/>
      <c r="D150" s="694"/>
      <c r="E150" s="694"/>
      <c r="F150" s="56">
        <f>SUM(F151:F152)</f>
        <v>0</v>
      </c>
      <c r="G150" s="56">
        <f>SUM(G151:G152)</f>
        <v>0</v>
      </c>
      <c r="H150" s="56">
        <f>SUM(H151:H152)</f>
        <v>0</v>
      </c>
      <c r="I150" s="56">
        <f>SUM(I151:I152)</f>
        <v>0</v>
      </c>
      <c r="J150" s="57">
        <f>SUM(J151:J152)</f>
        <v>0</v>
      </c>
    </row>
    <row r="151" spans="1:18">
      <c r="A151" s="80">
        <v>1</v>
      </c>
      <c r="B151" s="81"/>
      <c r="C151" s="76" t="str">
        <f>IF(B151="","",VLOOKUP(B151,'Lista articole'!$D$4:$E$2255,2,FALSE))</f>
        <v/>
      </c>
      <c r="D151" s="77">
        <v>0</v>
      </c>
      <c r="E151" s="78">
        <f>IF(B151="",0,VLOOKUP(B151,'Lista articole'!$D$4:$F$2163,3,FALSE))</f>
        <v>0</v>
      </c>
      <c r="F151" s="77">
        <f t="shared" ref="F151:F152" si="83">D151*E151</f>
        <v>0</v>
      </c>
      <c r="G151" s="77">
        <f t="shared" ref="G151:G152" si="84">F151/$H$9</f>
        <v>0</v>
      </c>
      <c r="H151" s="77">
        <f>F151*'Date Generale'!$D$58</f>
        <v>0</v>
      </c>
      <c r="I151" s="77">
        <f t="shared" ref="I151:I152" si="85">H151+F151</f>
        <v>0</v>
      </c>
      <c r="J151" s="79">
        <f t="shared" ref="J151:J152" si="86">I151/$H$9</f>
        <v>0</v>
      </c>
    </row>
    <row r="152" spans="1:18">
      <c r="A152" s="74">
        <f>A151+1</f>
        <v>2</v>
      </c>
      <c r="B152" s="75"/>
      <c r="C152" s="76" t="str">
        <f>IF(B152="","",VLOOKUP(B152,'Lista articole'!$D$4:$E$2255,2,FALSE))</f>
        <v/>
      </c>
      <c r="D152" s="77">
        <v>0</v>
      </c>
      <c r="E152" s="78">
        <f>IF(B152="",0,VLOOKUP(B152,'Lista articole'!$D$4:$F$2163,3,FALSE))</f>
        <v>0</v>
      </c>
      <c r="F152" s="77">
        <f t="shared" si="83"/>
        <v>0</v>
      </c>
      <c r="G152" s="77">
        <f t="shared" si="84"/>
        <v>0</v>
      </c>
      <c r="H152" s="77">
        <f>F152*'Date Generale'!$D$58</f>
        <v>0</v>
      </c>
      <c r="I152" s="77">
        <f t="shared" si="85"/>
        <v>0</v>
      </c>
      <c r="J152" s="79">
        <f t="shared" si="86"/>
        <v>0</v>
      </c>
    </row>
    <row r="153" spans="1:18" ht="15" customHeight="1">
      <c r="A153" s="693" t="s">
        <v>52</v>
      </c>
      <c r="B153" s="694"/>
      <c r="C153" s="694"/>
      <c r="D153" s="694"/>
      <c r="E153" s="694"/>
      <c r="F153" s="56">
        <f>SUM(F154:F155)</f>
        <v>0</v>
      </c>
      <c r="G153" s="56">
        <f>SUM(G154:G155)</f>
        <v>0</v>
      </c>
      <c r="H153" s="56">
        <f>SUM(H154:H155)</f>
        <v>0</v>
      </c>
      <c r="I153" s="56">
        <f>SUM(I154:I155)</f>
        <v>0</v>
      </c>
      <c r="J153" s="57">
        <f>SUM(J154:J155)</f>
        <v>0</v>
      </c>
    </row>
    <row r="154" spans="1:18">
      <c r="A154" s="80">
        <v>1</v>
      </c>
      <c r="B154" s="81"/>
      <c r="C154" s="76" t="str">
        <f>IF(B154="","",VLOOKUP(B154,'Lista articole'!$D$4:$E$2255,2,FALSE))</f>
        <v/>
      </c>
      <c r="D154" s="77">
        <v>0</v>
      </c>
      <c r="E154" s="78">
        <f>IF(B154="",0,VLOOKUP(B154,'Lista articole'!$D$4:$F$2163,3,FALSE))</f>
        <v>0</v>
      </c>
      <c r="F154" s="77">
        <f>D154*E154</f>
        <v>0</v>
      </c>
      <c r="G154" s="77">
        <f>F154/$H$9</f>
        <v>0</v>
      </c>
      <c r="H154" s="77">
        <f>F154*'Date Generale'!$D$58</f>
        <v>0</v>
      </c>
      <c r="I154" s="77">
        <f t="shared" ref="I154:I155" si="87">H154+F154</f>
        <v>0</v>
      </c>
      <c r="J154" s="79">
        <f t="shared" ref="J154:J155" si="88">I154/$H$9</f>
        <v>0</v>
      </c>
    </row>
    <row r="155" spans="1:18">
      <c r="A155" s="74">
        <f>A154+1</f>
        <v>2</v>
      </c>
      <c r="B155" s="75"/>
      <c r="C155" s="76" t="str">
        <f>IF(B155="","",VLOOKUP(B155,'Lista articole'!$D$4:$E$2255,2,FALSE))</f>
        <v/>
      </c>
      <c r="D155" s="77">
        <v>0</v>
      </c>
      <c r="E155" s="78">
        <f>IF(B155="",0,VLOOKUP(B155,'Lista articole'!$D$4:$F$2163,3,FALSE))</f>
        <v>0</v>
      </c>
      <c r="F155" s="77">
        <f t="shared" ref="F155" si="89">D155*E155</f>
        <v>0</v>
      </c>
      <c r="G155" s="77">
        <f t="shared" ref="G155" si="90">F155/$H$9</f>
        <v>0</v>
      </c>
      <c r="H155" s="77">
        <f>F155*'Date Generale'!$D$58</f>
        <v>0</v>
      </c>
      <c r="I155" s="77">
        <f t="shared" si="87"/>
        <v>0</v>
      </c>
      <c r="J155" s="79">
        <f t="shared" si="88"/>
        <v>0</v>
      </c>
    </row>
    <row r="156" spans="1:18" ht="15" customHeight="1">
      <c r="A156" s="693" t="s">
        <v>53</v>
      </c>
      <c r="B156" s="694"/>
      <c r="C156" s="694"/>
      <c r="D156" s="694"/>
      <c r="E156" s="694"/>
      <c r="F156" s="56">
        <f>SUM(F157:F158)</f>
        <v>0</v>
      </c>
      <c r="G156" s="56">
        <f>SUM(G157:G158)</f>
        <v>0</v>
      </c>
      <c r="H156" s="56">
        <f>SUM(H157:H158)</f>
        <v>0</v>
      </c>
      <c r="I156" s="56">
        <f>SUM(I157:I158)</f>
        <v>0</v>
      </c>
      <c r="J156" s="57">
        <f>SUM(J157:J158)</f>
        <v>0</v>
      </c>
    </row>
    <row r="157" spans="1:18">
      <c r="A157" s="80">
        <v>1</v>
      </c>
      <c r="B157" s="81"/>
      <c r="C157" s="76" t="str">
        <f>IF(B157="","",VLOOKUP(B157,'Lista articole'!$D$4:$E$2255,2,FALSE))</f>
        <v/>
      </c>
      <c r="D157" s="77">
        <v>0</v>
      </c>
      <c r="E157" s="78">
        <f>IF(B157="",0,VLOOKUP(B157,'Lista articole'!$D$4:$F$2163,3,FALSE))</f>
        <v>0</v>
      </c>
      <c r="F157" s="77">
        <f>D157*E157</f>
        <v>0</v>
      </c>
      <c r="G157" s="77">
        <f>F157/$H$9</f>
        <v>0</v>
      </c>
      <c r="H157" s="77">
        <f>F157*'Date Generale'!$D$58</f>
        <v>0</v>
      </c>
      <c r="I157" s="77">
        <f t="shared" ref="I157:I158" si="91">H157+F157</f>
        <v>0</v>
      </c>
      <c r="J157" s="79">
        <f t="shared" ref="J157:J158" si="92">I157/$H$9</f>
        <v>0</v>
      </c>
    </row>
    <row r="158" spans="1:18" ht="15.75" thickBot="1">
      <c r="A158" s="139">
        <f>A157+1</f>
        <v>2</v>
      </c>
      <c r="B158" s="140"/>
      <c r="C158" s="141" t="str">
        <f>IF(B158="","",VLOOKUP(B158,'Lista articole'!$D$4:$E$2255,2,FALSE))</f>
        <v/>
      </c>
      <c r="D158" s="142">
        <v>0</v>
      </c>
      <c r="E158" s="143">
        <f>IF(B158="",0,VLOOKUP(B158,'Lista articole'!$D$4:$F$2163,3,FALSE))</f>
        <v>0</v>
      </c>
      <c r="F158" s="142">
        <f t="shared" ref="F158" si="93">D158*E158</f>
        <v>0</v>
      </c>
      <c r="G158" s="142">
        <f t="shared" ref="G158" si="94">F158/$H$9</f>
        <v>0</v>
      </c>
      <c r="H158" s="142">
        <f>F158*'Date Generale'!$D$58</f>
        <v>0</v>
      </c>
      <c r="I158" s="142">
        <f t="shared" si="91"/>
        <v>0</v>
      </c>
      <c r="J158" s="144">
        <f t="shared" si="92"/>
        <v>0</v>
      </c>
    </row>
    <row r="159" spans="1:18" ht="15.75" thickBot="1">
      <c r="A159" s="685" t="s">
        <v>27</v>
      </c>
      <c r="B159" s="686"/>
      <c r="C159" s="686"/>
      <c r="D159" s="686"/>
      <c r="E159" s="686"/>
      <c r="F159" s="82">
        <f>SUM(F14,F17,F141,F144,F147,F150,F153,F156)</f>
        <v>14954394.654000001</v>
      </c>
      <c r="G159" s="82">
        <f>SUM(G14,G17,G141,G144,G147,G150,G153,G156)</f>
        <v>3166090.3719856879</v>
      </c>
      <c r="H159" s="82">
        <f>SUM(H14,H17,H141,H144,H147,H150,H153,H156)</f>
        <v>2841334.9842599998</v>
      </c>
      <c r="I159" s="82">
        <f>SUM(I14,I17,I141,I144,I147,I150,I153,I156)</f>
        <v>17795729.638259999</v>
      </c>
      <c r="J159" s="83">
        <f>SUM(J14,J17,J141,J144,J147,J150,J153,J156)</f>
        <v>3767647.5426629684</v>
      </c>
    </row>
    <row r="160" spans="1:18" ht="15.75" customHeight="1" thickBot="1">
      <c r="A160" s="683" t="s">
        <v>28</v>
      </c>
      <c r="B160" s="684"/>
      <c r="C160" s="684"/>
      <c r="D160" s="684"/>
      <c r="E160" s="684"/>
      <c r="F160" s="72"/>
      <c r="G160" s="72"/>
      <c r="H160" s="72"/>
      <c r="I160" s="72"/>
      <c r="J160" s="73"/>
    </row>
    <row r="161" spans="1:11" s="84" customFormat="1" ht="15" customHeight="1">
      <c r="A161" s="145"/>
      <c r="B161" s="695" t="s">
        <v>29</v>
      </c>
      <c r="C161" s="695"/>
      <c r="D161" s="695"/>
      <c r="E161" s="695"/>
      <c r="F161" s="146">
        <f>SUM(F162:F163)</f>
        <v>0</v>
      </c>
      <c r="G161" s="146">
        <f>SUM(G162:G163)</f>
        <v>0</v>
      </c>
      <c r="H161" s="146">
        <f>SUM(H162:H163)</f>
        <v>0</v>
      </c>
      <c r="I161" s="146">
        <f>SUM(I162:I163)</f>
        <v>0</v>
      </c>
      <c r="J161" s="147">
        <f>SUM(J162:J163)</f>
        <v>0</v>
      </c>
      <c r="K161" s="68"/>
    </row>
    <row r="162" spans="1:11" s="84" customFormat="1" ht="15" customHeight="1">
      <c r="A162" s="80">
        <v>1</v>
      </c>
      <c r="B162" s="81"/>
      <c r="C162" s="76" t="str">
        <f>IF(B162="","",VLOOKUP(B162,'Lista articole'!$D$4:$E$2255,2,FALSE))</f>
        <v/>
      </c>
      <c r="D162" s="77">
        <v>0</v>
      </c>
      <c r="E162" s="78">
        <f>IF(B162="",0,VLOOKUP(B162,'Lista articole'!$D$4:$F$2163,3,FALSE))</f>
        <v>0</v>
      </c>
      <c r="F162" s="77">
        <f>D162*E162</f>
        <v>0</v>
      </c>
      <c r="G162" s="77">
        <f>F162/$H$9</f>
        <v>0</v>
      </c>
      <c r="H162" s="77">
        <f>F162*'Date Generale'!$D$58</f>
        <v>0</v>
      </c>
      <c r="I162" s="77">
        <f t="shared" ref="I162:I163" si="95">H162+F162</f>
        <v>0</v>
      </c>
      <c r="J162" s="79">
        <f t="shared" ref="J162:J163" si="96">I162/$H$9</f>
        <v>0</v>
      </c>
      <c r="K162" s="68"/>
    </row>
    <row r="163" spans="1:11" s="84" customFormat="1" ht="15" customHeight="1" thickBot="1">
      <c r="A163" s="139">
        <f>A162+1</f>
        <v>2</v>
      </c>
      <c r="B163" s="140"/>
      <c r="C163" s="141" t="str">
        <f>IF(B163="","",VLOOKUP(B163,'Lista articole'!$D$4:$E$2255,2,FALSE))</f>
        <v/>
      </c>
      <c r="D163" s="142">
        <v>0</v>
      </c>
      <c r="E163" s="143">
        <f>IF(B163="",0,VLOOKUP(B163,'Lista articole'!$D$4:$F$2163,3,FALSE))</f>
        <v>0</v>
      </c>
      <c r="F163" s="142">
        <f t="shared" ref="F163" si="97">D163*E163</f>
        <v>0</v>
      </c>
      <c r="G163" s="142">
        <f t="shared" ref="G163" si="98">F163/$H$9</f>
        <v>0</v>
      </c>
      <c r="H163" s="142">
        <f>F163*'Date Generale'!$D$58</f>
        <v>0</v>
      </c>
      <c r="I163" s="142">
        <f t="shared" si="95"/>
        <v>0</v>
      </c>
      <c r="J163" s="144">
        <f t="shared" si="96"/>
        <v>0</v>
      </c>
      <c r="K163" s="68"/>
    </row>
    <row r="164" spans="1:11" ht="15.75" thickBot="1">
      <c r="A164" s="685" t="s">
        <v>30</v>
      </c>
      <c r="B164" s="686"/>
      <c r="C164" s="686"/>
      <c r="D164" s="686"/>
      <c r="E164" s="686"/>
      <c r="F164" s="85">
        <f>F161</f>
        <v>0</v>
      </c>
      <c r="G164" s="85">
        <f>G161</f>
        <v>0</v>
      </c>
      <c r="H164" s="85">
        <f>H161</f>
        <v>0</v>
      </c>
      <c r="I164" s="85">
        <f>I161</f>
        <v>0</v>
      </c>
      <c r="J164" s="86">
        <f>J161</f>
        <v>0</v>
      </c>
    </row>
    <row r="165" spans="1:11" ht="15.75" customHeight="1" thickBot="1">
      <c r="A165" s="683" t="s">
        <v>31</v>
      </c>
      <c r="B165" s="684"/>
      <c r="C165" s="684"/>
      <c r="D165" s="684"/>
      <c r="E165" s="684"/>
      <c r="F165" s="72"/>
      <c r="G165" s="72"/>
      <c r="H165" s="72"/>
      <c r="I165" s="72"/>
      <c r="J165" s="73"/>
    </row>
    <row r="166" spans="1:11" s="84" customFormat="1">
      <c r="A166" s="145"/>
      <c r="B166" s="695" t="s">
        <v>32</v>
      </c>
      <c r="C166" s="695"/>
      <c r="D166" s="695"/>
      <c r="E166" s="695"/>
      <c r="F166" s="148">
        <f>SUM(F167:F168)</f>
        <v>0</v>
      </c>
      <c r="G166" s="148">
        <f>SUM(G167:G168)</f>
        <v>0</v>
      </c>
      <c r="H166" s="148">
        <f>SUM(H167:H168)</f>
        <v>0</v>
      </c>
      <c r="I166" s="148">
        <f>SUM(I167:I168)</f>
        <v>0</v>
      </c>
      <c r="J166" s="149">
        <f>SUM(J167:J168)</f>
        <v>0</v>
      </c>
      <c r="K166" s="68"/>
    </row>
    <row r="167" spans="1:11" s="84" customFormat="1">
      <c r="A167" s="80">
        <v>1</v>
      </c>
      <c r="B167" s="81"/>
      <c r="C167" s="76" t="str">
        <f>IF(B167="","",VLOOKUP(B167,'Lista articole'!$D$4:$E$2255,2,FALSE))</f>
        <v/>
      </c>
      <c r="D167" s="77">
        <v>0</v>
      </c>
      <c r="E167" s="78">
        <f>IF(B167="",0,VLOOKUP(B167,'Lista articole'!$D$4:$F$2163,3,FALSE))</f>
        <v>0</v>
      </c>
      <c r="F167" s="77">
        <f>D167*E167</f>
        <v>0</v>
      </c>
      <c r="G167" s="77">
        <f>F167/$H$9</f>
        <v>0</v>
      </c>
      <c r="H167" s="77">
        <f>F167*'Date Generale'!$D$58</f>
        <v>0</v>
      </c>
      <c r="I167" s="77">
        <f t="shared" ref="I167:I168" si="99">H167+F167</f>
        <v>0</v>
      </c>
      <c r="J167" s="79">
        <f t="shared" ref="J167:J168" si="100">I167/$H$9</f>
        <v>0</v>
      </c>
      <c r="K167" s="68"/>
    </row>
    <row r="168" spans="1:11" s="84" customFormat="1">
      <c r="A168" s="74">
        <f>A167+1</f>
        <v>2</v>
      </c>
      <c r="B168" s="75"/>
      <c r="C168" s="76" t="str">
        <f>IF(B168="","",VLOOKUP(B168,'Lista articole'!$D$4:$E$2255,2,FALSE))</f>
        <v/>
      </c>
      <c r="D168" s="77">
        <v>0</v>
      </c>
      <c r="E168" s="78">
        <f>IF(B168="",0,VLOOKUP(B168,'Lista articole'!$D$4:$F$2163,3,FALSE))</f>
        <v>0</v>
      </c>
      <c r="F168" s="77">
        <f t="shared" ref="F168" si="101">D168*E168</f>
        <v>0</v>
      </c>
      <c r="G168" s="77">
        <f t="shared" ref="G168" si="102">F168/$H$9</f>
        <v>0</v>
      </c>
      <c r="H168" s="77">
        <f>F168*'Date Generale'!$D$58</f>
        <v>0</v>
      </c>
      <c r="I168" s="77">
        <f t="shared" si="99"/>
        <v>0</v>
      </c>
      <c r="J168" s="79">
        <f t="shared" si="100"/>
        <v>0</v>
      </c>
      <c r="K168" s="68"/>
    </row>
    <row r="169" spans="1:11" s="84" customFormat="1">
      <c r="A169" s="87"/>
      <c r="B169" s="696" t="s">
        <v>33</v>
      </c>
      <c r="C169" s="696"/>
      <c r="D169" s="696"/>
      <c r="E169" s="696"/>
      <c r="F169" s="88">
        <f>SUM(F170:F171)</f>
        <v>0</v>
      </c>
      <c r="G169" s="88">
        <f>SUM(G170:G171)</f>
        <v>0</v>
      </c>
      <c r="H169" s="88">
        <f>SUM(H170:H171)</f>
        <v>0</v>
      </c>
      <c r="I169" s="88">
        <f>SUM(I170:I171)</f>
        <v>0</v>
      </c>
      <c r="J169" s="89">
        <f>SUM(J170:J171)</f>
        <v>0</v>
      </c>
      <c r="K169" s="68"/>
    </row>
    <row r="170" spans="1:11" s="84" customFormat="1">
      <c r="A170" s="80">
        <v>1</v>
      </c>
      <c r="B170" s="81"/>
      <c r="C170" s="76" t="str">
        <f>IF(B170="","",VLOOKUP(B170,'Lista articole'!$D$4:$E$2255,2,FALSE))</f>
        <v/>
      </c>
      <c r="D170" s="77">
        <v>0</v>
      </c>
      <c r="E170" s="78">
        <f>IF(B170="",0,VLOOKUP(B170,'Lista articole'!$D$4:$F$2163,3,FALSE))</f>
        <v>0</v>
      </c>
      <c r="F170" s="77">
        <f>D170*E170</f>
        <v>0</v>
      </c>
      <c r="G170" s="77">
        <f>F170/$H$9</f>
        <v>0</v>
      </c>
      <c r="H170" s="77">
        <f>F170*'Date Generale'!$D$58</f>
        <v>0</v>
      </c>
      <c r="I170" s="77">
        <f t="shared" ref="I170:I171" si="103">H170+F170</f>
        <v>0</v>
      </c>
      <c r="J170" s="79">
        <f t="shared" ref="J170:J171" si="104">I170/$H$9</f>
        <v>0</v>
      </c>
      <c r="K170" s="68"/>
    </row>
    <row r="171" spans="1:11" s="84" customFormat="1">
      <c r="A171" s="74">
        <f>A170+1</f>
        <v>2</v>
      </c>
      <c r="B171" s="75"/>
      <c r="C171" s="76" t="str">
        <f>IF(B171="","",VLOOKUP(B171,'Lista articole'!$D$4:$E$2255,2,FALSE))</f>
        <v/>
      </c>
      <c r="D171" s="77">
        <v>0</v>
      </c>
      <c r="E171" s="78">
        <f>IF(B171="",0,VLOOKUP(B171,'Lista articole'!$D$4:$F$2163,3,FALSE))</f>
        <v>0</v>
      </c>
      <c r="F171" s="77">
        <f t="shared" ref="F171" si="105">D171*E171</f>
        <v>0</v>
      </c>
      <c r="G171" s="77">
        <f t="shared" ref="G171" si="106">F171/$H$9</f>
        <v>0</v>
      </c>
      <c r="H171" s="77">
        <f>F171*'Date Generale'!$D$58</f>
        <v>0</v>
      </c>
      <c r="I171" s="77">
        <f t="shared" si="103"/>
        <v>0</v>
      </c>
      <c r="J171" s="79">
        <f t="shared" si="104"/>
        <v>0</v>
      </c>
      <c r="K171" s="68"/>
    </row>
    <row r="172" spans="1:11">
      <c r="A172" s="87"/>
      <c r="B172" s="696" t="s">
        <v>34</v>
      </c>
      <c r="C172" s="696"/>
      <c r="D172" s="696"/>
      <c r="E172" s="696"/>
      <c r="F172" s="88">
        <f>SUM(F173:F174)</f>
        <v>0</v>
      </c>
      <c r="G172" s="88">
        <f>SUM(G173:G174)</f>
        <v>0</v>
      </c>
      <c r="H172" s="88">
        <f>SUM(H173:H174)</f>
        <v>0</v>
      </c>
      <c r="I172" s="88">
        <f>SUM(I173:I174)</f>
        <v>0</v>
      </c>
      <c r="J172" s="89">
        <f>SUM(J173:J174)</f>
        <v>0</v>
      </c>
    </row>
    <row r="173" spans="1:11">
      <c r="A173" s="80">
        <v>1</v>
      </c>
      <c r="B173" s="81"/>
      <c r="C173" s="76" t="str">
        <f>IF(B173="","",VLOOKUP(B173,'Lista articole'!$D$4:$E$2255,2,FALSE))</f>
        <v/>
      </c>
      <c r="D173" s="77">
        <v>0</v>
      </c>
      <c r="E173" s="78">
        <f>IF(B173="",0,VLOOKUP(B173,'Lista articole'!$D$4:$F$2163,3,FALSE))</f>
        <v>0</v>
      </c>
      <c r="F173" s="77">
        <f>D173*E173</f>
        <v>0</v>
      </c>
      <c r="G173" s="77">
        <f>F173/$H$9</f>
        <v>0</v>
      </c>
      <c r="H173" s="77">
        <f>F173*'Date Generale'!$D$58</f>
        <v>0</v>
      </c>
      <c r="I173" s="77">
        <f t="shared" ref="I173:I174" si="107">H173+F173</f>
        <v>0</v>
      </c>
      <c r="J173" s="79">
        <f t="shared" ref="J173:J174" si="108">I173/$H$9</f>
        <v>0</v>
      </c>
    </row>
    <row r="174" spans="1:11" ht="15.75" thickBot="1">
      <c r="A174" s="139">
        <f>A173+1</f>
        <v>2</v>
      </c>
      <c r="B174" s="140"/>
      <c r="C174" s="141" t="str">
        <f>IF(B174="","",VLOOKUP(B174,'Lista articole'!$D$4:$E$2255,2,FALSE))</f>
        <v/>
      </c>
      <c r="D174" s="142">
        <v>0</v>
      </c>
      <c r="E174" s="143">
        <f>IF(B174="",0,VLOOKUP(B174,'Lista articole'!$D$4:$F$2163,3,FALSE))</f>
        <v>0</v>
      </c>
      <c r="F174" s="142">
        <f t="shared" ref="F174" si="109">D174*E174</f>
        <v>0</v>
      </c>
      <c r="G174" s="142">
        <f t="shared" ref="G174" si="110">F174/$H$9</f>
        <v>0</v>
      </c>
      <c r="H174" s="142">
        <f>F174*'Date Generale'!$D$58</f>
        <v>0</v>
      </c>
      <c r="I174" s="142">
        <f t="shared" si="107"/>
        <v>0</v>
      </c>
      <c r="J174" s="144">
        <f t="shared" si="108"/>
        <v>0</v>
      </c>
    </row>
    <row r="175" spans="1:11" ht="15.75" thickBot="1">
      <c r="A175" s="685" t="s">
        <v>35</v>
      </c>
      <c r="B175" s="686"/>
      <c r="C175" s="686"/>
      <c r="D175" s="686"/>
      <c r="E175" s="686"/>
      <c r="F175" s="62">
        <f>SUM(F172,F169,F166)</f>
        <v>0</v>
      </c>
      <c r="G175" s="62">
        <f>SUM(G172,G169,G166)</f>
        <v>0</v>
      </c>
      <c r="H175" s="62">
        <f>SUM(H172,H169,H166)</f>
        <v>0</v>
      </c>
      <c r="I175" s="62">
        <f>SUM(I172,I169,I166)</f>
        <v>0</v>
      </c>
      <c r="J175" s="63">
        <f>SUM(J172,J169,J166)</f>
        <v>0</v>
      </c>
    </row>
    <row r="176" spans="1:11">
      <c r="A176" s="38"/>
      <c r="B176" s="39"/>
      <c r="C176" s="39"/>
      <c r="D176" s="39"/>
      <c r="E176" s="39"/>
      <c r="F176" s="39"/>
      <c r="G176" s="39"/>
      <c r="H176" s="39"/>
      <c r="I176" s="39"/>
      <c r="J176" s="39"/>
    </row>
    <row r="177" spans="1:10">
      <c r="A177" s="38"/>
      <c r="C177" s="42"/>
      <c r="D177" s="42"/>
      <c r="E177" s="42"/>
      <c r="F177" s="42"/>
      <c r="G177" s="42"/>
      <c r="H177" s="42"/>
      <c r="I177" s="42"/>
      <c r="J177" s="42"/>
    </row>
    <row r="178" spans="1:10" ht="18.75">
      <c r="A178" s="42"/>
      <c r="B178" s="90" t="s">
        <v>37</v>
      </c>
      <c r="C178" s="42"/>
      <c r="D178" s="42"/>
      <c r="E178" s="42"/>
      <c r="F178" s="42"/>
      <c r="G178" s="42"/>
      <c r="H178" s="42"/>
      <c r="I178" s="42"/>
      <c r="J178" s="42"/>
    </row>
    <row r="179" spans="1:10" ht="18.75">
      <c r="A179" s="38"/>
      <c r="B179" s="90" t="str">
        <f>'Date Generale'!$C$7</f>
        <v>S.C. Tehno Consoulting Solutions S.R.L.</v>
      </c>
      <c r="C179" s="39"/>
      <c r="D179" s="39"/>
      <c r="E179" s="39"/>
      <c r="F179" s="39"/>
      <c r="G179" s="39"/>
      <c r="H179" s="39"/>
      <c r="I179" s="39"/>
      <c r="J179" s="39"/>
    </row>
    <row r="180" spans="1:10" ht="18.75">
      <c r="A180" s="38"/>
      <c r="B180" s="91"/>
      <c r="C180" s="39"/>
      <c r="D180" s="39"/>
      <c r="E180" s="39"/>
      <c r="F180" s="39"/>
      <c r="G180" s="39"/>
      <c r="H180" s="39"/>
      <c r="I180" s="39"/>
      <c r="J180" s="39"/>
    </row>
    <row r="181" spans="1:10">
      <c r="A181" s="38"/>
      <c r="B181" s="39"/>
      <c r="C181" s="39"/>
      <c r="D181" s="39"/>
      <c r="E181" s="39"/>
      <c r="F181" s="39"/>
      <c r="G181" s="39"/>
      <c r="H181" s="39"/>
      <c r="I181" s="39"/>
      <c r="J181" s="39"/>
    </row>
    <row r="182" spans="1:10">
      <c r="A182" s="38"/>
      <c r="B182" s="39"/>
      <c r="C182" s="39"/>
      <c r="D182" s="39"/>
      <c r="E182" s="39"/>
      <c r="F182" s="39"/>
      <c r="G182" s="39"/>
      <c r="H182" s="39"/>
      <c r="I182" s="39"/>
      <c r="J182" s="39"/>
    </row>
    <row r="183" spans="1:10" ht="15.75">
      <c r="A183" s="41" t="str">
        <f>"Beneficiar: " &amp;'Date Generale'!$C$6</f>
        <v xml:space="preserve">Beneficiar: Judetul Arges </v>
      </c>
      <c r="B183" s="41"/>
      <c r="C183" s="42"/>
      <c r="D183" s="42"/>
      <c r="E183" s="69"/>
      <c r="F183" s="42"/>
      <c r="G183" s="42"/>
      <c r="H183" s="42"/>
      <c r="I183" s="42"/>
      <c r="J183" s="42"/>
    </row>
    <row r="184" spans="1:10" ht="15.75">
      <c r="A184" s="41" t="str">
        <f>"Denumire Proiect: " &amp; 'Date Generale'!$C$3</f>
        <v>Denumire Proiect: Modernizare DJ 703B Serbanesti (DJ659) - Silistea, km 70+410 - 77+826, 7.416km, in comunele Rociu si Cateasca</v>
      </c>
      <c r="B184" s="41"/>
      <c r="C184" s="44"/>
      <c r="D184" s="44"/>
      <c r="E184" s="44"/>
      <c r="F184" s="44"/>
      <c r="G184" s="44"/>
      <c r="H184" s="44"/>
      <c r="I184" s="44"/>
      <c r="J184" s="44"/>
    </row>
    <row r="185" spans="1:10" ht="15.75">
      <c r="A185" s="235" t="str">
        <f>"Denumire Obiect: " &amp; 'Date Generale'!$C$4</f>
        <v>Denumire Obiect: Deviz actualizat 21.06.2019</v>
      </c>
      <c r="B185" s="41"/>
      <c r="C185" s="44"/>
      <c r="D185" s="44"/>
      <c r="E185" s="44"/>
      <c r="F185" s="44"/>
      <c r="G185" s="44"/>
      <c r="H185" s="44"/>
      <c r="I185" s="44"/>
      <c r="J185" s="44"/>
    </row>
    <row r="186" spans="1:10" ht="15.75">
      <c r="A186" s="41"/>
      <c r="B186" s="41"/>
      <c r="C186" s="44"/>
      <c r="D186" s="44"/>
      <c r="E186" s="44"/>
      <c r="F186" s="44"/>
      <c r="G186" s="44"/>
      <c r="H186" s="44"/>
      <c r="I186" s="44"/>
      <c r="J186" s="44"/>
    </row>
    <row r="187" spans="1:10" ht="15.75">
      <c r="A187" s="41" t="str">
        <f>'Date Generale'!$E$62</f>
        <v>Obiect 002: Lucrari de drum</v>
      </c>
      <c r="B187" s="41"/>
      <c r="C187" s="44"/>
      <c r="D187" s="44"/>
      <c r="E187" s="44"/>
      <c r="F187" s="44"/>
      <c r="G187" s="44"/>
      <c r="H187" s="44"/>
      <c r="I187" s="44"/>
      <c r="J187" s="44"/>
    </row>
    <row r="188" spans="1:10">
      <c r="A188" s="687" t="s">
        <v>38</v>
      </c>
      <c r="B188" s="687"/>
      <c r="C188" s="687"/>
      <c r="D188" s="687"/>
      <c r="E188" s="687"/>
      <c r="F188" s="687"/>
      <c r="G188" s="687"/>
      <c r="H188" s="687"/>
      <c r="I188" s="687"/>
      <c r="J188" s="687"/>
    </row>
    <row r="189" spans="1:10">
      <c r="A189" s="136"/>
      <c r="B189" s="136"/>
      <c r="C189" s="136"/>
      <c r="D189" s="136"/>
      <c r="E189" s="136"/>
      <c r="F189" s="136"/>
      <c r="G189" s="136"/>
      <c r="H189" s="136"/>
      <c r="I189" s="136"/>
      <c r="J189" s="136"/>
    </row>
    <row r="190" spans="1:10" ht="15.75" thickBot="1">
      <c r="A190" s="42"/>
      <c r="B190" s="46"/>
      <c r="C190" s="71"/>
      <c r="D190" s="71"/>
      <c r="E190" s="71"/>
      <c r="F190" s="33"/>
      <c r="G190" s="47" t="s">
        <v>2</v>
      </c>
      <c r="H190" s="48">
        <f>'Date Generale'!$C$54</f>
        <v>4.7233000000000001</v>
      </c>
      <c r="I190" s="49" t="s">
        <v>3</v>
      </c>
      <c r="J190" s="50" t="str">
        <f>'Date Generale'!$D$54</f>
        <v>21,06,2019</v>
      </c>
    </row>
    <row r="191" spans="1:10" ht="15.75" customHeight="1" thickBot="1">
      <c r="A191" s="688" t="s">
        <v>4</v>
      </c>
      <c r="B191" s="688" t="s">
        <v>5</v>
      </c>
      <c r="C191" s="688" t="s">
        <v>39</v>
      </c>
      <c r="D191" s="688" t="s">
        <v>40</v>
      </c>
      <c r="E191" s="688" t="s">
        <v>228</v>
      </c>
      <c r="F191" s="689" t="s">
        <v>160</v>
      </c>
      <c r="G191" s="689"/>
      <c r="H191" s="24" t="s">
        <v>7</v>
      </c>
      <c r="I191" s="689" t="s">
        <v>159</v>
      </c>
      <c r="J191" s="689"/>
    </row>
    <row r="192" spans="1:10" ht="15.75" thickBot="1">
      <c r="A192" s="688"/>
      <c r="B192" s="688"/>
      <c r="C192" s="688"/>
      <c r="D192" s="688"/>
      <c r="E192" s="688"/>
      <c r="F192" s="51" t="s">
        <v>9</v>
      </c>
      <c r="G192" s="51" t="s">
        <v>10</v>
      </c>
      <c r="H192" s="51" t="s">
        <v>9</v>
      </c>
      <c r="I192" s="51" t="s">
        <v>9</v>
      </c>
      <c r="J192" s="51" t="s">
        <v>10</v>
      </c>
    </row>
    <row r="193" spans="1:10" ht="15.75" thickBot="1">
      <c r="A193" s="3">
        <v>1</v>
      </c>
      <c r="B193" s="1">
        <v>2</v>
      </c>
      <c r="C193" s="1">
        <v>3</v>
      </c>
      <c r="D193" s="1">
        <v>4</v>
      </c>
      <c r="E193" s="1">
        <v>5</v>
      </c>
      <c r="F193" s="1">
        <v>6</v>
      </c>
      <c r="G193" s="1">
        <v>7</v>
      </c>
      <c r="H193" s="1">
        <v>8</v>
      </c>
      <c r="I193" s="1">
        <v>9</v>
      </c>
      <c r="J193" s="1">
        <v>10</v>
      </c>
    </row>
    <row r="194" spans="1:10" ht="15.75" customHeight="1" thickBot="1">
      <c r="A194" s="683" t="s">
        <v>11</v>
      </c>
      <c r="B194" s="684"/>
      <c r="C194" s="684"/>
      <c r="D194" s="684"/>
      <c r="E194" s="684"/>
      <c r="F194" s="72"/>
      <c r="G194" s="72"/>
      <c r="H194" s="72"/>
      <c r="I194" s="72"/>
      <c r="J194" s="73"/>
    </row>
    <row r="195" spans="1:10" ht="15" customHeight="1">
      <c r="A195" s="691" t="s">
        <v>41</v>
      </c>
      <c r="B195" s="692"/>
      <c r="C195" s="692"/>
      <c r="D195" s="692"/>
      <c r="E195" s="692"/>
      <c r="F195" s="137">
        <f>F196+F204</f>
        <v>601937.5</v>
      </c>
      <c r="G195" s="137">
        <f t="shared" ref="G195:J195" si="111">G196+G204</f>
        <v>127440.03133402494</v>
      </c>
      <c r="H195" s="137">
        <f t="shared" si="111"/>
        <v>114368.125</v>
      </c>
      <c r="I195" s="137">
        <f t="shared" si="111"/>
        <v>716305.625</v>
      </c>
      <c r="J195" s="137">
        <f t="shared" si="111"/>
        <v>151653.63728748969</v>
      </c>
    </row>
    <row r="196" spans="1:10">
      <c r="A196" s="443">
        <v>1.1000000000000001</v>
      </c>
      <c r="B196" s="444" t="s">
        <v>323</v>
      </c>
      <c r="C196" s="445"/>
      <c r="D196" s="446"/>
      <c r="E196" s="447"/>
      <c r="F196" s="448">
        <f>SUM(F197:F203)</f>
        <v>355280</v>
      </c>
      <c r="G196" s="448">
        <f t="shared" ref="G196:J196" si="112">SUM(G197:G203)</f>
        <v>75218.59716723478</v>
      </c>
      <c r="H196" s="448">
        <f t="shared" si="112"/>
        <v>67503.199999999997</v>
      </c>
      <c r="I196" s="448">
        <f t="shared" si="112"/>
        <v>422783.2</v>
      </c>
      <c r="J196" s="448">
        <f t="shared" si="112"/>
        <v>89510.130629009378</v>
      </c>
    </row>
    <row r="197" spans="1:10">
      <c r="A197" s="415">
        <v>1</v>
      </c>
      <c r="B197" s="431" t="s">
        <v>324</v>
      </c>
      <c r="C197" s="432" t="s">
        <v>325</v>
      </c>
      <c r="D197" s="437">
        <v>1.1000000000000001</v>
      </c>
      <c r="E197" s="433">
        <v>7850</v>
      </c>
      <c r="F197" s="427">
        <f t="shared" ref="F197" si="113">D197*E197</f>
        <v>8635</v>
      </c>
      <c r="G197" s="427">
        <f t="shared" ref="G197:G208" si="114">F197/$H$9</f>
        <v>1828.1709821523089</v>
      </c>
      <c r="H197" s="427">
        <f>'Date Generale'!$D$58*F197</f>
        <v>1640.65</v>
      </c>
      <c r="I197" s="427">
        <f t="shared" ref="I197" si="115">F197+H197</f>
        <v>10275.65</v>
      </c>
      <c r="J197" s="428">
        <f t="shared" ref="J197:J208" si="116">I197/$H$9</f>
        <v>2175.5234687612474</v>
      </c>
    </row>
    <row r="198" spans="1:10">
      <c r="A198" s="415">
        <f>A197+1</f>
        <v>2</v>
      </c>
      <c r="B198" s="431" t="s">
        <v>326</v>
      </c>
      <c r="C198" s="432" t="s">
        <v>54</v>
      </c>
      <c r="D198" s="437">
        <v>180</v>
      </c>
      <c r="E198" s="433">
        <v>166.5</v>
      </c>
      <c r="F198" s="427">
        <f t="shared" ref="F198:F203" si="117">D198*E198</f>
        <v>29970</v>
      </c>
      <c r="G198" s="427">
        <f t="shared" si="114"/>
        <v>6345.1400503884997</v>
      </c>
      <c r="H198" s="427">
        <f>'Date Generale'!$D$58*F198</f>
        <v>5694.3</v>
      </c>
      <c r="I198" s="427">
        <f t="shared" ref="I198:I203" si="118">F198+H198</f>
        <v>35664.300000000003</v>
      </c>
      <c r="J198" s="428">
        <f t="shared" si="116"/>
        <v>7550.7166599623151</v>
      </c>
    </row>
    <row r="199" spans="1:10">
      <c r="A199" s="415">
        <f t="shared" ref="A199:A203" si="119">A198+1</f>
        <v>3</v>
      </c>
      <c r="B199" s="434" t="s">
        <v>327</v>
      </c>
      <c r="C199" s="435" t="s">
        <v>285</v>
      </c>
      <c r="D199" s="438">
        <v>2160</v>
      </c>
      <c r="E199" s="436">
        <v>52</v>
      </c>
      <c r="F199" s="427">
        <f t="shared" si="117"/>
        <v>112320</v>
      </c>
      <c r="G199" s="427">
        <f t="shared" si="114"/>
        <v>23779.984332987529</v>
      </c>
      <c r="H199" s="427">
        <f>'Date Generale'!$D$58*F199</f>
        <v>21340.799999999999</v>
      </c>
      <c r="I199" s="427">
        <f t="shared" si="118"/>
        <v>133660.79999999999</v>
      </c>
      <c r="J199" s="428">
        <f t="shared" si="116"/>
        <v>28298.181356255158</v>
      </c>
    </row>
    <row r="200" spans="1:10">
      <c r="A200" s="415">
        <f t="shared" si="119"/>
        <v>4</v>
      </c>
      <c r="B200" s="434" t="s">
        <v>328</v>
      </c>
      <c r="C200" s="435" t="s">
        <v>67</v>
      </c>
      <c r="D200" s="438">
        <v>550</v>
      </c>
      <c r="E200" s="436">
        <v>25</v>
      </c>
      <c r="F200" s="427">
        <f t="shared" si="117"/>
        <v>13750</v>
      </c>
      <c r="G200" s="427">
        <f t="shared" si="114"/>
        <v>2911.1002900514472</v>
      </c>
      <c r="H200" s="427">
        <f>'Date Generale'!$D$58*F200</f>
        <v>2612.5</v>
      </c>
      <c r="I200" s="427">
        <f t="shared" si="118"/>
        <v>16362.5</v>
      </c>
      <c r="J200" s="428">
        <f t="shared" si="116"/>
        <v>3464.2093451612218</v>
      </c>
    </row>
    <row r="201" spans="1:10">
      <c r="A201" s="415">
        <f t="shared" si="119"/>
        <v>5</v>
      </c>
      <c r="B201" s="434" t="s">
        <v>329</v>
      </c>
      <c r="C201" s="435" t="s">
        <v>54</v>
      </c>
      <c r="D201" s="438">
        <f>2910+(300*0.25)</f>
        <v>2985</v>
      </c>
      <c r="E201" s="436">
        <v>45</v>
      </c>
      <c r="F201" s="427">
        <f t="shared" si="117"/>
        <v>134325</v>
      </c>
      <c r="G201" s="427">
        <f t="shared" si="114"/>
        <v>28438.8033789935</v>
      </c>
      <c r="H201" s="427">
        <f>'Date Generale'!$D$58*F201</f>
        <v>25521.75</v>
      </c>
      <c r="I201" s="427">
        <f t="shared" si="118"/>
        <v>159846.75</v>
      </c>
      <c r="J201" s="428">
        <f t="shared" si="116"/>
        <v>33842.176021002262</v>
      </c>
    </row>
    <row r="202" spans="1:10">
      <c r="A202" s="415">
        <f t="shared" si="119"/>
        <v>6</v>
      </c>
      <c r="B202" s="434" t="s">
        <v>330</v>
      </c>
      <c r="C202" s="435" t="s">
        <v>285</v>
      </c>
      <c r="D202" s="438">
        <v>920</v>
      </c>
      <c r="E202" s="436">
        <v>14</v>
      </c>
      <c r="F202" s="427">
        <f t="shared" si="117"/>
        <v>12880</v>
      </c>
      <c r="G202" s="427">
        <f t="shared" si="114"/>
        <v>2726.9070353354646</v>
      </c>
      <c r="H202" s="427">
        <f>'Date Generale'!$D$58*F202</f>
        <v>2447.1999999999998</v>
      </c>
      <c r="I202" s="427">
        <f t="shared" si="118"/>
        <v>15327.2</v>
      </c>
      <c r="J202" s="428">
        <f t="shared" si="116"/>
        <v>3245.019372049203</v>
      </c>
    </row>
    <row r="203" spans="1:10">
      <c r="A203" s="415">
        <f t="shared" si="119"/>
        <v>7</v>
      </c>
      <c r="B203" s="434" t="s">
        <v>331</v>
      </c>
      <c r="C203" s="435" t="s">
        <v>285</v>
      </c>
      <c r="D203" s="438">
        <v>4340</v>
      </c>
      <c r="E203" s="436">
        <v>10</v>
      </c>
      <c r="F203" s="427">
        <f t="shared" si="117"/>
        <v>43400</v>
      </c>
      <c r="G203" s="427">
        <f t="shared" si="114"/>
        <v>9188.4910973260212</v>
      </c>
      <c r="H203" s="427">
        <f>'Date Generale'!$D$58*F203</f>
        <v>8246</v>
      </c>
      <c r="I203" s="427">
        <f t="shared" si="118"/>
        <v>51646</v>
      </c>
      <c r="J203" s="428">
        <f t="shared" si="116"/>
        <v>10934.304405817966</v>
      </c>
    </row>
    <row r="204" spans="1:10">
      <c r="A204" s="443">
        <v>1.2</v>
      </c>
      <c r="B204" s="444" t="s">
        <v>332</v>
      </c>
      <c r="C204" s="445"/>
      <c r="D204" s="446"/>
      <c r="E204" s="447"/>
      <c r="F204" s="448">
        <f>SUM(F205:F208)</f>
        <v>246657.5</v>
      </c>
      <c r="G204" s="448">
        <f>SUM(G205:G208)</f>
        <v>52221.434166790168</v>
      </c>
      <c r="H204" s="448">
        <f>SUM(H205:H208)</f>
        <v>46864.925000000003</v>
      </c>
      <c r="I204" s="448">
        <f>SUM(I205:I208)</f>
        <v>293522.42499999999</v>
      </c>
      <c r="J204" s="448">
        <f>SUM(J205:J208)</f>
        <v>62143.506658480306</v>
      </c>
    </row>
    <row r="205" spans="1:10">
      <c r="A205" s="415">
        <v>1</v>
      </c>
      <c r="B205" s="434" t="s">
        <v>333</v>
      </c>
      <c r="C205" s="435" t="s">
        <v>325</v>
      </c>
      <c r="D205" s="438">
        <v>1.2</v>
      </c>
      <c r="E205" s="439">
        <f>E197</f>
        <v>7850</v>
      </c>
      <c r="F205" s="440">
        <f t="shared" ref="F205" si="120">D205*E205</f>
        <v>9420</v>
      </c>
      <c r="G205" s="440">
        <f t="shared" si="114"/>
        <v>1994.3683441661549</v>
      </c>
      <c r="H205" s="440">
        <f>'Date Generale'!$D$58*F205</f>
        <v>1789.8</v>
      </c>
      <c r="I205" s="440">
        <f t="shared" ref="I205" si="121">F205+H205</f>
        <v>11209.8</v>
      </c>
      <c r="J205" s="441">
        <f t="shared" si="116"/>
        <v>2373.2983295577242</v>
      </c>
    </row>
    <row r="206" spans="1:10">
      <c r="A206" s="415">
        <f>A205+1</f>
        <v>2</v>
      </c>
      <c r="B206" s="434" t="s">
        <v>334</v>
      </c>
      <c r="C206" s="435" t="s">
        <v>54</v>
      </c>
      <c r="D206" s="438">
        <v>1195</v>
      </c>
      <c r="E206" s="439">
        <f>E198</f>
        <v>166.5</v>
      </c>
      <c r="F206" s="440">
        <f t="shared" ref="F206:F208" si="122">D206*E206</f>
        <v>198967.5</v>
      </c>
      <c r="G206" s="440">
        <f t="shared" si="114"/>
        <v>42124.679778968093</v>
      </c>
      <c r="H206" s="440">
        <f>'Date Generale'!$D$58*F206</f>
        <v>37803.824999999997</v>
      </c>
      <c r="I206" s="440">
        <f t="shared" ref="I206:I208" si="123">F206+H206</f>
        <v>236771.32500000001</v>
      </c>
      <c r="J206" s="441">
        <f t="shared" si="116"/>
        <v>50128.368936972038</v>
      </c>
    </row>
    <row r="207" spans="1:10">
      <c r="A207" s="415">
        <f t="shared" ref="A207:A208" si="124">A206+1</f>
        <v>3</v>
      </c>
      <c r="B207" s="434" t="s">
        <v>329</v>
      </c>
      <c r="C207" s="435" t="s">
        <v>54</v>
      </c>
      <c r="D207" s="438">
        <v>336</v>
      </c>
      <c r="E207" s="439">
        <f>E201</f>
        <v>45</v>
      </c>
      <c r="F207" s="440">
        <f t="shared" si="122"/>
        <v>15120</v>
      </c>
      <c r="G207" s="440">
        <f t="shared" si="114"/>
        <v>3201.1517371329369</v>
      </c>
      <c r="H207" s="440">
        <f>'Date Generale'!$D$58*F207</f>
        <v>2872.8</v>
      </c>
      <c r="I207" s="440">
        <f t="shared" si="123"/>
        <v>17992.8</v>
      </c>
      <c r="J207" s="441">
        <f t="shared" si="116"/>
        <v>3809.3705671881944</v>
      </c>
    </row>
    <row r="208" spans="1:10">
      <c r="A208" s="415">
        <f t="shared" si="124"/>
        <v>4</v>
      </c>
      <c r="B208" s="434" t="s">
        <v>331</v>
      </c>
      <c r="C208" s="435" t="s">
        <v>285</v>
      </c>
      <c r="D208" s="438">
        <v>2315</v>
      </c>
      <c r="E208" s="439">
        <f>E203</f>
        <v>10</v>
      </c>
      <c r="F208" s="440">
        <f t="shared" si="122"/>
        <v>23150</v>
      </c>
      <c r="G208" s="440">
        <f t="shared" si="114"/>
        <v>4901.2343065229816</v>
      </c>
      <c r="H208" s="440">
        <f>'Date Generale'!$D$58*F208</f>
        <v>4398.5</v>
      </c>
      <c r="I208" s="440">
        <f t="shared" si="123"/>
        <v>27548.5</v>
      </c>
      <c r="J208" s="441">
        <f t="shared" si="116"/>
        <v>5832.468824762348</v>
      </c>
    </row>
    <row r="209" spans="1:10" s="68" customFormat="1" ht="15" customHeight="1">
      <c r="A209" s="693" t="s">
        <v>44</v>
      </c>
      <c r="B209" s="694"/>
      <c r="C209" s="694"/>
      <c r="D209" s="694"/>
      <c r="E209" s="694"/>
      <c r="F209" s="56">
        <f>F210+F218+F231+F239+F244+F248</f>
        <v>4817577.6500000004</v>
      </c>
      <c r="G209" s="56">
        <f t="shared" ref="G209:J209" si="125">G210+G218+G231+G239+G244+G248</f>
        <v>1019960.1232189359</v>
      </c>
      <c r="H209" s="56">
        <f t="shared" si="125"/>
        <v>915339.75349999999</v>
      </c>
      <c r="I209" s="56">
        <f t="shared" si="125"/>
        <v>5732917.4035</v>
      </c>
      <c r="J209" s="56">
        <f t="shared" si="125"/>
        <v>1213752.5466305336</v>
      </c>
    </row>
    <row r="210" spans="1:10" s="68" customFormat="1" ht="15" customHeight="1">
      <c r="A210" s="449">
        <v>2.1</v>
      </c>
      <c r="B210" s="450" t="s">
        <v>335</v>
      </c>
      <c r="C210" s="450"/>
      <c r="D210" s="450"/>
      <c r="E210" s="450"/>
      <c r="F210" s="448">
        <f>SUM(F211:F217)</f>
        <v>1230006.2</v>
      </c>
      <c r="G210" s="448">
        <f t="shared" ref="G210:G211" si="126">F210/$H$9</f>
        <v>260412.46586073295</v>
      </c>
      <c r="H210" s="448">
        <f>F210*'Date Generale'!$D$58</f>
        <v>233701.17799999999</v>
      </c>
      <c r="I210" s="448">
        <f t="shared" ref="I210" si="127">H210+F210</f>
        <v>1463707.378</v>
      </c>
      <c r="J210" s="451">
        <f t="shared" ref="J210:J211" si="128">I210/$H$9</f>
        <v>309890.83437427221</v>
      </c>
    </row>
    <row r="211" spans="1:10" s="68" customFormat="1" ht="15" customHeight="1">
      <c r="A211" s="415">
        <v>1</v>
      </c>
      <c r="B211" s="442" t="s">
        <v>336</v>
      </c>
      <c r="C211" s="432" t="s">
        <v>54</v>
      </c>
      <c r="D211" s="438">
        <f>D216*0.1*1.2</f>
        <v>520.79999999999995</v>
      </c>
      <c r="E211" s="439">
        <v>110</v>
      </c>
      <c r="F211" s="440">
        <f t="shared" ref="F211" si="129">D211*E211</f>
        <v>57287.999999999993</v>
      </c>
      <c r="G211" s="440">
        <f t="shared" si="126"/>
        <v>12128.808248470348</v>
      </c>
      <c r="H211" s="440">
        <f>'Date Generale'!$D$58*F211</f>
        <v>10884.72</v>
      </c>
      <c r="I211" s="440">
        <f t="shared" ref="I211" si="130">F211+H211</f>
        <v>68172.719999999987</v>
      </c>
      <c r="J211" s="441">
        <f t="shared" si="128"/>
        <v>14433.281815679713</v>
      </c>
    </row>
    <row r="212" spans="1:10" s="68" customFormat="1" ht="15" customHeight="1">
      <c r="A212" s="415">
        <f>A211+1</f>
        <v>2</v>
      </c>
      <c r="B212" s="442" t="s">
        <v>337</v>
      </c>
      <c r="C212" s="432" t="s">
        <v>54</v>
      </c>
      <c r="D212" s="438">
        <f>D216*0.26*1.1</f>
        <v>1241.2400000000002</v>
      </c>
      <c r="E212" s="439">
        <v>110</v>
      </c>
      <c r="F212" s="440">
        <f t="shared" ref="F212:F217" si="131">D212*E212</f>
        <v>136536.40000000002</v>
      </c>
      <c r="G212" s="440">
        <f t="shared" ref="G212:G217" si="132">F212/$H$9</f>
        <v>28906.992992187668</v>
      </c>
      <c r="H212" s="440">
        <f>'Date Generale'!$D$58*F212</f>
        <v>25941.916000000005</v>
      </c>
      <c r="I212" s="440">
        <f t="shared" ref="I212:I217" si="133">F212+H212</f>
        <v>162478.31600000002</v>
      </c>
      <c r="J212" s="441">
        <f t="shared" ref="J212:J217" si="134">I212/$H$9</f>
        <v>34399.321660703325</v>
      </c>
    </row>
    <row r="213" spans="1:10" s="68" customFormat="1" ht="15" customHeight="1">
      <c r="A213" s="415">
        <f t="shared" ref="A213:A217" si="135">A212+1</f>
        <v>3</v>
      </c>
      <c r="B213" s="442" t="s">
        <v>338</v>
      </c>
      <c r="C213" s="432" t="s">
        <v>54</v>
      </c>
      <c r="D213" s="438">
        <f>D216*0.2</f>
        <v>868</v>
      </c>
      <c r="E213" s="439">
        <v>255</v>
      </c>
      <c r="F213" s="440">
        <f t="shared" si="131"/>
        <v>221340</v>
      </c>
      <c r="G213" s="440">
        <f t="shared" si="132"/>
        <v>46861.304596362716</v>
      </c>
      <c r="H213" s="440">
        <f>'Date Generale'!$D$58*F213</f>
        <v>42054.6</v>
      </c>
      <c r="I213" s="440">
        <f t="shared" si="133"/>
        <v>263394.59999999998</v>
      </c>
      <c r="J213" s="441">
        <f t="shared" si="134"/>
        <v>55764.952469671625</v>
      </c>
    </row>
    <row r="214" spans="1:10" s="68" customFormat="1" ht="15" customHeight="1">
      <c r="A214" s="415">
        <f t="shared" si="135"/>
        <v>4</v>
      </c>
      <c r="B214" s="442" t="s">
        <v>339</v>
      </c>
      <c r="C214" s="432" t="s">
        <v>340</v>
      </c>
      <c r="D214" s="438">
        <f>D216*0.08*2.37</f>
        <v>822.86400000000003</v>
      </c>
      <c r="E214" s="439">
        <v>320</v>
      </c>
      <c r="F214" s="440">
        <f t="shared" si="131"/>
        <v>263316.47999999998</v>
      </c>
      <c r="G214" s="440">
        <f t="shared" si="132"/>
        <v>55748.413185696438</v>
      </c>
      <c r="H214" s="440">
        <f>'Date Generale'!$D$58*F214</f>
        <v>50030.131199999996</v>
      </c>
      <c r="I214" s="440">
        <f t="shared" si="133"/>
        <v>313346.61119999998</v>
      </c>
      <c r="J214" s="441">
        <f t="shared" si="134"/>
        <v>66340.611690978767</v>
      </c>
    </row>
    <row r="215" spans="1:10" s="68" customFormat="1" ht="15" customHeight="1">
      <c r="A215" s="415">
        <f t="shared" si="135"/>
        <v>5</v>
      </c>
      <c r="B215" s="442" t="s">
        <v>341</v>
      </c>
      <c r="C215" s="432" t="s">
        <v>340</v>
      </c>
      <c r="D215" s="437">
        <f>D216*0.06*2.37</f>
        <v>617.14800000000002</v>
      </c>
      <c r="E215" s="454">
        <v>340</v>
      </c>
      <c r="F215" s="440">
        <f t="shared" si="131"/>
        <v>209830.32</v>
      </c>
      <c r="G215" s="440">
        <f t="shared" si="132"/>
        <v>44424.516757351856</v>
      </c>
      <c r="H215" s="440">
        <f>'Date Generale'!$D$58*F215</f>
        <v>39867.760800000004</v>
      </c>
      <c r="I215" s="440">
        <f t="shared" si="133"/>
        <v>249698.0808</v>
      </c>
      <c r="J215" s="441">
        <f t="shared" si="134"/>
        <v>52865.174941248704</v>
      </c>
    </row>
    <row r="216" spans="1:10" s="68" customFormat="1" ht="15" customHeight="1">
      <c r="A216" s="415">
        <f t="shared" si="135"/>
        <v>6</v>
      </c>
      <c r="B216" s="442" t="s">
        <v>342</v>
      </c>
      <c r="C216" s="432" t="s">
        <v>285</v>
      </c>
      <c r="D216" s="437">
        <v>4340</v>
      </c>
      <c r="E216" s="454">
        <v>45</v>
      </c>
      <c r="F216" s="440">
        <f t="shared" si="131"/>
        <v>195300</v>
      </c>
      <c r="G216" s="440">
        <f t="shared" si="132"/>
        <v>41348.209937967098</v>
      </c>
      <c r="H216" s="440">
        <f>'Date Generale'!$D$58*F216</f>
        <v>37107</v>
      </c>
      <c r="I216" s="440">
        <f t="shared" si="133"/>
        <v>232407</v>
      </c>
      <c r="J216" s="441">
        <f t="shared" si="134"/>
        <v>49204.369826180846</v>
      </c>
    </row>
    <row r="217" spans="1:10" s="68" customFormat="1" ht="15" customHeight="1">
      <c r="A217" s="415">
        <f t="shared" si="135"/>
        <v>7</v>
      </c>
      <c r="B217" s="442" t="s">
        <v>343</v>
      </c>
      <c r="C217" s="432" t="s">
        <v>67</v>
      </c>
      <c r="D217" s="437">
        <v>2185</v>
      </c>
      <c r="E217" s="454">
        <v>67</v>
      </c>
      <c r="F217" s="440">
        <f t="shared" si="131"/>
        <v>146395</v>
      </c>
      <c r="G217" s="440">
        <f t="shared" si="132"/>
        <v>30994.220142696842</v>
      </c>
      <c r="H217" s="440">
        <f>'Date Generale'!$D$58*F217</f>
        <v>27815.05</v>
      </c>
      <c r="I217" s="440">
        <f t="shared" si="133"/>
        <v>174210.05</v>
      </c>
      <c r="J217" s="441">
        <f t="shared" si="134"/>
        <v>36883.121969809239</v>
      </c>
    </row>
    <row r="218" spans="1:10" s="68" customFormat="1" ht="15" customHeight="1">
      <c r="A218" s="443">
        <v>2.2000000000000002</v>
      </c>
      <c r="B218" s="400" t="s">
        <v>344</v>
      </c>
      <c r="C218" s="400"/>
      <c r="D218" s="455"/>
      <c r="E218" s="455"/>
      <c r="F218" s="456">
        <f>SUM(F219:F230)</f>
        <v>341878.5</v>
      </c>
      <c r="G218" s="456">
        <f t="shared" ref="G218:J218" si="136">SUM(G219:G230)</f>
        <v>72381.28003726207</v>
      </c>
      <c r="H218" s="456">
        <f t="shared" si="136"/>
        <v>64956.914999999994</v>
      </c>
      <c r="I218" s="452">
        <f t="shared" si="136"/>
        <v>406835.41500000004</v>
      </c>
      <c r="J218" s="452">
        <f t="shared" si="136"/>
        <v>86133.723244341876</v>
      </c>
    </row>
    <row r="219" spans="1:10" s="68" customFormat="1" ht="15" customHeight="1">
      <c r="A219" s="415">
        <v>1</v>
      </c>
      <c r="B219" s="442" t="s">
        <v>336</v>
      </c>
      <c r="C219" s="432" t="s">
        <v>54</v>
      </c>
      <c r="D219" s="438">
        <v>220</v>
      </c>
      <c r="E219" s="439">
        <f t="shared" ref="E219:E225" si="137">E211</f>
        <v>110</v>
      </c>
      <c r="F219" s="438">
        <f>D219*E219</f>
        <v>24200</v>
      </c>
      <c r="G219" s="440">
        <f t="shared" ref="G219" si="138">F219/$H$9</f>
        <v>5123.5365104905468</v>
      </c>
      <c r="H219" s="440">
        <f>'Date Generale'!$D$58*F219</f>
        <v>4598</v>
      </c>
      <c r="I219" s="440">
        <f t="shared" ref="I219" si="139">F219+H219</f>
        <v>28798</v>
      </c>
      <c r="J219" s="441">
        <f t="shared" ref="J219" si="140">I219/$H$9</f>
        <v>6097.0084474837504</v>
      </c>
    </row>
    <row r="220" spans="1:10" s="68" customFormat="1" ht="15" customHeight="1">
      <c r="A220" s="415">
        <f>A219+1</f>
        <v>2</v>
      </c>
      <c r="B220" s="442" t="s">
        <v>337</v>
      </c>
      <c r="C220" s="432" t="s">
        <v>54</v>
      </c>
      <c r="D220" s="438">
        <v>790</v>
      </c>
      <c r="E220" s="439">
        <f t="shared" si="137"/>
        <v>110</v>
      </c>
      <c r="F220" s="438">
        <f t="shared" ref="F220:F230" si="141">D220*E220</f>
        <v>86900</v>
      </c>
      <c r="G220" s="440">
        <f t="shared" ref="G220:G230" si="142">F220/$H$9</f>
        <v>18398.153833125147</v>
      </c>
      <c r="H220" s="440">
        <f>'Date Generale'!$D$58*F220</f>
        <v>16511</v>
      </c>
      <c r="I220" s="440">
        <f t="shared" ref="I220:I230" si="143">F220+H220</f>
        <v>103411</v>
      </c>
      <c r="J220" s="441">
        <f t="shared" ref="J220:J230" si="144">I220/$H$9</f>
        <v>21893.803061418923</v>
      </c>
    </row>
    <row r="221" spans="1:10" s="68" customFormat="1" ht="15" customHeight="1">
      <c r="A221" s="415">
        <f t="shared" ref="A221:A230" si="145">A220+1</f>
        <v>3</v>
      </c>
      <c r="B221" s="442" t="s">
        <v>338</v>
      </c>
      <c r="C221" s="432" t="s">
        <v>54</v>
      </c>
      <c r="D221" s="438">
        <f>208</f>
        <v>208</v>
      </c>
      <c r="E221" s="439">
        <f t="shared" si="137"/>
        <v>255</v>
      </c>
      <c r="F221" s="438">
        <f t="shared" si="141"/>
        <v>53040</v>
      </c>
      <c r="G221" s="440">
        <f t="shared" si="142"/>
        <v>11229.437046133</v>
      </c>
      <c r="H221" s="440">
        <f>'Date Generale'!$D$58*F221</f>
        <v>10077.6</v>
      </c>
      <c r="I221" s="440">
        <f t="shared" si="143"/>
        <v>63117.599999999999</v>
      </c>
      <c r="J221" s="441">
        <f t="shared" si="144"/>
        <v>13363.03008489827</v>
      </c>
    </row>
    <row r="222" spans="1:10" s="68" customFormat="1" ht="15" customHeight="1">
      <c r="A222" s="415">
        <f t="shared" si="145"/>
        <v>4</v>
      </c>
      <c r="B222" s="442" t="s">
        <v>339</v>
      </c>
      <c r="C222" s="432" t="s">
        <v>340</v>
      </c>
      <c r="D222" s="438">
        <v>131</v>
      </c>
      <c r="E222" s="439">
        <f t="shared" si="137"/>
        <v>320</v>
      </c>
      <c r="F222" s="438">
        <f t="shared" si="141"/>
        <v>41920</v>
      </c>
      <c r="G222" s="440">
        <f t="shared" si="142"/>
        <v>8875.1508479241202</v>
      </c>
      <c r="H222" s="440">
        <f>'Date Generale'!$D$58*F222</f>
        <v>7964.8</v>
      </c>
      <c r="I222" s="440">
        <f t="shared" si="143"/>
        <v>49884.800000000003</v>
      </c>
      <c r="J222" s="441">
        <f t="shared" si="144"/>
        <v>10561.429509029704</v>
      </c>
    </row>
    <row r="223" spans="1:10" s="68" customFormat="1" ht="15" customHeight="1">
      <c r="A223" s="415">
        <f t="shared" si="145"/>
        <v>5</v>
      </c>
      <c r="B223" s="442" t="s">
        <v>341</v>
      </c>
      <c r="C223" s="432" t="s">
        <v>340</v>
      </c>
      <c r="D223" s="438">
        <v>99.4</v>
      </c>
      <c r="E223" s="439">
        <f t="shared" si="137"/>
        <v>340</v>
      </c>
      <c r="F223" s="438">
        <f t="shared" si="141"/>
        <v>33796</v>
      </c>
      <c r="G223" s="440">
        <f t="shared" si="142"/>
        <v>7155.1669383693607</v>
      </c>
      <c r="H223" s="440">
        <f>'Date Generale'!$D$58*F223</f>
        <v>6421.24</v>
      </c>
      <c r="I223" s="440">
        <f t="shared" si="143"/>
        <v>40217.24</v>
      </c>
      <c r="J223" s="441">
        <f t="shared" si="144"/>
        <v>8514.6486566595377</v>
      </c>
    </row>
    <row r="224" spans="1:10" s="68" customFormat="1" ht="15" customHeight="1">
      <c r="A224" s="415">
        <f t="shared" si="145"/>
        <v>6</v>
      </c>
      <c r="B224" s="442" t="s">
        <v>342</v>
      </c>
      <c r="C224" s="432" t="s">
        <v>285</v>
      </c>
      <c r="D224" s="438">
        <v>690</v>
      </c>
      <c r="E224" s="439">
        <f t="shared" si="137"/>
        <v>45</v>
      </c>
      <c r="F224" s="438">
        <f t="shared" si="141"/>
        <v>31050</v>
      </c>
      <c r="G224" s="440">
        <f t="shared" si="142"/>
        <v>6573.793745897995</v>
      </c>
      <c r="H224" s="440">
        <f>'Date Generale'!$D$58*F224</f>
        <v>5899.5</v>
      </c>
      <c r="I224" s="440">
        <f t="shared" si="143"/>
        <v>36949.5</v>
      </c>
      <c r="J224" s="441">
        <f t="shared" si="144"/>
        <v>7822.8145576186143</v>
      </c>
    </row>
    <row r="225" spans="1:10" s="68" customFormat="1" ht="15" customHeight="1">
      <c r="A225" s="415">
        <f t="shared" si="145"/>
        <v>7</v>
      </c>
      <c r="B225" s="442" t="s">
        <v>343</v>
      </c>
      <c r="C225" s="432" t="s">
        <v>67</v>
      </c>
      <c r="D225" s="438">
        <v>340</v>
      </c>
      <c r="E225" s="439">
        <f t="shared" si="137"/>
        <v>67</v>
      </c>
      <c r="F225" s="438">
        <f>D225*E225</f>
        <v>22780</v>
      </c>
      <c r="G225" s="440">
        <f t="shared" si="142"/>
        <v>4822.8992441725068</v>
      </c>
      <c r="H225" s="440">
        <f>'Date Generale'!$D$58*F225</f>
        <v>4328.2</v>
      </c>
      <c r="I225" s="440">
        <f t="shared" si="143"/>
        <v>27108.2</v>
      </c>
      <c r="J225" s="441">
        <f t="shared" si="144"/>
        <v>5739.250100565283</v>
      </c>
    </row>
    <row r="226" spans="1:10" s="68" customFormat="1" ht="15" customHeight="1">
      <c r="A226" s="415">
        <f t="shared" si="145"/>
        <v>8</v>
      </c>
      <c r="B226" s="442" t="s">
        <v>345</v>
      </c>
      <c r="C226" s="432" t="s">
        <v>54</v>
      </c>
      <c r="D226" s="438">
        <v>50.4</v>
      </c>
      <c r="E226" s="439">
        <v>265</v>
      </c>
      <c r="F226" s="438">
        <f t="shared" si="141"/>
        <v>13356</v>
      </c>
      <c r="G226" s="440">
        <f t="shared" si="142"/>
        <v>2827.6840344674274</v>
      </c>
      <c r="H226" s="440">
        <f>'Date Generale'!$D$58*F226</f>
        <v>2537.64</v>
      </c>
      <c r="I226" s="440">
        <f t="shared" si="143"/>
        <v>15893.64</v>
      </c>
      <c r="J226" s="441">
        <f t="shared" si="144"/>
        <v>3364.9440010162384</v>
      </c>
    </row>
    <row r="227" spans="1:10" s="68" customFormat="1" ht="15" customHeight="1">
      <c r="A227" s="415">
        <f t="shared" si="145"/>
        <v>9</v>
      </c>
      <c r="B227" s="442" t="s">
        <v>346</v>
      </c>
      <c r="C227" s="432" t="s">
        <v>54</v>
      </c>
      <c r="D227" s="438">
        <f>D228*0.05</f>
        <v>10.5</v>
      </c>
      <c r="E227" s="439">
        <v>138</v>
      </c>
      <c r="F227" s="438">
        <f t="shared" si="141"/>
        <v>1449</v>
      </c>
      <c r="G227" s="440">
        <f t="shared" si="142"/>
        <v>306.77704147523974</v>
      </c>
      <c r="H227" s="440">
        <f>'Date Generale'!$D$58*F227</f>
        <v>275.31</v>
      </c>
      <c r="I227" s="440">
        <f t="shared" si="143"/>
        <v>1724.31</v>
      </c>
      <c r="J227" s="441">
        <f t="shared" si="144"/>
        <v>365.0646793555353</v>
      </c>
    </row>
    <row r="228" spans="1:10" s="68" customFormat="1" ht="15" customHeight="1">
      <c r="A228" s="415">
        <f t="shared" si="145"/>
        <v>10</v>
      </c>
      <c r="B228" s="442" t="s">
        <v>347</v>
      </c>
      <c r="C228" s="432" t="s">
        <v>285</v>
      </c>
      <c r="D228" s="438">
        <v>210</v>
      </c>
      <c r="E228" s="439">
        <v>98</v>
      </c>
      <c r="F228" s="438">
        <f t="shared" si="141"/>
        <v>20580</v>
      </c>
      <c r="G228" s="440">
        <f t="shared" si="142"/>
        <v>4357.1231977642747</v>
      </c>
      <c r="H228" s="440">
        <f>'Date Generale'!$D$58*F228</f>
        <v>3910.2000000000003</v>
      </c>
      <c r="I228" s="440">
        <f t="shared" si="143"/>
        <v>24490.2</v>
      </c>
      <c r="J228" s="441">
        <f t="shared" si="144"/>
        <v>5184.9766053394869</v>
      </c>
    </row>
    <row r="229" spans="1:10" s="68" customFormat="1" ht="15" customHeight="1">
      <c r="A229" s="415">
        <f t="shared" si="145"/>
        <v>11</v>
      </c>
      <c r="B229" s="442" t="s">
        <v>348</v>
      </c>
      <c r="C229" s="432" t="s">
        <v>285</v>
      </c>
      <c r="D229" s="438">
        <v>240</v>
      </c>
      <c r="E229" s="439">
        <v>7.5</v>
      </c>
      <c r="F229" s="438">
        <f>D229*E229</f>
        <v>1800</v>
      </c>
      <c r="G229" s="440">
        <f t="shared" si="142"/>
        <v>381.08949251582578</v>
      </c>
      <c r="H229" s="440">
        <f>'Date Generale'!$D$58*F229</f>
        <v>342</v>
      </c>
      <c r="I229" s="440">
        <f t="shared" si="143"/>
        <v>2142</v>
      </c>
      <c r="J229" s="441">
        <f t="shared" si="144"/>
        <v>453.49649609383272</v>
      </c>
    </row>
    <row r="230" spans="1:10" s="68" customFormat="1" ht="15" customHeight="1">
      <c r="A230" s="415">
        <f t="shared" si="145"/>
        <v>12</v>
      </c>
      <c r="B230" s="442" t="s">
        <v>349</v>
      </c>
      <c r="C230" s="432" t="s">
        <v>54</v>
      </c>
      <c r="D230" s="438">
        <v>595</v>
      </c>
      <c r="E230" s="439">
        <v>18.5</v>
      </c>
      <c r="F230" s="438">
        <f t="shared" si="141"/>
        <v>11007.5</v>
      </c>
      <c r="G230" s="440">
        <f t="shared" si="142"/>
        <v>2330.4681049266401</v>
      </c>
      <c r="H230" s="440">
        <f>'Date Generale'!$D$58*F230</f>
        <v>2091.4250000000002</v>
      </c>
      <c r="I230" s="440">
        <f t="shared" si="143"/>
        <v>13098.924999999999</v>
      </c>
      <c r="J230" s="441">
        <f t="shared" si="144"/>
        <v>2773.2570448627016</v>
      </c>
    </row>
    <row r="231" spans="1:10" s="68" customFormat="1" ht="15" customHeight="1">
      <c r="A231" s="443">
        <v>2.2999999999999998</v>
      </c>
      <c r="B231" s="400" t="s">
        <v>350</v>
      </c>
      <c r="C231" s="400"/>
      <c r="D231" s="455"/>
      <c r="E231" s="455"/>
      <c r="F231" s="456">
        <f>SUM(F232:F238)</f>
        <v>481040</v>
      </c>
      <c r="G231" s="456">
        <f t="shared" ref="G231:J231" si="146">SUM(G232:G238)</f>
        <v>101844.04971100716</v>
      </c>
      <c r="H231" s="456">
        <f t="shared" si="146"/>
        <v>91397.6</v>
      </c>
      <c r="I231" s="456">
        <f t="shared" si="146"/>
        <v>572437.60000000009</v>
      </c>
      <c r="J231" s="456">
        <f t="shared" si="146"/>
        <v>121194.41915609851</v>
      </c>
    </row>
    <row r="232" spans="1:10" s="68" customFormat="1" ht="15" customHeight="1">
      <c r="A232" s="415">
        <v>1</v>
      </c>
      <c r="B232" s="442" t="s">
        <v>336</v>
      </c>
      <c r="C232" s="432" t="s">
        <v>54</v>
      </c>
      <c r="D232" s="438">
        <f>D237*0.1*1.2</f>
        <v>210</v>
      </c>
      <c r="E232" s="439">
        <f t="shared" ref="E232:E238" si="147">E211</f>
        <v>110</v>
      </c>
      <c r="F232" s="438">
        <f>D232*E232</f>
        <v>23100</v>
      </c>
      <c r="G232" s="440">
        <f t="shared" ref="G232" si="148">F232/$H$9</f>
        <v>4890.6484872864312</v>
      </c>
      <c r="H232" s="440">
        <f>'Date Generale'!$D$58*F232</f>
        <v>4389</v>
      </c>
      <c r="I232" s="440">
        <f t="shared" ref="I232" si="149">F232+H232</f>
        <v>27489</v>
      </c>
      <c r="J232" s="441">
        <f t="shared" ref="J232" si="150">I232/$H$9</f>
        <v>5819.8716998708533</v>
      </c>
    </row>
    <row r="233" spans="1:10" s="68" customFormat="1" ht="15" customHeight="1">
      <c r="A233" s="415">
        <f>A232+1</f>
        <v>2</v>
      </c>
      <c r="B233" s="442" t="s">
        <v>337</v>
      </c>
      <c r="C233" s="432" t="s">
        <v>54</v>
      </c>
      <c r="D233" s="438">
        <f>D237*0.26*1.1</f>
        <v>500.50000000000006</v>
      </c>
      <c r="E233" s="439">
        <f t="shared" si="147"/>
        <v>110</v>
      </c>
      <c r="F233" s="438">
        <f t="shared" ref="F233:F238" si="151">D233*E233</f>
        <v>55055.000000000007</v>
      </c>
      <c r="G233" s="440">
        <f t="shared" ref="G233:G238" si="152">F233/$H$9</f>
        <v>11656.045561365996</v>
      </c>
      <c r="H233" s="440">
        <f>'Date Generale'!$D$58*F233</f>
        <v>10460.450000000001</v>
      </c>
      <c r="I233" s="440">
        <f t="shared" ref="I233:I238" si="153">F233+H233</f>
        <v>65515.450000000012</v>
      </c>
      <c r="J233" s="441">
        <f t="shared" ref="J233:J238" si="154">I233/$H$9</f>
        <v>13870.694218025536</v>
      </c>
    </row>
    <row r="234" spans="1:10" s="68" customFormat="1" ht="15" customHeight="1">
      <c r="A234" s="415">
        <f t="shared" ref="A234:A238" si="155">A233+1</f>
        <v>3</v>
      </c>
      <c r="B234" s="442" t="s">
        <v>338</v>
      </c>
      <c r="C234" s="432" t="s">
        <v>54</v>
      </c>
      <c r="D234" s="438">
        <f>D237*0.2*1.1</f>
        <v>385.00000000000006</v>
      </c>
      <c r="E234" s="439">
        <f t="shared" si="147"/>
        <v>255</v>
      </c>
      <c r="F234" s="438">
        <f t="shared" si="151"/>
        <v>98175.000000000015</v>
      </c>
      <c r="G234" s="440">
        <f t="shared" si="152"/>
        <v>20785.256070967334</v>
      </c>
      <c r="H234" s="440">
        <f>'Date Generale'!$D$58*F234</f>
        <v>18653.250000000004</v>
      </c>
      <c r="I234" s="440">
        <f t="shared" si="153"/>
        <v>116828.25000000001</v>
      </c>
      <c r="J234" s="441">
        <f t="shared" si="154"/>
        <v>24734.454724451127</v>
      </c>
    </row>
    <row r="235" spans="1:10" s="68" customFormat="1" ht="15" customHeight="1">
      <c r="A235" s="415">
        <f t="shared" si="155"/>
        <v>4</v>
      </c>
      <c r="B235" s="442" t="s">
        <v>339</v>
      </c>
      <c r="C235" s="432" t="s">
        <v>340</v>
      </c>
      <c r="D235" s="438">
        <f>D237*0.08*2.37</f>
        <v>331.8</v>
      </c>
      <c r="E235" s="439">
        <f t="shared" si="147"/>
        <v>320</v>
      </c>
      <c r="F235" s="438">
        <f t="shared" si="151"/>
        <v>106176</v>
      </c>
      <c r="G235" s="440">
        <f t="shared" si="152"/>
        <v>22479.198865200178</v>
      </c>
      <c r="H235" s="440">
        <f>'Date Generale'!$D$58*F235</f>
        <v>20173.439999999999</v>
      </c>
      <c r="I235" s="440">
        <f t="shared" si="153"/>
        <v>126349.44</v>
      </c>
      <c r="J235" s="441">
        <f t="shared" si="154"/>
        <v>26750.246649588211</v>
      </c>
    </row>
    <row r="236" spans="1:10" s="68" customFormat="1" ht="15" customHeight="1">
      <c r="A236" s="415">
        <f t="shared" si="155"/>
        <v>5</v>
      </c>
      <c r="B236" s="442" t="s">
        <v>341</v>
      </c>
      <c r="C236" s="432" t="s">
        <v>340</v>
      </c>
      <c r="D236" s="438">
        <f>D237*0.06*2.37</f>
        <v>248.85000000000002</v>
      </c>
      <c r="E236" s="439">
        <f t="shared" si="147"/>
        <v>340</v>
      </c>
      <c r="F236" s="438">
        <f t="shared" si="151"/>
        <v>84609.000000000015</v>
      </c>
      <c r="G236" s="440">
        <f t="shared" si="152"/>
        <v>17913.111595706396</v>
      </c>
      <c r="H236" s="440">
        <f>'Date Generale'!$D$58*F236</f>
        <v>16075.710000000003</v>
      </c>
      <c r="I236" s="440">
        <f t="shared" si="153"/>
        <v>100684.71000000002</v>
      </c>
      <c r="J236" s="441">
        <f t="shared" si="154"/>
        <v>21316.60279889061</v>
      </c>
    </row>
    <row r="237" spans="1:10" s="68" customFormat="1" ht="15" customHeight="1">
      <c r="A237" s="415">
        <f t="shared" si="155"/>
        <v>6</v>
      </c>
      <c r="B237" s="442" t="s">
        <v>342</v>
      </c>
      <c r="C237" s="432" t="s">
        <v>285</v>
      </c>
      <c r="D237" s="438">
        <v>1750</v>
      </c>
      <c r="E237" s="439">
        <f t="shared" si="147"/>
        <v>45</v>
      </c>
      <c r="F237" s="438">
        <f t="shared" si="151"/>
        <v>78750</v>
      </c>
      <c r="G237" s="440">
        <f t="shared" si="152"/>
        <v>16672.665297567379</v>
      </c>
      <c r="H237" s="440">
        <f>'Date Generale'!$D$58*F237</f>
        <v>14962.5</v>
      </c>
      <c r="I237" s="440">
        <f t="shared" si="153"/>
        <v>93712.5</v>
      </c>
      <c r="J237" s="441">
        <f t="shared" si="154"/>
        <v>19840.471704105181</v>
      </c>
    </row>
    <row r="238" spans="1:10" s="68" customFormat="1" ht="15" customHeight="1">
      <c r="A238" s="415">
        <f t="shared" si="155"/>
        <v>7</v>
      </c>
      <c r="B238" s="442" t="s">
        <v>351</v>
      </c>
      <c r="C238" s="432" t="s">
        <v>67</v>
      </c>
      <c r="D238" s="438">
        <v>525</v>
      </c>
      <c r="E238" s="439">
        <f t="shared" si="147"/>
        <v>67</v>
      </c>
      <c r="F238" s="438">
        <f t="shared" si="151"/>
        <v>35175</v>
      </c>
      <c r="G238" s="440">
        <f t="shared" si="152"/>
        <v>7447.1238329134294</v>
      </c>
      <c r="H238" s="440">
        <f>'Date Generale'!$D$58*F238</f>
        <v>6683.25</v>
      </c>
      <c r="I238" s="440">
        <f t="shared" si="153"/>
        <v>41858.25</v>
      </c>
      <c r="J238" s="441">
        <f t="shared" si="154"/>
        <v>8862.0773611669811</v>
      </c>
    </row>
    <row r="239" spans="1:10" s="68" customFormat="1" ht="15" customHeight="1">
      <c r="A239" s="443">
        <v>2.4</v>
      </c>
      <c r="B239" s="400" t="s">
        <v>332</v>
      </c>
      <c r="C239" s="400"/>
      <c r="D239" s="400"/>
      <c r="E239" s="400"/>
      <c r="F239" s="456">
        <f>SUM(F240:F243)</f>
        <v>281644</v>
      </c>
      <c r="G239" s="456">
        <f t="shared" ref="G239:J239" si="156">SUM(G240:G243)</f>
        <v>59628.649461181805</v>
      </c>
      <c r="H239" s="456">
        <f t="shared" si="156"/>
        <v>53512.359999999993</v>
      </c>
      <c r="I239" s="456">
        <f t="shared" si="156"/>
        <v>335156.36</v>
      </c>
      <c r="J239" s="456">
        <f t="shared" si="156"/>
        <v>70958.09285880634</v>
      </c>
    </row>
    <row r="240" spans="1:10" s="68" customFormat="1" ht="15" customHeight="1">
      <c r="A240" s="415">
        <v>1</v>
      </c>
      <c r="B240" s="442" t="s">
        <v>352</v>
      </c>
      <c r="C240" s="432" t="s">
        <v>54</v>
      </c>
      <c r="D240" s="438">
        <f>D242*0.1</f>
        <v>228</v>
      </c>
      <c r="E240" s="439">
        <f>E212</f>
        <v>110</v>
      </c>
      <c r="F240" s="438">
        <f>D240*E240</f>
        <v>25080</v>
      </c>
      <c r="G240" s="440">
        <f t="shared" ref="G240" si="157">F240/$H$9</f>
        <v>5309.8469290538396</v>
      </c>
      <c r="H240" s="440">
        <f>'Date Generale'!$D$58*F240</f>
        <v>4765.2</v>
      </c>
      <c r="I240" s="440">
        <f t="shared" ref="I240" si="158">F240+H240</f>
        <v>29845.200000000001</v>
      </c>
      <c r="J240" s="441">
        <f t="shared" ref="J240" si="159">I240/$H$9</f>
        <v>6318.7178455740686</v>
      </c>
    </row>
    <row r="241" spans="1:10" s="68" customFormat="1" ht="15" customHeight="1">
      <c r="A241" s="415">
        <f>A240+1</f>
        <v>2</v>
      </c>
      <c r="B241" s="442" t="s">
        <v>353</v>
      </c>
      <c r="C241" s="432" t="s">
        <v>54</v>
      </c>
      <c r="D241" s="438">
        <f>D242*0.1</f>
        <v>228</v>
      </c>
      <c r="E241" s="439">
        <v>258</v>
      </c>
      <c r="F241" s="438">
        <f t="shared" ref="F241:F242" si="160">D241*E241</f>
        <v>58824</v>
      </c>
      <c r="G241" s="440">
        <f t="shared" ref="G241:G243" si="161">F241/$H$9</f>
        <v>12454.004615417187</v>
      </c>
      <c r="H241" s="440">
        <f>'Date Generale'!$D$58*F241</f>
        <v>11176.56</v>
      </c>
      <c r="I241" s="440">
        <f t="shared" ref="I241:I243" si="162">F241+H241</f>
        <v>70000.56</v>
      </c>
      <c r="J241" s="441">
        <f t="shared" ref="J241:J243" si="163">I241/$H$9</f>
        <v>14820.265492346452</v>
      </c>
    </row>
    <row r="242" spans="1:10" s="68" customFormat="1" ht="15" customHeight="1">
      <c r="A242" s="415">
        <f t="shared" ref="A242:A243" si="164">A241+1</f>
        <v>3</v>
      </c>
      <c r="B242" s="442" t="s">
        <v>354</v>
      </c>
      <c r="C242" s="432" t="s">
        <v>285</v>
      </c>
      <c r="D242" s="438">
        <v>2280</v>
      </c>
      <c r="E242" s="439">
        <f>E224</f>
        <v>45</v>
      </c>
      <c r="F242" s="438">
        <f t="shared" si="160"/>
        <v>102600</v>
      </c>
      <c r="G242" s="440">
        <f t="shared" si="161"/>
        <v>21722.101073402071</v>
      </c>
      <c r="H242" s="440">
        <f>'Date Generale'!$D$58*F242</f>
        <v>19494</v>
      </c>
      <c r="I242" s="440">
        <f t="shared" si="162"/>
        <v>122094</v>
      </c>
      <c r="J242" s="441">
        <f t="shared" si="163"/>
        <v>25849.300277348462</v>
      </c>
    </row>
    <row r="243" spans="1:10" s="68" customFormat="1" ht="15" customHeight="1">
      <c r="A243" s="415">
        <f t="shared" si="164"/>
        <v>4</v>
      </c>
      <c r="B243" s="442" t="s">
        <v>355</v>
      </c>
      <c r="C243" s="432" t="s">
        <v>67</v>
      </c>
      <c r="D243" s="438">
        <v>1420</v>
      </c>
      <c r="E243" s="439">
        <f>E217</f>
        <v>67</v>
      </c>
      <c r="F243" s="438">
        <f>D243*E243</f>
        <v>95140</v>
      </c>
      <c r="G243" s="440">
        <f t="shared" si="161"/>
        <v>20142.696843308702</v>
      </c>
      <c r="H243" s="440">
        <f>'Date Generale'!$D$58*F243</f>
        <v>18076.599999999999</v>
      </c>
      <c r="I243" s="440">
        <f t="shared" si="162"/>
        <v>113216.6</v>
      </c>
      <c r="J243" s="441">
        <f t="shared" si="163"/>
        <v>23969.809243537358</v>
      </c>
    </row>
    <row r="244" spans="1:10" s="68" customFormat="1" ht="15" customHeight="1">
      <c r="A244" s="443">
        <v>2.5</v>
      </c>
      <c r="B244" s="400" t="s">
        <v>356</v>
      </c>
      <c r="C244" s="400"/>
      <c r="D244" s="455"/>
      <c r="E244" s="455"/>
      <c r="F244" s="456">
        <f>SUM(F245:F247)</f>
        <v>2346513.9500000002</v>
      </c>
      <c r="G244" s="456">
        <f t="shared" ref="G244:J244" si="165">SUM(G245:G247)</f>
        <v>496795.45021489216</v>
      </c>
      <c r="H244" s="456">
        <f t="shared" si="165"/>
        <v>445837.65049999999</v>
      </c>
      <c r="I244" s="456">
        <f t="shared" si="165"/>
        <v>2792351.6005000002</v>
      </c>
      <c r="J244" s="456">
        <f t="shared" si="165"/>
        <v>591186.58575572167</v>
      </c>
    </row>
    <row r="245" spans="1:10" s="68" customFormat="1" ht="15" customHeight="1">
      <c r="A245" s="415">
        <v>1</v>
      </c>
      <c r="B245" s="442" t="s">
        <v>357</v>
      </c>
      <c r="C245" s="432" t="s">
        <v>67</v>
      </c>
      <c r="D245" s="438">
        <v>95</v>
      </c>
      <c r="E245" s="439">
        <v>9038.57</v>
      </c>
      <c r="F245" s="438">
        <f>D245*E245</f>
        <v>858664.15</v>
      </c>
      <c r="G245" s="440">
        <f t="shared" ref="G245" si="166">F245/$H$9</f>
        <v>181793.2695361294</v>
      </c>
      <c r="H245" s="440">
        <f>'Date Generale'!$D$58*F245</f>
        <v>163146.18850000002</v>
      </c>
      <c r="I245" s="440">
        <f t="shared" ref="I245" si="167">F245+H245</f>
        <v>1021810.3385000001</v>
      </c>
      <c r="J245" s="441">
        <f t="shared" ref="J245" si="168">I245/$H$9</f>
        <v>216333.99074799399</v>
      </c>
    </row>
    <row r="246" spans="1:10" s="68" customFormat="1" ht="15" customHeight="1">
      <c r="A246" s="415">
        <f>A245+1</f>
        <v>2</v>
      </c>
      <c r="B246" s="442" t="s">
        <v>358</v>
      </c>
      <c r="C246" s="76" t="s">
        <v>67</v>
      </c>
      <c r="D246" s="438">
        <v>66</v>
      </c>
      <c r="E246" s="439">
        <v>9038.57</v>
      </c>
      <c r="F246" s="438">
        <f t="shared" ref="F246:F247" si="169">D246*E246</f>
        <v>596545.62</v>
      </c>
      <c r="G246" s="440">
        <f t="shared" ref="G246:G247" si="170">F246/$H$9</f>
        <v>126298.48199352148</v>
      </c>
      <c r="H246" s="440">
        <f>'Date Generale'!$D$58*F246</f>
        <v>113343.6678</v>
      </c>
      <c r="I246" s="440">
        <f t="shared" ref="I246:I247" si="171">F246+H246</f>
        <v>709889.28780000005</v>
      </c>
      <c r="J246" s="441">
        <f t="shared" ref="J246:J247" si="172">I246/$H$9</f>
        <v>150295.19357229056</v>
      </c>
    </row>
    <row r="247" spans="1:10" s="68" customFormat="1" ht="15" customHeight="1">
      <c r="A247" s="415">
        <f t="shared" ref="A247" si="173">A246+1</f>
        <v>3</v>
      </c>
      <c r="B247" s="442" t="s">
        <v>359</v>
      </c>
      <c r="C247" s="76" t="s">
        <v>67</v>
      </c>
      <c r="D247" s="438">
        <v>71</v>
      </c>
      <c r="E247" s="439">
        <v>12553.58</v>
      </c>
      <c r="F247" s="438">
        <f t="shared" si="169"/>
        <v>891304.18</v>
      </c>
      <c r="G247" s="440">
        <f t="shared" si="170"/>
        <v>188703.69868524125</v>
      </c>
      <c r="H247" s="440">
        <f>'Date Generale'!$D$58*F247</f>
        <v>169347.7942</v>
      </c>
      <c r="I247" s="440">
        <f t="shared" si="171"/>
        <v>1060651.9742000001</v>
      </c>
      <c r="J247" s="441">
        <f t="shared" si="172"/>
        <v>224557.40143543709</v>
      </c>
    </row>
    <row r="248" spans="1:10" s="68" customFormat="1" ht="15" customHeight="1">
      <c r="A248" s="443">
        <v>2.6</v>
      </c>
      <c r="B248" s="400" t="s">
        <v>360</v>
      </c>
      <c r="C248" s="400"/>
      <c r="D248" s="400"/>
      <c r="E248" s="452"/>
      <c r="F248" s="456">
        <f>SUM(F249:F254)</f>
        <v>136495</v>
      </c>
      <c r="G248" s="456">
        <f t="shared" ref="G248:J248" si="174">SUM(G249:G254)</f>
        <v>28898.227933859802</v>
      </c>
      <c r="H248" s="456">
        <f t="shared" si="174"/>
        <v>25934.050000000003</v>
      </c>
      <c r="I248" s="456">
        <f t="shared" si="174"/>
        <v>162429.04999999999</v>
      </c>
      <c r="J248" s="456">
        <f t="shared" si="174"/>
        <v>34388.891241293168</v>
      </c>
    </row>
    <row r="249" spans="1:10" s="68" customFormat="1" ht="15" customHeight="1">
      <c r="A249" s="319" t="s">
        <v>361</v>
      </c>
      <c r="B249" s="442" t="s">
        <v>362</v>
      </c>
      <c r="C249" s="453" t="s">
        <v>363</v>
      </c>
      <c r="D249" s="438">
        <v>30</v>
      </c>
      <c r="E249" s="439">
        <v>500</v>
      </c>
      <c r="F249" s="438">
        <f>D249*E249</f>
        <v>15000</v>
      </c>
      <c r="G249" s="440">
        <f t="shared" ref="G249" si="175">F249/$H$9</f>
        <v>3175.7457709652149</v>
      </c>
      <c r="H249" s="440">
        <f>'Date Generale'!$D$58*F249</f>
        <v>2850</v>
      </c>
      <c r="I249" s="440">
        <f t="shared" ref="I249" si="176">F249+H249</f>
        <v>17850</v>
      </c>
      <c r="J249" s="441">
        <f t="shared" ref="J249" si="177">I249/$H$9</f>
        <v>3779.137467448606</v>
      </c>
    </row>
    <row r="250" spans="1:10" s="68" customFormat="1" ht="15" customHeight="1">
      <c r="A250" s="319" t="s">
        <v>364</v>
      </c>
      <c r="B250" s="442" t="s">
        <v>365</v>
      </c>
      <c r="C250" s="453" t="s">
        <v>55</v>
      </c>
      <c r="D250" s="438">
        <v>68</v>
      </c>
      <c r="E250" s="439">
        <v>430</v>
      </c>
      <c r="F250" s="438">
        <f t="shared" ref="F250:F254" si="178">D250*E250</f>
        <v>29240</v>
      </c>
      <c r="G250" s="440">
        <f t="shared" ref="G250:G254" si="179">F250/$H$9</f>
        <v>6190.5870895348589</v>
      </c>
      <c r="H250" s="440">
        <f>'Date Generale'!$D$58*F250</f>
        <v>5555.6</v>
      </c>
      <c r="I250" s="440">
        <f t="shared" ref="I250:I254" si="180">F250+H250</f>
        <v>34795.599999999999</v>
      </c>
      <c r="J250" s="441">
        <f t="shared" ref="J250:J254" si="181">I250/$H$9</f>
        <v>7366.7986365464822</v>
      </c>
    </row>
    <row r="251" spans="1:10" s="68" customFormat="1" ht="15" customHeight="1">
      <c r="A251" s="319" t="s">
        <v>366</v>
      </c>
      <c r="B251" s="442" t="s">
        <v>367</v>
      </c>
      <c r="C251" s="453" t="s">
        <v>325</v>
      </c>
      <c r="D251" s="438">
        <v>1.6</v>
      </c>
      <c r="E251" s="439">
        <v>15000</v>
      </c>
      <c r="F251" s="438">
        <f t="shared" si="178"/>
        <v>24000</v>
      </c>
      <c r="G251" s="440">
        <f t="shared" si="179"/>
        <v>5081.1932335443444</v>
      </c>
      <c r="H251" s="440">
        <f>'Date Generale'!$D$58*F251</f>
        <v>4560</v>
      </c>
      <c r="I251" s="440">
        <f t="shared" si="180"/>
        <v>28560</v>
      </c>
      <c r="J251" s="441">
        <f t="shared" si="181"/>
        <v>6046.6199479177694</v>
      </c>
    </row>
    <row r="252" spans="1:10" s="68" customFormat="1" ht="15" customHeight="1">
      <c r="A252" s="319" t="s">
        <v>368</v>
      </c>
      <c r="B252" s="442" t="s">
        <v>369</v>
      </c>
      <c r="C252" s="453" t="s">
        <v>285</v>
      </c>
      <c r="D252" s="438">
        <v>42</v>
      </c>
      <c r="E252" s="439">
        <v>115</v>
      </c>
      <c r="F252" s="438">
        <f>D252*E252</f>
        <v>4830</v>
      </c>
      <c r="G252" s="440">
        <f t="shared" si="179"/>
        <v>1022.5901382507992</v>
      </c>
      <c r="H252" s="440">
        <f>'Date Generale'!$D$58*F252</f>
        <v>917.7</v>
      </c>
      <c r="I252" s="440">
        <f t="shared" si="180"/>
        <v>5747.7</v>
      </c>
      <c r="J252" s="441">
        <f t="shared" si="181"/>
        <v>1216.8822645184509</v>
      </c>
    </row>
    <row r="253" spans="1:10" s="68" customFormat="1" ht="15" customHeight="1">
      <c r="A253" s="319" t="s">
        <v>370</v>
      </c>
      <c r="B253" s="442" t="s">
        <v>371</v>
      </c>
      <c r="C253" s="453" t="s">
        <v>285</v>
      </c>
      <c r="D253" s="438">
        <v>235</v>
      </c>
      <c r="E253" s="439">
        <v>115</v>
      </c>
      <c r="F253" s="438">
        <f t="shared" si="178"/>
        <v>27025</v>
      </c>
      <c r="G253" s="440">
        <f t="shared" si="179"/>
        <v>5721.6352973556623</v>
      </c>
      <c r="H253" s="440">
        <f>'Date Generale'!$D$58*F253</f>
        <v>5134.75</v>
      </c>
      <c r="I253" s="440">
        <f t="shared" si="180"/>
        <v>32159.75</v>
      </c>
      <c r="J253" s="441">
        <f t="shared" si="181"/>
        <v>6808.7460038532381</v>
      </c>
    </row>
    <row r="254" spans="1:10" s="68" customFormat="1" ht="15" customHeight="1">
      <c r="A254" s="319" t="s">
        <v>372</v>
      </c>
      <c r="B254" s="442" t="s">
        <v>373</v>
      </c>
      <c r="C254" s="453" t="s">
        <v>285</v>
      </c>
      <c r="D254" s="438">
        <v>112</v>
      </c>
      <c r="E254" s="439">
        <v>325</v>
      </c>
      <c r="F254" s="438">
        <f t="shared" si="178"/>
        <v>36400</v>
      </c>
      <c r="G254" s="440">
        <f t="shared" si="179"/>
        <v>7706.4764042089218</v>
      </c>
      <c r="H254" s="440">
        <f>'Date Generale'!$D$58*F254</f>
        <v>6916</v>
      </c>
      <c r="I254" s="440">
        <f t="shared" si="180"/>
        <v>43316</v>
      </c>
      <c r="J254" s="441">
        <f t="shared" si="181"/>
        <v>9170.7069210086174</v>
      </c>
    </row>
    <row r="255" spans="1:10" ht="15" customHeight="1">
      <c r="A255" s="693" t="s">
        <v>45</v>
      </c>
      <c r="B255" s="694"/>
      <c r="C255" s="694"/>
      <c r="D255" s="694"/>
      <c r="E255" s="694"/>
      <c r="F255" s="56">
        <f>SUM(F256:F257)</f>
        <v>0</v>
      </c>
      <c r="G255" s="56">
        <f>SUM(G256:G257)</f>
        <v>0</v>
      </c>
      <c r="H255" s="56">
        <f>SUM(H256:H257)</f>
        <v>0</v>
      </c>
      <c r="I255" s="56">
        <f>SUM(I256:I257)</f>
        <v>0</v>
      </c>
      <c r="J255" s="57">
        <f>SUM(J256:J257)</f>
        <v>0</v>
      </c>
    </row>
    <row r="256" spans="1:10">
      <c r="A256" s="80">
        <v>1</v>
      </c>
      <c r="B256" s="81"/>
      <c r="C256" s="76" t="str">
        <f>IF(B256="","",VLOOKUP(B256,'Lista articole'!$D$4:$E$2255,2,FALSE))</f>
        <v/>
      </c>
      <c r="D256" s="77">
        <v>0</v>
      </c>
      <c r="E256" s="78">
        <f>IF(B256="",0,VLOOKUP(B256,'Lista articole'!$D$4:$F$2163,3,FALSE))</f>
        <v>0</v>
      </c>
      <c r="F256" s="77">
        <f t="shared" ref="F256:F257" si="182">D256*E256</f>
        <v>0</v>
      </c>
      <c r="G256" s="77">
        <f t="shared" ref="G256:G257" si="183">F256/$H$9</f>
        <v>0</v>
      </c>
      <c r="H256" s="77">
        <f>F256*'Date Generale'!$D$58</f>
        <v>0</v>
      </c>
      <c r="I256" s="77">
        <f t="shared" ref="I256:I257" si="184">H256+F256</f>
        <v>0</v>
      </c>
      <c r="J256" s="79">
        <f t="shared" ref="J256:J257" si="185">I256/$H$9</f>
        <v>0</v>
      </c>
    </row>
    <row r="257" spans="1:10">
      <c r="A257" s="80">
        <v>2</v>
      </c>
      <c r="B257" s="81"/>
      <c r="C257" s="76" t="str">
        <f>IF(B257="","",VLOOKUP(B257,'Lista articole'!$D$4:$E$2255,2,FALSE))</f>
        <v/>
      </c>
      <c r="D257" s="77">
        <v>0</v>
      </c>
      <c r="E257" s="78">
        <f>IF(B257="",0,VLOOKUP(B257,'Lista articole'!$D$4:$F$2163,3,FALSE))</f>
        <v>0</v>
      </c>
      <c r="F257" s="77">
        <f t="shared" si="182"/>
        <v>0</v>
      </c>
      <c r="G257" s="77">
        <f t="shared" si="183"/>
        <v>0</v>
      </c>
      <c r="H257" s="77">
        <f>F257*'Date Generale'!$D$58</f>
        <v>0</v>
      </c>
      <c r="I257" s="77">
        <f t="shared" si="184"/>
        <v>0</v>
      </c>
      <c r="J257" s="79">
        <f t="shared" si="185"/>
        <v>0</v>
      </c>
    </row>
    <row r="258" spans="1:10" ht="15" customHeight="1">
      <c r="A258" s="693" t="s">
        <v>46</v>
      </c>
      <c r="B258" s="694"/>
      <c r="C258" s="694"/>
      <c r="D258" s="694"/>
      <c r="E258" s="694"/>
      <c r="F258" s="56">
        <f>SUM(F259:F260)</f>
        <v>0</v>
      </c>
      <c r="G258" s="56">
        <f>SUM(G259:G260)</f>
        <v>0</v>
      </c>
      <c r="H258" s="56">
        <f>SUM(H259:H260)</f>
        <v>0</v>
      </c>
      <c r="I258" s="56">
        <f>SUM(I259:I260)</f>
        <v>0</v>
      </c>
      <c r="J258" s="57">
        <f>SUM(J259:J260)</f>
        <v>0</v>
      </c>
    </row>
    <row r="259" spans="1:10" ht="15" customHeight="1">
      <c r="A259" s="80">
        <v>1</v>
      </c>
      <c r="B259" s="75"/>
      <c r="C259" s="76"/>
      <c r="D259" s="77"/>
      <c r="E259" s="78"/>
      <c r="F259" s="77"/>
      <c r="G259" s="77"/>
      <c r="H259" s="77"/>
      <c r="I259" s="77"/>
      <c r="J259" s="79"/>
    </row>
    <row r="260" spans="1:10" ht="15" customHeight="1">
      <c r="A260" s="80">
        <v>2</v>
      </c>
      <c r="B260" s="75"/>
      <c r="C260" s="76"/>
      <c r="D260" s="77"/>
      <c r="E260" s="78"/>
      <c r="F260" s="77"/>
      <c r="G260" s="77"/>
      <c r="H260" s="77"/>
      <c r="I260" s="77"/>
      <c r="J260" s="79"/>
    </row>
    <row r="261" spans="1:10" ht="15" customHeight="1">
      <c r="A261" s="693" t="s">
        <v>50</v>
      </c>
      <c r="B261" s="694"/>
      <c r="C261" s="694"/>
      <c r="D261" s="694"/>
      <c r="E261" s="694"/>
      <c r="F261" s="56">
        <f>SUM(F262:F263)</f>
        <v>0</v>
      </c>
      <c r="G261" s="56">
        <f>SUM(G262:G263)</f>
        <v>0</v>
      </c>
      <c r="H261" s="56">
        <f>SUM(H262:H263)</f>
        <v>0</v>
      </c>
      <c r="I261" s="56">
        <f>SUM(I262:I263)</f>
        <v>0</v>
      </c>
      <c r="J261" s="57">
        <f>SUM(J262:J263)</f>
        <v>0</v>
      </c>
    </row>
    <row r="262" spans="1:10">
      <c r="A262" s="80">
        <v>1</v>
      </c>
      <c r="B262" s="81"/>
      <c r="C262" s="76" t="str">
        <f>IF(B262="","",VLOOKUP(B262,'Lista articole'!$D$4:$E$2255,2,FALSE))</f>
        <v/>
      </c>
      <c r="D262" s="77">
        <v>0</v>
      </c>
      <c r="E262" s="78">
        <f>IF(B262="",0,VLOOKUP(B262,'Lista articole'!$D$4:$F$2163,3,FALSE))</f>
        <v>0</v>
      </c>
      <c r="F262" s="77">
        <f t="shared" ref="F262:F263" si="186">D262*E262</f>
        <v>0</v>
      </c>
      <c r="G262" s="77">
        <f t="shared" ref="G262:G263" si="187">F262/$H$9</f>
        <v>0</v>
      </c>
      <c r="H262" s="77">
        <f>F262*'Date Generale'!$D$58</f>
        <v>0</v>
      </c>
      <c r="I262" s="77">
        <f t="shared" ref="I262:I263" si="188">H262+F262</f>
        <v>0</v>
      </c>
      <c r="J262" s="79">
        <f t="shared" ref="J262:J263" si="189">I262/$H$9</f>
        <v>0</v>
      </c>
    </row>
    <row r="263" spans="1:10">
      <c r="A263" s="74">
        <f>A262+1</f>
        <v>2</v>
      </c>
      <c r="B263" s="75"/>
      <c r="C263" s="76" t="str">
        <f>IF(B263="","",VLOOKUP(B263,'Lista articole'!$D$4:$E$2255,2,FALSE))</f>
        <v/>
      </c>
      <c r="D263" s="77">
        <v>0</v>
      </c>
      <c r="E263" s="78">
        <f>IF(B263="",0,VLOOKUP(B263,'Lista articole'!$D$4:$F$2163,3,FALSE))</f>
        <v>0</v>
      </c>
      <c r="F263" s="77">
        <f t="shared" si="186"/>
        <v>0</v>
      </c>
      <c r="G263" s="77">
        <f t="shared" si="187"/>
        <v>0</v>
      </c>
      <c r="H263" s="77">
        <f>F263*'Date Generale'!$D$58</f>
        <v>0</v>
      </c>
      <c r="I263" s="77">
        <f t="shared" si="188"/>
        <v>0</v>
      </c>
      <c r="J263" s="79">
        <f t="shared" si="189"/>
        <v>0</v>
      </c>
    </row>
    <row r="264" spans="1:10" ht="15" customHeight="1">
      <c r="A264" s="693" t="s">
        <v>51</v>
      </c>
      <c r="B264" s="694"/>
      <c r="C264" s="694"/>
      <c r="D264" s="694"/>
      <c r="E264" s="694"/>
      <c r="F264" s="56">
        <f>SUM(F265:F266)</f>
        <v>0</v>
      </c>
      <c r="G264" s="56">
        <f>SUM(G265:G266)</f>
        <v>0</v>
      </c>
      <c r="H264" s="56">
        <f>SUM(H265:H266)</f>
        <v>0</v>
      </c>
      <c r="I264" s="56">
        <f>SUM(I265:I266)</f>
        <v>0</v>
      </c>
      <c r="J264" s="57">
        <f>SUM(J265:J266)</f>
        <v>0</v>
      </c>
    </row>
    <row r="265" spans="1:10">
      <c r="A265" s="80">
        <v>1</v>
      </c>
      <c r="B265" s="81"/>
      <c r="C265" s="76" t="str">
        <f>IF(B265="","",VLOOKUP(B265,'Lista articole'!$D$4:$E$2255,2,FALSE))</f>
        <v/>
      </c>
      <c r="D265" s="77">
        <v>0</v>
      </c>
      <c r="E265" s="78">
        <f>IF(B265="",0,VLOOKUP(B265,'Lista articole'!$D$4:$F$2163,3,FALSE))</f>
        <v>0</v>
      </c>
      <c r="F265" s="77">
        <f t="shared" ref="F265:F266" si="190">D265*E265</f>
        <v>0</v>
      </c>
      <c r="G265" s="77">
        <f t="shared" ref="G265:G266" si="191">F265/$H$9</f>
        <v>0</v>
      </c>
      <c r="H265" s="77">
        <f>F265*'Date Generale'!$D$58</f>
        <v>0</v>
      </c>
      <c r="I265" s="77">
        <f t="shared" ref="I265:I266" si="192">H265+F265</f>
        <v>0</v>
      </c>
      <c r="J265" s="79">
        <f t="shared" ref="J265:J266" si="193">I265/$H$9</f>
        <v>0</v>
      </c>
    </row>
    <row r="266" spans="1:10">
      <c r="A266" s="74">
        <f>A265+1</f>
        <v>2</v>
      </c>
      <c r="B266" s="75"/>
      <c r="C266" s="76" t="str">
        <f>IF(B266="","",VLOOKUP(B266,'Lista articole'!$D$4:$E$2255,2,FALSE))</f>
        <v/>
      </c>
      <c r="D266" s="77">
        <v>0</v>
      </c>
      <c r="E266" s="78">
        <f>IF(B266="",0,VLOOKUP(B266,'Lista articole'!$D$4:$F$2163,3,FALSE))</f>
        <v>0</v>
      </c>
      <c r="F266" s="77">
        <f t="shared" si="190"/>
        <v>0</v>
      </c>
      <c r="G266" s="77">
        <f t="shared" si="191"/>
        <v>0</v>
      </c>
      <c r="H266" s="77">
        <f>F266*'Date Generale'!$D$58</f>
        <v>0</v>
      </c>
      <c r="I266" s="77">
        <f t="shared" si="192"/>
        <v>0</v>
      </c>
      <c r="J266" s="79">
        <f t="shared" si="193"/>
        <v>0</v>
      </c>
    </row>
    <row r="267" spans="1:10" ht="15" customHeight="1">
      <c r="A267" s="693" t="s">
        <v>52</v>
      </c>
      <c r="B267" s="694"/>
      <c r="C267" s="694"/>
      <c r="D267" s="694"/>
      <c r="E267" s="694"/>
      <c r="F267" s="56">
        <f>SUM(F268:F269)</f>
        <v>0</v>
      </c>
      <c r="G267" s="56">
        <f>SUM(G268:G269)</f>
        <v>0</v>
      </c>
      <c r="H267" s="56">
        <f>SUM(H268:H269)</f>
        <v>0</v>
      </c>
      <c r="I267" s="56">
        <f>SUM(I268:I269)</f>
        <v>0</v>
      </c>
      <c r="J267" s="57">
        <f>SUM(J268:J269)</f>
        <v>0</v>
      </c>
    </row>
    <row r="268" spans="1:10">
      <c r="A268" s="80">
        <v>1</v>
      </c>
      <c r="B268" s="81"/>
      <c r="C268" s="76" t="str">
        <f>IF(B268="","",VLOOKUP(B268,'Lista articole'!$D$4:$E$2255,2,FALSE))</f>
        <v/>
      </c>
      <c r="D268" s="77">
        <v>0</v>
      </c>
      <c r="E268" s="78">
        <f>IF(B268="",0,VLOOKUP(B268,'Lista articole'!$D$4:$F$2163,3,FALSE))</f>
        <v>0</v>
      </c>
      <c r="F268" s="77">
        <f>D268*E268</f>
        <v>0</v>
      </c>
      <c r="G268" s="77">
        <f>F268/$H$9</f>
        <v>0</v>
      </c>
      <c r="H268" s="77">
        <f>F268*'Date Generale'!$D$58</f>
        <v>0</v>
      </c>
      <c r="I268" s="77">
        <f t="shared" ref="I268:I269" si="194">H268+F268</f>
        <v>0</v>
      </c>
      <c r="J268" s="79">
        <f t="shared" ref="J268:J269" si="195">I268/$H$9</f>
        <v>0</v>
      </c>
    </row>
    <row r="269" spans="1:10">
      <c r="A269" s="74">
        <f>A268+1</f>
        <v>2</v>
      </c>
      <c r="B269" s="75"/>
      <c r="C269" s="76" t="str">
        <f>IF(B269="","",VLOOKUP(B269,'Lista articole'!$D$4:$E$2255,2,FALSE))</f>
        <v/>
      </c>
      <c r="D269" s="77">
        <v>0</v>
      </c>
      <c r="E269" s="78">
        <f>IF(B269="",0,VLOOKUP(B269,'Lista articole'!$D$4:$F$2163,3,FALSE))</f>
        <v>0</v>
      </c>
      <c r="F269" s="77">
        <f t="shared" ref="F269" si="196">D269*E269</f>
        <v>0</v>
      </c>
      <c r="G269" s="77">
        <f t="shared" ref="G269" si="197">F269/$H$9</f>
        <v>0</v>
      </c>
      <c r="H269" s="77">
        <f>F269*'Date Generale'!$D$58</f>
        <v>0</v>
      </c>
      <c r="I269" s="77">
        <f t="shared" si="194"/>
        <v>0</v>
      </c>
      <c r="J269" s="79">
        <f t="shared" si="195"/>
        <v>0</v>
      </c>
    </row>
    <row r="270" spans="1:10" ht="15" customHeight="1">
      <c r="A270" s="693" t="s">
        <v>53</v>
      </c>
      <c r="B270" s="694"/>
      <c r="C270" s="694"/>
      <c r="D270" s="694"/>
      <c r="E270" s="694"/>
      <c r="F270" s="56">
        <f>SUM(F271:F272)</f>
        <v>0</v>
      </c>
      <c r="G270" s="56">
        <f>SUM(G271:G272)</f>
        <v>0</v>
      </c>
      <c r="H270" s="56">
        <f>SUM(H271:H272)</f>
        <v>0</v>
      </c>
      <c r="I270" s="56">
        <f>SUM(I271:I272)</f>
        <v>0</v>
      </c>
      <c r="J270" s="57">
        <f>SUM(J271:J272)</f>
        <v>0</v>
      </c>
    </row>
    <row r="271" spans="1:10">
      <c r="A271" s="80">
        <v>1</v>
      </c>
      <c r="B271" s="81"/>
      <c r="C271" s="76" t="str">
        <f>IF(B271="","",VLOOKUP(B271,'Lista articole'!$D$4:$E$2255,2,FALSE))</f>
        <v/>
      </c>
      <c r="D271" s="77">
        <v>0</v>
      </c>
      <c r="E271" s="78">
        <f>IF(B271="",0,VLOOKUP(B271,'Lista articole'!$D$4:$F$2163,3,FALSE))</f>
        <v>0</v>
      </c>
      <c r="F271" s="77">
        <f>D271*E271</f>
        <v>0</v>
      </c>
      <c r="G271" s="77">
        <f>F271/$H$9</f>
        <v>0</v>
      </c>
      <c r="H271" s="77">
        <f>F271*'Date Generale'!$D$58</f>
        <v>0</v>
      </c>
      <c r="I271" s="77">
        <f t="shared" ref="I271:I272" si="198">H271+F271</f>
        <v>0</v>
      </c>
      <c r="J271" s="79">
        <f t="shared" ref="J271:J272" si="199">I271/$H$9</f>
        <v>0</v>
      </c>
    </row>
    <row r="272" spans="1:10" ht="15.75" thickBot="1">
      <c r="A272" s="139">
        <f>A271+1</f>
        <v>2</v>
      </c>
      <c r="B272" s="140"/>
      <c r="C272" s="141" t="str">
        <f>IF(B272="","",VLOOKUP(B272,'Lista articole'!$D$4:$E$2255,2,FALSE))</f>
        <v/>
      </c>
      <c r="D272" s="142">
        <v>0</v>
      </c>
      <c r="E272" s="143">
        <f>IF(B272="",0,VLOOKUP(B272,'Lista articole'!$D$4:$F$2163,3,FALSE))</f>
        <v>0</v>
      </c>
      <c r="F272" s="142">
        <f t="shared" ref="F272" si="200">D272*E272</f>
        <v>0</v>
      </c>
      <c r="G272" s="142">
        <f t="shared" ref="G272" si="201">F272/$H$9</f>
        <v>0</v>
      </c>
      <c r="H272" s="142">
        <f>F272*'Date Generale'!$D$58</f>
        <v>0</v>
      </c>
      <c r="I272" s="142">
        <f t="shared" si="198"/>
        <v>0</v>
      </c>
      <c r="J272" s="144">
        <f t="shared" si="199"/>
        <v>0</v>
      </c>
    </row>
    <row r="273" spans="1:11" ht="15.75" thickBot="1">
      <c r="A273" s="685" t="s">
        <v>27</v>
      </c>
      <c r="B273" s="686"/>
      <c r="C273" s="686"/>
      <c r="D273" s="686"/>
      <c r="E273" s="686"/>
      <c r="F273" s="82">
        <f>SUM(F195,F209,F255,F258,F261,F264,F267,F270)</f>
        <v>5419515.1500000004</v>
      </c>
      <c r="G273" s="82">
        <f>SUM(G195,G209,G255,G258,G261,G264,G267,G270)</f>
        <v>1147400.1545529608</v>
      </c>
      <c r="H273" s="82">
        <f>SUM(H195,H209,H255,H258,H261,H264,H267,H270)</f>
        <v>1029707.8785</v>
      </c>
      <c r="I273" s="82">
        <f>SUM(I195,I209,I255,I258,I261,I264,I267,I270)</f>
        <v>6449223.0285</v>
      </c>
      <c r="J273" s="83">
        <f>SUM(J195,J209,J255,J258,J261,J264,J267,J270)</f>
        <v>1365406.1839180232</v>
      </c>
    </row>
    <row r="274" spans="1:11" ht="15.75" customHeight="1" thickBot="1">
      <c r="A274" s="683" t="s">
        <v>28</v>
      </c>
      <c r="B274" s="684"/>
      <c r="C274" s="684"/>
      <c r="D274" s="684"/>
      <c r="E274" s="684"/>
      <c r="F274" s="72"/>
      <c r="G274" s="72"/>
      <c r="H274" s="72"/>
      <c r="I274" s="72"/>
      <c r="J274" s="73"/>
    </row>
    <row r="275" spans="1:11">
      <c r="A275" s="145"/>
      <c r="B275" s="695" t="s">
        <v>29</v>
      </c>
      <c r="C275" s="695"/>
      <c r="D275" s="695"/>
      <c r="E275" s="695"/>
      <c r="F275" s="146">
        <f>SUM(F276:F277)</f>
        <v>0</v>
      </c>
      <c r="G275" s="146">
        <f>SUM(G276:G277)</f>
        <v>0</v>
      </c>
      <c r="H275" s="146">
        <f>SUM(H276:H277)</f>
        <v>0</v>
      </c>
      <c r="I275" s="146">
        <f>SUM(I276:I277)</f>
        <v>0</v>
      </c>
      <c r="J275" s="147">
        <f>SUM(J276:J277)</f>
        <v>0</v>
      </c>
    </row>
    <row r="276" spans="1:11">
      <c r="A276" s="80">
        <v>1</v>
      </c>
      <c r="B276" s="81"/>
      <c r="C276" s="76" t="str">
        <f>IF(B276="","",VLOOKUP(B276,'Lista articole'!$D$4:$E$2255,2,FALSE))</f>
        <v/>
      </c>
      <c r="D276" s="77">
        <v>0</v>
      </c>
      <c r="E276" s="78">
        <f>IF(B276="",0,VLOOKUP(B276,'Lista articole'!$D$4:$F$2163,3,FALSE))</f>
        <v>0</v>
      </c>
      <c r="F276" s="77">
        <f>D276*E276</f>
        <v>0</v>
      </c>
      <c r="G276" s="77">
        <f>F276/$H$9</f>
        <v>0</v>
      </c>
      <c r="H276" s="77">
        <f>F276*'Date Generale'!$D$58</f>
        <v>0</v>
      </c>
      <c r="I276" s="77">
        <f t="shared" ref="I276:I277" si="202">H276+F276</f>
        <v>0</v>
      </c>
      <c r="J276" s="79">
        <f t="shared" ref="J276:J277" si="203">I276/$H$9</f>
        <v>0</v>
      </c>
    </row>
    <row r="277" spans="1:11" ht="15.75" thickBot="1">
      <c r="A277" s="139">
        <f>A276+1</f>
        <v>2</v>
      </c>
      <c r="B277" s="140"/>
      <c r="C277" s="141" t="str">
        <f>IF(B277="","",VLOOKUP(B277,'Lista articole'!$D$4:$E$2255,2,FALSE))</f>
        <v/>
      </c>
      <c r="D277" s="142">
        <v>0</v>
      </c>
      <c r="E277" s="143">
        <f>IF(B277="",0,VLOOKUP(B277,'Lista articole'!$D$4:$F$2163,3,FALSE))</f>
        <v>0</v>
      </c>
      <c r="F277" s="142">
        <f t="shared" ref="F277" si="204">D277*E277</f>
        <v>0</v>
      </c>
      <c r="G277" s="142">
        <f t="shared" ref="G277" si="205">F277/$H$9</f>
        <v>0</v>
      </c>
      <c r="H277" s="142">
        <f>F277*'Date Generale'!$D$58</f>
        <v>0</v>
      </c>
      <c r="I277" s="142">
        <f t="shared" si="202"/>
        <v>0</v>
      </c>
      <c r="J277" s="144">
        <f t="shared" si="203"/>
        <v>0</v>
      </c>
    </row>
    <row r="278" spans="1:11" ht="15.75" thickBot="1">
      <c r="A278" s="685" t="s">
        <v>30</v>
      </c>
      <c r="B278" s="686"/>
      <c r="C278" s="686"/>
      <c r="D278" s="686"/>
      <c r="E278" s="686"/>
      <c r="F278" s="85">
        <f>F275</f>
        <v>0</v>
      </c>
      <c r="G278" s="85">
        <f>G275</f>
        <v>0</v>
      </c>
      <c r="H278" s="85">
        <f>H275</f>
        <v>0</v>
      </c>
      <c r="I278" s="85">
        <f>I275</f>
        <v>0</v>
      </c>
      <c r="J278" s="86">
        <f>J275</f>
        <v>0</v>
      </c>
    </row>
    <row r="279" spans="1:11" ht="15" customHeight="1" thickBot="1">
      <c r="A279" s="683" t="s">
        <v>31</v>
      </c>
      <c r="B279" s="684"/>
      <c r="C279" s="684"/>
      <c r="D279" s="684"/>
      <c r="E279" s="684"/>
      <c r="F279" s="72"/>
      <c r="G279" s="72"/>
      <c r="H279" s="72"/>
      <c r="I279" s="72"/>
      <c r="J279" s="73"/>
    </row>
    <row r="280" spans="1:11">
      <c r="A280" s="145"/>
      <c r="B280" s="695" t="s">
        <v>32</v>
      </c>
      <c r="C280" s="695"/>
      <c r="D280" s="695"/>
      <c r="E280" s="695"/>
      <c r="F280" s="148">
        <f>SUM(F281:F282)</f>
        <v>0</v>
      </c>
      <c r="G280" s="148">
        <f>SUM(G281:G282)</f>
        <v>0</v>
      </c>
      <c r="H280" s="148">
        <f>SUM(H281:H282)</f>
        <v>0</v>
      </c>
      <c r="I280" s="148">
        <f>SUM(I281:I282)</f>
        <v>0</v>
      </c>
      <c r="J280" s="149">
        <f>SUM(J281:J282)</f>
        <v>0</v>
      </c>
    </row>
    <row r="281" spans="1:11" s="68" customFormat="1">
      <c r="A281" s="80">
        <v>1</v>
      </c>
      <c r="B281" s="81"/>
      <c r="C281" s="76" t="str">
        <f>IF(B281="","",VLOOKUP(B281,'Lista articole'!$D$4:$E$2255,2,FALSE))</f>
        <v/>
      </c>
      <c r="D281" s="77">
        <v>0</v>
      </c>
      <c r="E281" s="78">
        <f>IF(B281="",0,VLOOKUP(B281,'Lista articole'!$D$4:$F$2163,3,FALSE))</f>
        <v>0</v>
      </c>
      <c r="F281" s="77">
        <f>D281*E281</f>
        <v>0</v>
      </c>
      <c r="G281" s="77">
        <f>F281/$H$9</f>
        <v>0</v>
      </c>
      <c r="H281" s="77">
        <f>F281*'Date Generale'!$D$58</f>
        <v>0</v>
      </c>
      <c r="I281" s="77">
        <f t="shared" ref="I281:I282" si="206">H281+F281</f>
        <v>0</v>
      </c>
      <c r="J281" s="79">
        <f t="shared" ref="J281:J282" si="207">I281/$H$9</f>
        <v>0</v>
      </c>
    </row>
    <row r="282" spans="1:11" s="92" customFormat="1" ht="15" customHeight="1">
      <c r="A282" s="74">
        <f>A281+1</f>
        <v>2</v>
      </c>
      <c r="B282" s="75"/>
      <c r="C282" s="76" t="str">
        <f>IF(B282="","",VLOOKUP(B282,'Lista articole'!$D$4:$E$2255,2,FALSE))</f>
        <v/>
      </c>
      <c r="D282" s="77">
        <v>0</v>
      </c>
      <c r="E282" s="78">
        <f>IF(B282="",0,VLOOKUP(B282,'Lista articole'!$D$4:$F$2163,3,FALSE))</f>
        <v>0</v>
      </c>
      <c r="F282" s="77">
        <f t="shared" ref="F282" si="208">D282*E282</f>
        <v>0</v>
      </c>
      <c r="G282" s="77">
        <f t="shared" ref="G282" si="209">F282/$H$9</f>
        <v>0</v>
      </c>
      <c r="H282" s="77">
        <f>F282*'Date Generale'!$D$58</f>
        <v>0</v>
      </c>
      <c r="I282" s="77">
        <f t="shared" si="206"/>
        <v>0</v>
      </c>
      <c r="J282" s="79">
        <f t="shared" si="207"/>
        <v>0</v>
      </c>
      <c r="K282" s="68"/>
    </row>
    <row r="283" spans="1:11" s="92" customFormat="1" ht="15" customHeight="1">
      <c r="A283" s="87"/>
      <c r="B283" s="696" t="s">
        <v>33</v>
      </c>
      <c r="C283" s="696"/>
      <c r="D283" s="696"/>
      <c r="E283" s="696"/>
      <c r="F283" s="88">
        <f>SUM(F284:F285)</f>
        <v>0</v>
      </c>
      <c r="G283" s="88">
        <f>SUM(G284:G285)</f>
        <v>0</v>
      </c>
      <c r="H283" s="88">
        <f>SUM(H284:H285)</f>
        <v>0</v>
      </c>
      <c r="I283" s="88">
        <f>SUM(I284:I285)</f>
        <v>0</v>
      </c>
      <c r="J283" s="89">
        <f>SUM(J284:J285)</f>
        <v>0</v>
      </c>
      <c r="K283" s="68"/>
    </row>
    <row r="284" spans="1:11" s="92" customFormat="1" ht="15" customHeight="1">
      <c r="A284" s="80">
        <v>1</v>
      </c>
      <c r="B284" s="81"/>
      <c r="C284" s="76" t="str">
        <f>IF(B284="","",VLOOKUP(B284,'Lista articole'!$D$4:$E$2255,2,FALSE))</f>
        <v/>
      </c>
      <c r="D284" s="77">
        <v>0</v>
      </c>
      <c r="E284" s="78">
        <f>IF(B284="",0,VLOOKUP(B284,'Lista articole'!$D$4:$F$2163,3,FALSE))</f>
        <v>0</v>
      </c>
      <c r="F284" s="77">
        <f>D284*E284</f>
        <v>0</v>
      </c>
      <c r="G284" s="77">
        <f>F284/$H$9</f>
        <v>0</v>
      </c>
      <c r="H284" s="77">
        <f>F284*'Date Generale'!$D$58</f>
        <v>0</v>
      </c>
      <c r="I284" s="77">
        <f t="shared" ref="I284:I285" si="210">H284+F284</f>
        <v>0</v>
      </c>
      <c r="J284" s="79">
        <f t="shared" ref="J284:J285" si="211">I284/$H$9</f>
        <v>0</v>
      </c>
      <c r="K284" s="68"/>
    </row>
    <row r="285" spans="1:11" s="92" customFormat="1" ht="15" customHeight="1">
      <c r="A285" s="74">
        <f>A284+1</f>
        <v>2</v>
      </c>
      <c r="B285" s="75"/>
      <c r="C285" s="76" t="str">
        <f>IF(B285="","",VLOOKUP(B285,'Lista articole'!$D$4:$E$2255,2,FALSE))</f>
        <v/>
      </c>
      <c r="D285" s="77">
        <v>0</v>
      </c>
      <c r="E285" s="78">
        <f>IF(B285="",0,VLOOKUP(B285,'Lista articole'!$D$4:$F$2163,3,FALSE))</f>
        <v>0</v>
      </c>
      <c r="F285" s="77">
        <f t="shared" ref="F285" si="212">D285*E285</f>
        <v>0</v>
      </c>
      <c r="G285" s="77">
        <f t="shared" ref="G285" si="213">F285/$H$9</f>
        <v>0</v>
      </c>
      <c r="H285" s="77">
        <f>F285*'Date Generale'!$D$58</f>
        <v>0</v>
      </c>
      <c r="I285" s="77">
        <f t="shared" si="210"/>
        <v>0</v>
      </c>
      <c r="J285" s="79">
        <f t="shared" si="211"/>
        <v>0</v>
      </c>
      <c r="K285" s="68"/>
    </row>
    <row r="286" spans="1:11" s="92" customFormat="1" ht="15" customHeight="1">
      <c r="A286" s="87"/>
      <c r="B286" s="696" t="s">
        <v>34</v>
      </c>
      <c r="C286" s="696"/>
      <c r="D286" s="696"/>
      <c r="E286" s="696"/>
      <c r="F286" s="88">
        <f>SUM(F287:F288)</f>
        <v>0</v>
      </c>
      <c r="G286" s="88">
        <f>SUM(G287:G288)</f>
        <v>0</v>
      </c>
      <c r="H286" s="88">
        <f>SUM(H287:H288)</f>
        <v>0</v>
      </c>
      <c r="I286" s="88">
        <f>SUM(I287:I288)</f>
        <v>0</v>
      </c>
      <c r="J286" s="89">
        <f>SUM(J287:J288)</f>
        <v>0</v>
      </c>
      <c r="K286" s="68"/>
    </row>
    <row r="287" spans="1:11" ht="15" customHeight="1">
      <c r="A287" s="80">
        <v>1</v>
      </c>
      <c r="B287" s="81"/>
      <c r="C287" s="76" t="str">
        <f>IF(B287="","",VLOOKUP(B287,'Lista articole'!$D$4:$E$2255,2,FALSE))</f>
        <v/>
      </c>
      <c r="D287" s="77">
        <v>0</v>
      </c>
      <c r="E287" s="78">
        <f>IF(B287="",0,VLOOKUP(B287,'Lista articole'!$D$4:$F$2163,3,FALSE))</f>
        <v>0</v>
      </c>
      <c r="F287" s="77">
        <f>D287*E287</f>
        <v>0</v>
      </c>
      <c r="G287" s="77">
        <f>F287/$H$9</f>
        <v>0</v>
      </c>
      <c r="H287" s="77">
        <f>F287*'Date Generale'!$D$58</f>
        <v>0</v>
      </c>
      <c r="I287" s="77">
        <f t="shared" ref="I287:I288" si="214">H287+F287</f>
        <v>0</v>
      </c>
      <c r="J287" s="79">
        <f t="shared" ref="J287:J288" si="215">I287/$H$9</f>
        <v>0</v>
      </c>
    </row>
    <row r="288" spans="1:11" ht="15.75" thickBot="1">
      <c r="A288" s="139">
        <f>A287+1</f>
        <v>2</v>
      </c>
      <c r="B288" s="140"/>
      <c r="C288" s="141" t="str">
        <f>IF(B288="","",VLOOKUP(B288,'Lista articole'!$D$4:$E$2255,2,FALSE))</f>
        <v/>
      </c>
      <c r="D288" s="142">
        <v>0</v>
      </c>
      <c r="E288" s="143">
        <f>IF(B288="",0,VLOOKUP(B288,'Lista articole'!$D$4:$F$2163,3,FALSE))</f>
        <v>0</v>
      </c>
      <c r="F288" s="142">
        <f t="shared" ref="F288" si="216">D288*E288</f>
        <v>0</v>
      </c>
      <c r="G288" s="142">
        <f t="shared" ref="G288" si="217">F288/$H$9</f>
        <v>0</v>
      </c>
      <c r="H288" s="142">
        <f>F288*'Date Generale'!$D$58</f>
        <v>0</v>
      </c>
      <c r="I288" s="142">
        <f t="shared" si="214"/>
        <v>0</v>
      </c>
      <c r="J288" s="144">
        <f t="shared" si="215"/>
        <v>0</v>
      </c>
    </row>
    <row r="289" spans="1:10" ht="15.75" thickBot="1">
      <c r="A289" s="685" t="s">
        <v>35</v>
      </c>
      <c r="B289" s="686"/>
      <c r="C289" s="686"/>
      <c r="D289" s="686"/>
      <c r="E289" s="686"/>
      <c r="F289" s="62">
        <f>SUM(F286,F283,F280)</f>
        <v>0</v>
      </c>
      <c r="G289" s="62">
        <f>SUM(G286,G283,G280)</f>
        <v>0</v>
      </c>
      <c r="H289" s="62">
        <f>SUM(H286,H283,H280)</f>
        <v>0</v>
      </c>
      <c r="I289" s="62">
        <f>SUM(I286,I283,I280)</f>
        <v>0</v>
      </c>
      <c r="J289" s="63">
        <f>SUM(J286,J283,J280)</f>
        <v>0</v>
      </c>
    </row>
    <row r="290" spans="1:10" ht="15" customHeight="1">
      <c r="A290" s="38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>
      <c r="A291" s="38"/>
      <c r="C291" s="42"/>
      <c r="D291" s="42"/>
      <c r="E291" s="42"/>
      <c r="F291" s="42"/>
      <c r="G291" s="42"/>
      <c r="H291" s="42"/>
      <c r="I291" s="42"/>
      <c r="J291" s="42"/>
    </row>
    <row r="292" spans="1:10" ht="18.75">
      <c r="A292" s="42"/>
      <c r="B292" s="90" t="s">
        <v>37</v>
      </c>
      <c r="C292" s="42"/>
      <c r="D292" s="42"/>
      <c r="E292" s="42"/>
      <c r="F292" s="42"/>
      <c r="G292" s="42"/>
      <c r="H292" s="42"/>
      <c r="I292" s="42"/>
      <c r="J292" s="42"/>
    </row>
    <row r="293" spans="1:10" s="68" customFormat="1" ht="15" customHeight="1">
      <c r="A293" s="38"/>
      <c r="B293" s="90" t="str">
        <f>'Date Generale'!$C$7</f>
        <v>S.C. Tehno Consoulting Solutions S.R.L.</v>
      </c>
      <c r="C293" s="39"/>
      <c r="D293" s="39"/>
      <c r="E293" s="39"/>
      <c r="F293" s="39"/>
      <c r="G293" s="39"/>
      <c r="H293" s="39"/>
      <c r="I293" s="39"/>
      <c r="J293" s="39"/>
    </row>
    <row r="294" spans="1:10" s="68" customFormat="1" ht="15" customHeight="1">
      <c r="A294" s="35"/>
      <c r="B294" s="93"/>
      <c r="C294" s="94"/>
      <c r="D294" s="95"/>
      <c r="E294" s="96"/>
      <c r="F294" s="96"/>
      <c r="G294" s="95"/>
      <c r="H294" s="95"/>
      <c r="I294" s="95"/>
      <c r="J294" s="95"/>
    </row>
    <row r="295" spans="1:10" s="68" customFormat="1" ht="15" customHeight="1">
      <c r="A295" s="35"/>
      <c r="B295" s="93"/>
      <c r="C295" s="94"/>
      <c r="D295" s="95"/>
      <c r="E295" s="96"/>
      <c r="F295" s="96"/>
      <c r="G295" s="95"/>
      <c r="H295" s="95"/>
      <c r="I295" s="95"/>
      <c r="J295" s="95"/>
    </row>
    <row r="296" spans="1:10" ht="15" customHeight="1">
      <c r="A296" s="34"/>
      <c r="B296" s="34"/>
      <c r="C296" s="34"/>
      <c r="D296" s="34"/>
      <c r="E296" s="34"/>
      <c r="F296" s="97"/>
      <c r="G296" s="97"/>
      <c r="H296" s="97"/>
      <c r="I296" s="97"/>
      <c r="J296" s="97"/>
    </row>
    <row r="297" spans="1:10" s="67" customFormat="1" ht="15.75">
      <c r="A297" s="41" t="str">
        <f>"Beneficiar: " &amp;'Date Generale'!$C$6</f>
        <v xml:space="preserve">Beneficiar: Judetul Arges </v>
      </c>
      <c r="B297" s="41"/>
      <c r="C297" s="42"/>
      <c r="D297" s="42"/>
      <c r="E297" s="69"/>
      <c r="F297" s="42"/>
      <c r="G297" s="42"/>
      <c r="H297" s="42"/>
      <c r="I297" s="42"/>
      <c r="J297" s="42"/>
    </row>
    <row r="298" spans="1:10" s="67" customFormat="1" ht="15.75">
      <c r="A298" s="41" t="str">
        <f>"Denumire Proiect: " &amp; 'Date Generale'!$C$3</f>
        <v>Denumire Proiect: Modernizare DJ 703B Serbanesti (DJ659) - Silistea, km 70+410 - 77+826, 7.416km, in comunele Rociu si Cateasca</v>
      </c>
      <c r="B298" s="41"/>
      <c r="C298" s="44"/>
      <c r="D298" s="44"/>
      <c r="E298" s="44"/>
      <c r="F298" s="44"/>
      <c r="G298" s="44"/>
      <c r="H298" s="44"/>
      <c r="I298" s="44"/>
      <c r="J298" s="44"/>
    </row>
    <row r="299" spans="1:10" s="67" customFormat="1" ht="15.75">
      <c r="A299" s="235" t="str">
        <f>"Denumire Obiect: " &amp; 'Date Generale'!$C$4</f>
        <v>Denumire Obiect: Deviz actualizat 21.06.2019</v>
      </c>
      <c r="B299" s="41"/>
      <c r="C299" s="44"/>
      <c r="D299" s="44"/>
      <c r="E299" s="44"/>
      <c r="F299" s="44"/>
      <c r="G299" s="44"/>
      <c r="H299" s="44"/>
      <c r="I299" s="44"/>
      <c r="J299" s="44"/>
    </row>
    <row r="300" spans="1:10" s="67" customFormat="1" ht="15.75">
      <c r="A300" s="41"/>
      <c r="B300" s="41"/>
      <c r="C300" s="44"/>
      <c r="D300" s="44"/>
      <c r="E300" s="44"/>
      <c r="F300" s="44"/>
      <c r="G300" s="44"/>
      <c r="H300" s="44"/>
      <c r="I300" s="44"/>
      <c r="J300" s="44"/>
    </row>
    <row r="301" spans="1:10" s="67" customFormat="1" ht="15.75" customHeight="1">
      <c r="A301" s="41" t="str">
        <f>'Date Generale'!$E$63</f>
        <v>Obiect 003: Instalatii electrice</v>
      </c>
      <c r="B301" s="41"/>
      <c r="C301" s="44"/>
      <c r="D301" s="44"/>
      <c r="E301" s="44"/>
      <c r="F301" s="44"/>
      <c r="G301" s="44"/>
      <c r="H301" s="44"/>
      <c r="I301" s="44"/>
      <c r="J301" s="44"/>
    </row>
    <row r="302" spans="1:10" s="67" customFormat="1">
      <c r="A302" s="687" t="s">
        <v>38</v>
      </c>
      <c r="B302" s="687"/>
      <c r="C302" s="687"/>
      <c r="D302" s="687"/>
      <c r="E302" s="687"/>
      <c r="F302" s="687"/>
      <c r="G302" s="687"/>
      <c r="H302" s="687"/>
      <c r="I302" s="687"/>
      <c r="J302" s="687"/>
    </row>
    <row r="303" spans="1:10" s="67" customFormat="1">
      <c r="A303" s="136"/>
      <c r="B303" s="136"/>
      <c r="C303" s="136"/>
      <c r="D303" s="136"/>
      <c r="E303" s="136"/>
      <c r="F303" s="136"/>
      <c r="G303" s="136"/>
      <c r="H303" s="136"/>
      <c r="I303" s="136"/>
      <c r="J303" s="136"/>
    </row>
    <row r="304" spans="1:10" s="67" customFormat="1" ht="15.75" thickBot="1">
      <c r="A304" s="42"/>
      <c r="B304" s="46"/>
      <c r="C304" s="71"/>
      <c r="D304" s="71"/>
      <c r="E304" s="71"/>
      <c r="F304" s="33"/>
      <c r="G304" s="47" t="s">
        <v>2</v>
      </c>
      <c r="H304" s="48">
        <f>'Date Generale'!$C$54</f>
        <v>4.7233000000000001</v>
      </c>
      <c r="I304" s="49" t="s">
        <v>3</v>
      </c>
      <c r="J304" s="50" t="str">
        <f>'Date Generale'!$D$54</f>
        <v>21,06,2019</v>
      </c>
    </row>
    <row r="305" spans="1:10" s="67" customFormat="1" ht="15.75" customHeight="1" thickBot="1">
      <c r="A305" s="688" t="s">
        <v>4</v>
      </c>
      <c r="B305" s="688" t="s">
        <v>5</v>
      </c>
      <c r="C305" s="688" t="s">
        <v>39</v>
      </c>
      <c r="D305" s="688" t="s">
        <v>40</v>
      </c>
      <c r="E305" s="688" t="s">
        <v>228</v>
      </c>
      <c r="F305" s="689" t="s">
        <v>160</v>
      </c>
      <c r="G305" s="689"/>
      <c r="H305" s="24" t="s">
        <v>7</v>
      </c>
      <c r="I305" s="689" t="s">
        <v>159</v>
      </c>
      <c r="J305" s="689"/>
    </row>
    <row r="306" spans="1:10" s="67" customFormat="1" ht="15.75" thickBot="1">
      <c r="A306" s="688"/>
      <c r="B306" s="688"/>
      <c r="C306" s="688"/>
      <c r="D306" s="688"/>
      <c r="E306" s="688"/>
      <c r="F306" s="51" t="s">
        <v>9</v>
      </c>
      <c r="G306" s="51" t="s">
        <v>10</v>
      </c>
      <c r="H306" s="51" t="s">
        <v>9</v>
      </c>
      <c r="I306" s="51" t="s">
        <v>9</v>
      </c>
      <c r="J306" s="51" t="s">
        <v>10</v>
      </c>
    </row>
    <row r="307" spans="1:10" s="67" customFormat="1" ht="15.75" thickBot="1">
      <c r="A307" s="3">
        <v>1</v>
      </c>
      <c r="B307" s="1">
        <v>2</v>
      </c>
      <c r="C307" s="1">
        <v>3</v>
      </c>
      <c r="D307" s="1">
        <v>4</v>
      </c>
      <c r="E307" s="1">
        <v>5</v>
      </c>
      <c r="F307" s="1">
        <v>6</v>
      </c>
      <c r="G307" s="1">
        <v>7</v>
      </c>
      <c r="H307" s="1">
        <v>8</v>
      </c>
      <c r="I307" s="1">
        <v>9</v>
      </c>
      <c r="J307" s="1">
        <v>10</v>
      </c>
    </row>
    <row r="308" spans="1:10" s="67" customFormat="1" ht="15.75" customHeight="1" thickBot="1">
      <c r="A308" s="683" t="s">
        <v>11</v>
      </c>
      <c r="B308" s="684"/>
      <c r="C308" s="684"/>
      <c r="D308" s="684"/>
      <c r="E308" s="684"/>
      <c r="F308" s="72"/>
      <c r="G308" s="72"/>
      <c r="H308" s="72"/>
      <c r="I308" s="72"/>
      <c r="J308" s="73"/>
    </row>
    <row r="309" spans="1:10" s="67" customFormat="1" ht="15" customHeight="1">
      <c r="A309" s="691" t="s">
        <v>41</v>
      </c>
      <c r="B309" s="692"/>
      <c r="C309" s="692"/>
      <c r="D309" s="692"/>
      <c r="E309" s="692"/>
      <c r="F309" s="137">
        <f>SUM(F310:F311)</f>
        <v>0</v>
      </c>
      <c r="G309" s="137">
        <f>SUM(G310:G311)</f>
        <v>0</v>
      </c>
      <c r="H309" s="137">
        <f>SUM(H310:H311)</f>
        <v>0</v>
      </c>
      <c r="I309" s="137">
        <f>SUM(I310:I311)</f>
        <v>0</v>
      </c>
      <c r="J309" s="138">
        <f>SUM(J310:J311)</f>
        <v>0</v>
      </c>
    </row>
    <row r="310" spans="1:10" s="67" customFormat="1">
      <c r="A310" s="74">
        <v>1</v>
      </c>
      <c r="B310" s="75"/>
      <c r="C310" s="76" t="str">
        <f>IF(B310="","",VLOOKUP(B310,'Lista articole'!$D$4:$E$2255,2,FALSE))</f>
        <v/>
      </c>
      <c r="D310" s="77">
        <v>0</v>
      </c>
      <c r="E310" s="78">
        <f>IF(B310="",0,VLOOKUP(B310,'Lista articole'!$D$4:$F$2163,3,FALSE))</f>
        <v>0</v>
      </c>
      <c r="F310" s="77">
        <f>D310*E310</f>
        <v>0</v>
      </c>
      <c r="G310" s="77">
        <f t="shared" ref="G310:G311" si="218">F310/$H$9</f>
        <v>0</v>
      </c>
      <c r="H310" s="77">
        <f>F310*'Date Generale'!$D$58</f>
        <v>0</v>
      </c>
      <c r="I310" s="77">
        <f>H310+F310</f>
        <v>0</v>
      </c>
      <c r="J310" s="79">
        <f>I310/$H$9</f>
        <v>0</v>
      </c>
    </row>
    <row r="311" spans="1:10" s="67" customFormat="1">
      <c r="A311" s="74">
        <v>2</v>
      </c>
      <c r="B311" s="75"/>
      <c r="C311" s="76" t="str">
        <f>IF(B311="","",VLOOKUP(B311,'Lista articole'!$D$4:$E$2255,2,FALSE))</f>
        <v/>
      </c>
      <c r="D311" s="77">
        <v>0</v>
      </c>
      <c r="E311" s="78">
        <f>IF(B311="",0,VLOOKUP(B311,'Lista articole'!$D$4:$F$2163,3,FALSE))</f>
        <v>0</v>
      </c>
      <c r="F311" s="77">
        <f>D311*E311</f>
        <v>0</v>
      </c>
      <c r="G311" s="77">
        <f t="shared" si="218"/>
        <v>0</v>
      </c>
      <c r="H311" s="77">
        <f>F311*'Date Generale'!$D$58</f>
        <v>0</v>
      </c>
      <c r="I311" s="77">
        <f>H311+F311</f>
        <v>0</v>
      </c>
      <c r="J311" s="79">
        <f>I311/$H$9</f>
        <v>0</v>
      </c>
    </row>
    <row r="312" spans="1:10" s="67" customFormat="1" ht="15" customHeight="1">
      <c r="A312" s="693" t="s">
        <v>44</v>
      </c>
      <c r="B312" s="694"/>
      <c r="C312" s="694"/>
      <c r="D312" s="694"/>
      <c r="E312" s="694"/>
      <c r="F312" s="56">
        <f>SUM(F313:F314)</f>
        <v>0</v>
      </c>
      <c r="G312" s="56">
        <f>SUM(G313:G314)</f>
        <v>0</v>
      </c>
      <c r="H312" s="56">
        <f>SUM(H313:H314)</f>
        <v>0</v>
      </c>
      <c r="I312" s="56">
        <f>SUM(I313:I314)</f>
        <v>0</v>
      </c>
      <c r="J312" s="57">
        <f>SUM(J313:J314)</f>
        <v>0</v>
      </c>
    </row>
    <row r="313" spans="1:10" s="67" customFormat="1">
      <c r="A313" s="80">
        <v>1</v>
      </c>
      <c r="B313" s="81"/>
      <c r="C313" s="76" t="str">
        <f>IF(B313="","",VLOOKUP(B313,'Lista articole'!$D$4:$E$2255,2,FALSE))</f>
        <v/>
      </c>
      <c r="D313" s="77">
        <v>0</v>
      </c>
      <c r="E313" s="78">
        <f>IF(B313="",0,VLOOKUP(B313,'Lista articole'!$D$4:$F$2163,3,FALSE))</f>
        <v>0</v>
      </c>
      <c r="F313" s="77">
        <f t="shared" ref="F313:F314" si="219">D313*E313</f>
        <v>0</v>
      </c>
      <c r="G313" s="77">
        <f t="shared" ref="G313:G314" si="220">F313/$H$9</f>
        <v>0</v>
      </c>
      <c r="H313" s="77">
        <f>F313*'Date Generale'!$D$58</f>
        <v>0</v>
      </c>
      <c r="I313" s="77">
        <f t="shared" ref="I313:I314" si="221">H313+F313</f>
        <v>0</v>
      </c>
      <c r="J313" s="79">
        <f t="shared" ref="J313:J314" si="222">I313/$H$9</f>
        <v>0</v>
      </c>
    </row>
    <row r="314" spans="1:10" s="67" customFormat="1">
      <c r="A314" s="80">
        <f t="shared" ref="A314" si="223">A313+1</f>
        <v>2</v>
      </c>
      <c r="B314" s="81"/>
      <c r="C314" s="76" t="str">
        <f>IF(B314="","",VLOOKUP(B314,'Lista articole'!$D$4:$E$2255,2,FALSE))</f>
        <v/>
      </c>
      <c r="D314" s="77">
        <v>0</v>
      </c>
      <c r="E314" s="78">
        <f>IF(B314="",0,VLOOKUP(B314,'Lista articole'!$D$4:$F$2163,3,FALSE))</f>
        <v>0</v>
      </c>
      <c r="F314" s="77">
        <f t="shared" si="219"/>
        <v>0</v>
      </c>
      <c r="G314" s="77">
        <f t="shared" si="220"/>
        <v>0</v>
      </c>
      <c r="H314" s="77">
        <f>F314*'Date Generale'!$D$58</f>
        <v>0</v>
      </c>
      <c r="I314" s="77">
        <f t="shared" si="221"/>
        <v>0</v>
      </c>
      <c r="J314" s="79">
        <f t="shared" si="222"/>
        <v>0</v>
      </c>
    </row>
    <row r="315" spans="1:10" s="67" customFormat="1">
      <c r="A315" s="693" t="s">
        <v>45</v>
      </c>
      <c r="B315" s="694"/>
      <c r="C315" s="694"/>
      <c r="D315" s="694"/>
      <c r="E315" s="694"/>
      <c r="F315" s="56">
        <f>SUM(F316:F317)</f>
        <v>0</v>
      </c>
      <c r="G315" s="56">
        <f>SUM(G316:G317)</f>
        <v>0</v>
      </c>
      <c r="H315" s="56">
        <f>SUM(H316:H317)</f>
        <v>0</v>
      </c>
      <c r="I315" s="56">
        <f>SUM(I316:I317)</f>
        <v>0</v>
      </c>
      <c r="J315" s="57">
        <f>SUM(J316:J317)</f>
        <v>0</v>
      </c>
    </row>
    <row r="316" spans="1:10" s="67" customFormat="1">
      <c r="A316" s="80">
        <v>1</v>
      </c>
      <c r="B316" s="81"/>
      <c r="C316" s="76" t="str">
        <f>IF(B316="","",VLOOKUP(B316,'Lista articole'!$D$4:$E$2255,2,FALSE))</f>
        <v/>
      </c>
      <c r="D316" s="77">
        <v>0</v>
      </c>
      <c r="E316" s="78">
        <f>IF(B316="",0,VLOOKUP(B316,'Lista articole'!$D$4:$F$2163,3,FALSE))</f>
        <v>0</v>
      </c>
      <c r="F316" s="77">
        <f t="shared" ref="F316:F317" si="224">D316*E316</f>
        <v>0</v>
      </c>
      <c r="G316" s="77">
        <f t="shared" ref="G316:G317" si="225">F316/$H$9</f>
        <v>0</v>
      </c>
      <c r="H316" s="77">
        <f>F316*'Date Generale'!$D$58</f>
        <v>0</v>
      </c>
      <c r="I316" s="77">
        <f t="shared" ref="I316:I317" si="226">H316+F316</f>
        <v>0</v>
      </c>
      <c r="J316" s="79">
        <f t="shared" ref="J316:J317" si="227">I316/$H$9</f>
        <v>0</v>
      </c>
    </row>
    <row r="317" spans="1:10" s="67" customFormat="1">
      <c r="A317" s="80">
        <v>2</v>
      </c>
      <c r="B317" s="81"/>
      <c r="C317" s="76" t="str">
        <f>IF(B317="","",VLOOKUP(B317,'Lista articole'!$D$4:$E$2255,2,FALSE))</f>
        <v/>
      </c>
      <c r="D317" s="77">
        <v>0</v>
      </c>
      <c r="E317" s="78">
        <f>IF(B317="",0,VLOOKUP(B317,'Lista articole'!$D$4:$F$2163,3,FALSE))</f>
        <v>0</v>
      </c>
      <c r="F317" s="77">
        <f t="shared" si="224"/>
        <v>0</v>
      </c>
      <c r="G317" s="77">
        <f t="shared" si="225"/>
        <v>0</v>
      </c>
      <c r="H317" s="77">
        <f>F317*'Date Generale'!$D$58</f>
        <v>0</v>
      </c>
      <c r="I317" s="77">
        <f t="shared" si="226"/>
        <v>0</v>
      </c>
      <c r="J317" s="79">
        <f t="shared" si="227"/>
        <v>0</v>
      </c>
    </row>
    <row r="318" spans="1:10" s="67" customFormat="1" ht="15" customHeight="1">
      <c r="A318" s="693" t="s">
        <v>46</v>
      </c>
      <c r="B318" s="694"/>
      <c r="C318" s="694"/>
      <c r="D318" s="694"/>
      <c r="E318" s="694"/>
      <c r="F318" s="56">
        <f>F319+F335</f>
        <v>1517828.8931607141</v>
      </c>
      <c r="G318" s="56">
        <f t="shared" ref="G318:J318" si="228">G319+G335</f>
        <v>321349.24590026343</v>
      </c>
      <c r="H318" s="56">
        <f t="shared" si="228"/>
        <v>288387.48970053566</v>
      </c>
      <c r="I318" s="56">
        <f t="shared" si="228"/>
        <v>1806216.3828612498</v>
      </c>
      <c r="J318" s="56">
        <f t="shared" si="228"/>
        <v>382405.60262131342</v>
      </c>
    </row>
    <row r="319" spans="1:10" s="67" customFormat="1" ht="15" customHeight="1">
      <c r="A319" s="443" t="s">
        <v>375</v>
      </c>
      <c r="B319" s="400" t="s">
        <v>376</v>
      </c>
      <c r="C319" s="400"/>
      <c r="D319" s="400"/>
      <c r="E319" s="400"/>
      <c r="F319" s="88">
        <f>SUM(F320:F334)</f>
        <v>1433804.8931607141</v>
      </c>
      <c r="G319" s="88">
        <f t="shared" ref="G319:J319" si="229">SUM(G320:G334)</f>
        <v>303559.98838962469</v>
      </c>
      <c r="H319" s="88">
        <f t="shared" si="229"/>
        <v>272422.92970053566</v>
      </c>
      <c r="I319" s="88">
        <f t="shared" si="229"/>
        <v>1706227.8228612498</v>
      </c>
      <c r="J319" s="88">
        <f t="shared" si="229"/>
        <v>361236.38618365332</v>
      </c>
    </row>
    <row r="320" spans="1:10" s="67" customFormat="1">
      <c r="A320" s="415">
        <v>1</v>
      </c>
      <c r="B320" s="75" t="s">
        <v>264</v>
      </c>
      <c r="C320" s="76" t="str">
        <f>IF(B320="","",VLOOKUP(B320,'Lista articole'!$D$4:$E$2255,2,FALSE))</f>
        <v>buc</v>
      </c>
      <c r="D320" s="77">
        <f>11+11+8+6+6+8+10+8</f>
        <v>68</v>
      </c>
      <c r="E320" s="78">
        <f>IF(B320="",0,VLOOKUP(B320,'Lista articole'!$D$4:$F$2163,3,FALSE))</f>
        <v>6006.7950000000001</v>
      </c>
      <c r="F320" s="77">
        <f t="shared" ref="F320:F334" si="230">D320*E320</f>
        <v>408462.06</v>
      </c>
      <c r="G320" s="77">
        <f t="shared" ref="G320:G334" si="231">F320/$H$9</f>
        <v>86478.110642982661</v>
      </c>
      <c r="H320" s="77">
        <f>F320*'Date Generale'!$D$58</f>
        <v>77607.791400000002</v>
      </c>
      <c r="I320" s="77">
        <f t="shared" ref="I320:I334" si="232">H320+F320</f>
        <v>486069.85139999999</v>
      </c>
      <c r="J320" s="79">
        <f t="shared" ref="J320:J334" si="233">I320/$H$9</f>
        <v>102908.95166514936</v>
      </c>
    </row>
    <row r="321" spans="1:10" s="67" customFormat="1">
      <c r="A321" s="415">
        <v>2</v>
      </c>
      <c r="B321" s="75" t="s">
        <v>265</v>
      </c>
      <c r="C321" s="76" t="str">
        <f>IF(B321="","",VLOOKUP(B321,'Lista articole'!$D$4:$E$2255,2,FALSE))</f>
        <v>buc</v>
      </c>
      <c r="D321" s="77">
        <f>11+11+20+6+6+8+10+16</f>
        <v>88</v>
      </c>
      <c r="E321" s="78">
        <f>IF(B321="",0,VLOOKUP(B321,'Lista articole'!$D$4:$F$2163,3,FALSE))</f>
        <v>1155.3589999999999</v>
      </c>
      <c r="F321" s="77">
        <f t="shared" si="230"/>
        <v>101671.59199999999</v>
      </c>
      <c r="G321" s="77">
        <f t="shared" si="231"/>
        <v>21525.541888086718</v>
      </c>
      <c r="H321" s="77">
        <f>F321*'Date Generale'!$D$58</f>
        <v>19317.602479999998</v>
      </c>
      <c r="I321" s="77">
        <f t="shared" si="232"/>
        <v>120989.19447999999</v>
      </c>
      <c r="J321" s="79">
        <f t="shared" si="233"/>
        <v>25615.394846823194</v>
      </c>
    </row>
    <row r="322" spans="1:10" s="67" customFormat="1">
      <c r="A322" s="415">
        <v>3</v>
      </c>
      <c r="B322" s="75" t="s">
        <v>241</v>
      </c>
      <c r="C322" s="76" t="str">
        <f>IF(B322="","",VLOOKUP(B322,'Lista articole'!$D$4:$E$2255,2,FALSE))</f>
        <v>buc</v>
      </c>
      <c r="D322" s="77">
        <f>11+11+20+6+6+8+10+16</f>
        <v>88</v>
      </c>
      <c r="E322" s="78">
        <f>IF(B322="",0,VLOOKUP(B322,'Lista articole'!$D$4:$F$2163,3,FALSE))</f>
        <v>2865.3975</v>
      </c>
      <c r="F322" s="77">
        <f t="shared" si="230"/>
        <v>252154.98</v>
      </c>
      <c r="G322" s="77">
        <f t="shared" si="231"/>
        <v>53385.340757521226</v>
      </c>
      <c r="H322" s="77">
        <f>F322*'Date Generale'!$D$58</f>
        <v>47909.446200000006</v>
      </c>
      <c r="I322" s="77">
        <f t="shared" si="232"/>
        <v>300064.42619999999</v>
      </c>
      <c r="J322" s="79">
        <f t="shared" si="233"/>
        <v>63528.555501450253</v>
      </c>
    </row>
    <row r="323" spans="1:10" s="67" customFormat="1">
      <c r="A323" s="415">
        <v>4</v>
      </c>
      <c r="B323" s="75" t="s">
        <v>242</v>
      </c>
      <c r="C323" s="76" t="str">
        <f>IF(B323="","",VLOOKUP(B323,'Lista articole'!$D$4:$E$2255,2,FALSE))</f>
        <v>buc</v>
      </c>
      <c r="D323" s="77">
        <f>11+11+1+3+3+10</f>
        <v>39</v>
      </c>
      <c r="E323" s="78">
        <f>IF(B323="",0,VLOOKUP(B323,'Lista articole'!$D$4:$F$2163,3,FALSE))</f>
        <v>720.81539999999995</v>
      </c>
      <c r="F323" s="77">
        <f t="shared" si="230"/>
        <v>28111.800599999999</v>
      </c>
      <c r="G323" s="77">
        <f t="shared" si="231"/>
        <v>5951.7287913111595</v>
      </c>
      <c r="H323" s="77">
        <f>F323*'Date Generale'!$D$58</f>
        <v>5341.2421139999997</v>
      </c>
      <c r="I323" s="77">
        <f t="shared" si="232"/>
        <v>33453.042713999996</v>
      </c>
      <c r="J323" s="79">
        <f t="shared" si="233"/>
        <v>7082.5572616602785</v>
      </c>
    </row>
    <row r="324" spans="1:10" s="67" customFormat="1">
      <c r="A324" s="415">
        <v>5</v>
      </c>
      <c r="B324" s="75" t="s">
        <v>243</v>
      </c>
      <c r="C324" s="76" t="str">
        <f>IF(B324="","",VLOOKUP(B324,'Lista articole'!$D$4:$E$2255,2,FALSE))</f>
        <v>buc</v>
      </c>
      <c r="D324" s="77">
        <f>11+11+1+3+3+10</f>
        <v>39</v>
      </c>
      <c r="E324" s="78">
        <f>IF(B324="",0,VLOOKUP(B324,'Lista articole'!$D$4:$F$2163,3,FALSE))</f>
        <v>2050.6282499999998</v>
      </c>
      <c r="F324" s="77">
        <f t="shared" si="230"/>
        <v>79974.501749999996</v>
      </c>
      <c r="G324" s="77">
        <f t="shared" si="231"/>
        <v>16931.912381174177</v>
      </c>
      <c r="H324" s="77">
        <f>F324*'Date Generale'!$D$58</f>
        <v>15195.155332499999</v>
      </c>
      <c r="I324" s="77">
        <f t="shared" si="232"/>
        <v>95169.657082499994</v>
      </c>
      <c r="J324" s="79">
        <f t="shared" si="233"/>
        <v>20148.975733597272</v>
      </c>
    </row>
    <row r="325" spans="1:10" s="67" customFormat="1">
      <c r="A325" s="415">
        <v>6</v>
      </c>
      <c r="B325" s="75" t="s">
        <v>255</v>
      </c>
      <c r="C325" s="76" t="str">
        <f>IF(B325="","",VLOOKUP(B325,'Lista articole'!$D$4:$E$2255,2,FALSE))</f>
        <v>m</v>
      </c>
      <c r="D325" s="77">
        <f>203.5+203.5+237+90+69+113+185+184</f>
        <v>1285</v>
      </c>
      <c r="E325" s="78">
        <f>IF(B325="",0,VLOOKUP(B325,'Lista articole'!$D$4:$F$2163,3,FALSE))</f>
        <v>6.1805983333333323</v>
      </c>
      <c r="F325" s="77">
        <f t="shared" si="230"/>
        <v>7942.0688583333322</v>
      </c>
      <c r="G325" s="77">
        <f t="shared" si="231"/>
        <v>1681.4661059711075</v>
      </c>
      <c r="H325" s="77">
        <f>F325*'Date Generale'!$D$58</f>
        <v>1508.9930830833332</v>
      </c>
      <c r="I325" s="77">
        <f t="shared" si="232"/>
        <v>9451.0619414166649</v>
      </c>
      <c r="J325" s="79">
        <f t="shared" si="233"/>
        <v>2000.9446661056179</v>
      </c>
    </row>
    <row r="326" spans="1:10" s="67" customFormat="1">
      <c r="A326" s="415">
        <v>7</v>
      </c>
      <c r="B326" s="75" t="s">
        <v>258</v>
      </c>
      <c r="C326" s="76" t="str">
        <f>IF(B326="","",VLOOKUP(B326,'Lista articole'!$D$4:$E$2255,2,FALSE))</f>
        <v>buc</v>
      </c>
      <c r="D326" s="77">
        <f>11+11+8+6+6+8+10+8</f>
        <v>68</v>
      </c>
      <c r="E326" s="78">
        <f>IF(B326="",0,VLOOKUP(B326,'Lista articole'!$D$4:$F$2163,3,FALSE))</f>
        <v>278.48974999999996</v>
      </c>
      <c r="F326" s="77">
        <f t="shared" si="230"/>
        <v>18937.302999999996</v>
      </c>
      <c r="G326" s="77">
        <f t="shared" si="231"/>
        <v>4009.3373277157912</v>
      </c>
      <c r="H326" s="77">
        <f>F326*'Date Generale'!$D$58</f>
        <v>3598.0875699999992</v>
      </c>
      <c r="I326" s="77">
        <f t="shared" si="232"/>
        <v>22535.390569999996</v>
      </c>
      <c r="J326" s="79">
        <f t="shared" si="233"/>
        <v>4771.1114199817912</v>
      </c>
    </row>
    <row r="327" spans="1:10" s="67" customFormat="1">
      <c r="A327" s="415">
        <v>8</v>
      </c>
      <c r="B327" s="75" t="s">
        <v>266</v>
      </c>
      <c r="C327" s="76" t="str">
        <f>IF(B327="","",VLOOKUP(B327,'Lista articole'!$D$4:$E$2255,2,FALSE))</f>
        <v>m</v>
      </c>
      <c r="D327" s="77">
        <f>375+428+210+300+251+263+305+332</f>
        <v>2464</v>
      </c>
      <c r="E327" s="78">
        <f>IF(B327="",0,VLOOKUP(B327,'Lista articole'!$D$4:$F$2163,3,FALSE))</f>
        <v>51.174999999999997</v>
      </c>
      <c r="F327" s="77">
        <f t="shared" si="230"/>
        <v>126095.2</v>
      </c>
      <c r="G327" s="77">
        <f t="shared" si="231"/>
        <v>26696.419875934196</v>
      </c>
      <c r="H327" s="77">
        <f>F327*'Date Generale'!$D$58</f>
        <v>23958.088</v>
      </c>
      <c r="I327" s="77">
        <f t="shared" si="232"/>
        <v>150053.288</v>
      </c>
      <c r="J327" s="79">
        <f t="shared" si="233"/>
        <v>31768.739652361695</v>
      </c>
    </row>
    <row r="328" spans="1:10" s="67" customFormat="1">
      <c r="A328" s="415">
        <v>9</v>
      </c>
      <c r="B328" s="75" t="s">
        <v>47</v>
      </c>
      <c r="C328" s="76" t="str">
        <f>IF(B328="","",VLOOKUP(B328,'Lista articole'!$D$4:$E$2255,2,FALSE))</f>
        <v>mc</v>
      </c>
      <c r="D328" s="77">
        <f>50.63+57.78+28.35+40.5+33.89+41.18+44.82+35.51</f>
        <v>332.65999999999997</v>
      </c>
      <c r="E328" s="78">
        <f>IF(B328="",0,VLOOKUP(B328,'Lista articole'!$D$4:$F$2163,3,FALSE))</f>
        <v>74.75</v>
      </c>
      <c r="F328" s="77">
        <f t="shared" si="230"/>
        <v>24866.334999999999</v>
      </c>
      <c r="G328" s="77">
        <f t="shared" si="231"/>
        <v>5264.6105477102874</v>
      </c>
      <c r="H328" s="77">
        <f>F328*'Date Generale'!$D$58</f>
        <v>4724.60365</v>
      </c>
      <c r="I328" s="77">
        <f t="shared" si="232"/>
        <v>29590.93865</v>
      </c>
      <c r="J328" s="79">
        <f t="shared" si="233"/>
        <v>6264.886551775242</v>
      </c>
    </row>
    <row r="329" spans="1:10" s="67" customFormat="1">
      <c r="A329" s="415">
        <v>10</v>
      </c>
      <c r="B329" s="75" t="s">
        <v>86</v>
      </c>
      <c r="C329" s="76" t="str">
        <f>IF(B329="","",VLOOKUP(B329,'Lista articole'!$D$4:$E$2255,2,FALSE))</f>
        <v>m</v>
      </c>
      <c r="D329" s="77">
        <f>458+519+261+360+304+370+406+322</f>
        <v>3000</v>
      </c>
      <c r="E329" s="78">
        <f>IF(B329="",0,VLOOKUP(B329,'Lista articole'!$D$4:$F$2163,3,FALSE))</f>
        <v>8.5786714285714289</v>
      </c>
      <c r="F329" s="77">
        <f t="shared" si="230"/>
        <v>25736.014285714286</v>
      </c>
      <c r="G329" s="77">
        <f t="shared" si="231"/>
        <v>5448.7359019571668</v>
      </c>
      <c r="H329" s="77">
        <f>F329*'Date Generale'!$D$58</f>
        <v>4889.8427142857145</v>
      </c>
      <c r="I329" s="77">
        <f t="shared" si="232"/>
        <v>30625.857</v>
      </c>
      <c r="J329" s="79">
        <f t="shared" si="233"/>
        <v>6483.9957233290288</v>
      </c>
    </row>
    <row r="330" spans="1:10" s="67" customFormat="1">
      <c r="A330" s="415">
        <v>11</v>
      </c>
      <c r="B330" s="75" t="s">
        <v>87</v>
      </c>
      <c r="C330" s="76" t="str">
        <f>IF(B330="","",VLOOKUP(B330,'Lista articole'!$D$4:$E$2255,2,FALSE))</f>
        <v>m</v>
      </c>
      <c r="D330" s="77">
        <f>469+530+269+366+310+378+416+330</f>
        <v>3068</v>
      </c>
      <c r="E330" s="78">
        <f>IF(B330="",0,VLOOKUP(B330,'Lista articole'!$D$4:$F$2163,3,FALSE))</f>
        <v>25.056583333333332</v>
      </c>
      <c r="F330" s="77">
        <f t="shared" si="230"/>
        <v>76873.597666666668</v>
      </c>
      <c r="G330" s="77">
        <f t="shared" si="231"/>
        <v>16275.400179253205</v>
      </c>
      <c r="H330" s="77">
        <f>F330*'Date Generale'!$D$58</f>
        <v>14605.983556666668</v>
      </c>
      <c r="I330" s="77">
        <f t="shared" si="232"/>
        <v>91479.581223333342</v>
      </c>
      <c r="J330" s="79">
        <f t="shared" si="233"/>
        <v>19367.726213311318</v>
      </c>
    </row>
    <row r="331" spans="1:10" s="67" customFormat="1">
      <c r="A331" s="415">
        <v>12</v>
      </c>
      <c r="B331" s="75" t="s">
        <v>48</v>
      </c>
      <c r="C331" s="76" t="str">
        <f>IF(B331="","",VLOOKUP(B331,'Lista articole'!$D$4:$E$2255,2,FALSE))</f>
        <v>buc</v>
      </c>
      <c r="D331" s="77">
        <f>11+12+8+6+6+8+10+8</f>
        <v>69</v>
      </c>
      <c r="E331" s="78">
        <f>IF(B331="",0,VLOOKUP(B331,'Lista articole'!$D$4:$F$2163,3,FALSE))</f>
        <v>649.75</v>
      </c>
      <c r="F331" s="77">
        <f t="shared" si="230"/>
        <v>44832.75</v>
      </c>
      <c r="G331" s="77">
        <f t="shared" si="231"/>
        <v>9491.8277475493833</v>
      </c>
      <c r="H331" s="77">
        <f>F331*'Date Generale'!$D$58</f>
        <v>8518.2224999999999</v>
      </c>
      <c r="I331" s="77">
        <f t="shared" si="232"/>
        <v>53350.972500000003</v>
      </c>
      <c r="J331" s="79">
        <f t="shared" si="233"/>
        <v>11295.275019583767</v>
      </c>
    </row>
    <row r="332" spans="1:10" s="67" customFormat="1">
      <c r="A332" s="415">
        <v>13</v>
      </c>
      <c r="B332" s="75" t="s">
        <v>268</v>
      </c>
      <c r="C332" s="76" t="s">
        <v>67</v>
      </c>
      <c r="D332" s="77">
        <f>458+360+304+406</f>
        <v>1528</v>
      </c>
      <c r="E332" s="78">
        <v>56.98</v>
      </c>
      <c r="F332" s="77">
        <f t="shared" ref="F332" si="234">D332*E332</f>
        <v>87065.44</v>
      </c>
      <c r="G332" s="77">
        <f>F332/$H$9</f>
        <v>18433.180191815045</v>
      </c>
      <c r="H332" s="77">
        <f>F332*'Date Generale'!$D$58</f>
        <v>16542.4336</v>
      </c>
      <c r="I332" s="77">
        <f t="shared" ref="I332" si="235">H332+F332</f>
        <v>103607.87360000001</v>
      </c>
      <c r="J332" s="79">
        <f t="shared" ref="J332" si="236">I332/$H$9</f>
        <v>21935.484428259904</v>
      </c>
    </row>
    <row r="333" spans="1:10" s="67" customFormat="1">
      <c r="A333" s="415">
        <v>14</v>
      </c>
      <c r="B333" s="75" t="s">
        <v>49</v>
      </c>
      <c r="C333" s="76" t="str">
        <f>IF(B333="","",VLOOKUP(B333,'Lista articole'!$D$4:$E$2255,2,FALSE))</f>
        <v>buc</v>
      </c>
      <c r="D333" s="77">
        <f>11+8+8+10+8</f>
        <v>45</v>
      </c>
      <c r="E333" s="78">
        <f>IF(B333="",0,VLOOKUP(B333,'Lista articole'!$D$4:$F$2163,3,FALSE))</f>
        <v>2961.2499999999995</v>
      </c>
      <c r="F333" s="77">
        <f t="shared" ref="F333" si="237">D333*E333</f>
        <v>133256.24999999997</v>
      </c>
      <c r="G333" s="77">
        <f t="shared" ref="G333" si="238">F333/$H$9</f>
        <v>28212.531492812221</v>
      </c>
      <c r="H333" s="77">
        <f>F333*'Date Generale'!$D$58</f>
        <v>25318.687499999996</v>
      </c>
      <c r="I333" s="77">
        <f t="shared" ref="I333" si="239">H333+F333</f>
        <v>158574.93749999997</v>
      </c>
      <c r="J333" s="79">
        <f t="shared" ref="J333" si="240">I333/$H$9</f>
        <v>33572.912476446545</v>
      </c>
    </row>
    <row r="334" spans="1:10" s="67" customFormat="1">
      <c r="A334" s="415">
        <v>12</v>
      </c>
      <c r="B334" s="75" t="s">
        <v>374</v>
      </c>
      <c r="C334" s="76" t="str">
        <f>IF(B334="","",VLOOKUP(B334,'Lista articole'!$D$4:$E$2255,2,FALSE))</f>
        <v>buc</v>
      </c>
      <c r="D334" s="77">
        <v>1</v>
      </c>
      <c r="E334" s="78">
        <v>17825</v>
      </c>
      <c r="F334" s="77">
        <f t="shared" si="230"/>
        <v>17825</v>
      </c>
      <c r="G334" s="77">
        <f t="shared" si="231"/>
        <v>3773.8445578303304</v>
      </c>
      <c r="H334" s="77">
        <f>F334*'Date Generale'!$D$58</f>
        <v>3386.75</v>
      </c>
      <c r="I334" s="77">
        <f t="shared" si="232"/>
        <v>21211.75</v>
      </c>
      <c r="J334" s="79">
        <f t="shared" si="233"/>
        <v>4490.8750238180928</v>
      </c>
    </row>
    <row r="335" spans="1:10" s="67" customFormat="1">
      <c r="A335" s="457">
        <v>4.2</v>
      </c>
      <c r="B335" s="430" t="s">
        <v>377</v>
      </c>
      <c r="C335" s="76"/>
      <c r="D335" s="77"/>
      <c r="E335" s="78"/>
      <c r="F335" s="417">
        <f>F336</f>
        <v>84024</v>
      </c>
      <c r="G335" s="417">
        <f t="shared" ref="G335:J335" si="241">G336</f>
        <v>17789.257510638748</v>
      </c>
      <c r="H335" s="417">
        <f t="shared" si="241"/>
        <v>15964.56</v>
      </c>
      <c r="I335" s="417">
        <f t="shared" si="241"/>
        <v>99988.56</v>
      </c>
      <c r="J335" s="417">
        <f t="shared" si="241"/>
        <v>21169.21643766011</v>
      </c>
    </row>
    <row r="336" spans="1:10" s="67" customFormat="1">
      <c r="A336" s="415">
        <v>1</v>
      </c>
      <c r="B336" s="75" t="s">
        <v>378</v>
      </c>
      <c r="C336" s="76" t="s">
        <v>379</v>
      </c>
      <c r="D336" s="77">
        <v>1</v>
      </c>
      <c r="E336" s="78">
        <v>84024</v>
      </c>
      <c r="F336" s="77">
        <f t="shared" ref="F336" si="242">D336*E336</f>
        <v>84024</v>
      </c>
      <c r="G336" s="77">
        <f t="shared" ref="G336" si="243">F336/$H$9</f>
        <v>17789.257510638748</v>
      </c>
      <c r="H336" s="77">
        <f>F336*'Date Generale'!$D$58</f>
        <v>15964.56</v>
      </c>
      <c r="I336" s="77">
        <f t="shared" ref="I336" si="244">H336+F336</f>
        <v>99988.56</v>
      </c>
      <c r="J336" s="79">
        <f t="shared" ref="J336" si="245">I336/$H$9</f>
        <v>21169.21643766011</v>
      </c>
    </row>
    <row r="337" spans="1:10" s="67" customFormat="1">
      <c r="A337" s="415"/>
      <c r="B337" s="75"/>
      <c r="C337" s="76"/>
      <c r="D337" s="77"/>
      <c r="E337" s="78"/>
      <c r="F337" s="77"/>
      <c r="G337" s="77"/>
      <c r="H337" s="77"/>
      <c r="I337" s="77"/>
      <c r="J337" s="79"/>
    </row>
    <row r="338" spans="1:10" s="67" customFormat="1" ht="15" customHeight="1">
      <c r="A338" s="693" t="s">
        <v>50</v>
      </c>
      <c r="B338" s="694"/>
      <c r="C338" s="694"/>
      <c r="D338" s="694"/>
      <c r="E338" s="694"/>
      <c r="F338" s="56">
        <f>SUM(F339:F340)</f>
        <v>0</v>
      </c>
      <c r="G338" s="56">
        <f>SUM(G339:G340)</f>
        <v>0</v>
      </c>
      <c r="H338" s="56">
        <f>SUM(H339:H340)</f>
        <v>0</v>
      </c>
      <c r="I338" s="56">
        <f>SUM(I339:I340)</f>
        <v>0</v>
      </c>
      <c r="J338" s="57">
        <f>SUM(J339:J340)</f>
        <v>0</v>
      </c>
    </row>
    <row r="339" spans="1:10" s="67" customFormat="1">
      <c r="A339" s="80">
        <v>1</v>
      </c>
      <c r="B339" s="81"/>
      <c r="C339" s="76" t="str">
        <f>IF(B339="","",VLOOKUP(B339,'Lista articole'!$D$4:$E$2255,2,FALSE))</f>
        <v/>
      </c>
      <c r="D339" s="77">
        <v>0</v>
      </c>
      <c r="E339" s="78">
        <f>IF(B339="",0,VLOOKUP(B339,'Lista articole'!$D$4:$F$2163,3,FALSE))</f>
        <v>0</v>
      </c>
      <c r="F339" s="77">
        <f t="shared" ref="F339:F340" si="246">D339*E339</f>
        <v>0</v>
      </c>
      <c r="G339" s="77">
        <f t="shared" ref="G339:G340" si="247">F339/$H$9</f>
        <v>0</v>
      </c>
      <c r="H339" s="77">
        <f>F339*'Date Generale'!$D$58</f>
        <v>0</v>
      </c>
      <c r="I339" s="77">
        <f t="shared" ref="I339:I340" si="248">H339+F339</f>
        <v>0</v>
      </c>
      <c r="J339" s="79">
        <f t="shared" ref="J339:J340" si="249">I339/$H$9</f>
        <v>0</v>
      </c>
    </row>
    <row r="340" spans="1:10" s="67" customFormat="1">
      <c r="A340" s="74">
        <f>A339+1</f>
        <v>2</v>
      </c>
      <c r="B340" s="75"/>
      <c r="C340" s="76" t="str">
        <f>IF(B340="","",VLOOKUP(B340,'Lista articole'!$D$4:$E$2255,2,FALSE))</f>
        <v/>
      </c>
      <c r="D340" s="77">
        <v>0</v>
      </c>
      <c r="E340" s="78">
        <f>IF(B340="",0,VLOOKUP(B340,'Lista articole'!$D$4:$F$2163,3,FALSE))</f>
        <v>0</v>
      </c>
      <c r="F340" s="77">
        <f t="shared" si="246"/>
        <v>0</v>
      </c>
      <c r="G340" s="77">
        <f t="shared" si="247"/>
        <v>0</v>
      </c>
      <c r="H340" s="77">
        <f>F340*'Date Generale'!$D$58</f>
        <v>0</v>
      </c>
      <c r="I340" s="77">
        <f t="shared" si="248"/>
        <v>0</v>
      </c>
      <c r="J340" s="79">
        <f t="shared" si="249"/>
        <v>0</v>
      </c>
    </row>
    <row r="341" spans="1:10" s="67" customFormat="1" ht="15.75" customHeight="1">
      <c r="A341" s="693" t="s">
        <v>51</v>
      </c>
      <c r="B341" s="694"/>
      <c r="C341" s="694"/>
      <c r="D341" s="694"/>
      <c r="E341" s="694"/>
      <c r="F341" s="56">
        <f>SUM(F342:F343)</f>
        <v>0</v>
      </c>
      <c r="G341" s="56">
        <f>SUM(G342:G343)</f>
        <v>0</v>
      </c>
      <c r="H341" s="56">
        <f>SUM(H342:H343)</f>
        <v>0</v>
      </c>
      <c r="I341" s="56">
        <f>SUM(I342:I343)</f>
        <v>0</v>
      </c>
      <c r="J341" s="57">
        <f>SUM(J342:J343)</f>
        <v>0</v>
      </c>
    </row>
    <row r="342" spans="1:10" s="67" customFormat="1">
      <c r="A342" s="80">
        <v>1</v>
      </c>
      <c r="B342" s="81"/>
      <c r="C342" s="76" t="str">
        <f>IF(B342="","",VLOOKUP(B342,'Lista articole'!$D$4:$E$2255,2,FALSE))</f>
        <v/>
      </c>
      <c r="D342" s="77">
        <v>0</v>
      </c>
      <c r="E342" s="78">
        <f>IF(B342="",0,VLOOKUP(B342,'Lista articole'!$D$4:$F$2163,3,FALSE))</f>
        <v>0</v>
      </c>
      <c r="F342" s="77">
        <f t="shared" ref="F342:F343" si="250">D342*E342</f>
        <v>0</v>
      </c>
      <c r="G342" s="77">
        <f t="shared" ref="G342:G343" si="251">F342/$H$9</f>
        <v>0</v>
      </c>
      <c r="H342" s="77">
        <f>F342*'Date Generale'!$D$58</f>
        <v>0</v>
      </c>
      <c r="I342" s="77">
        <f t="shared" ref="I342:I343" si="252">H342+F342</f>
        <v>0</v>
      </c>
      <c r="J342" s="79">
        <f t="shared" ref="J342:J343" si="253">I342/$H$9</f>
        <v>0</v>
      </c>
    </row>
    <row r="343" spans="1:10" s="67" customFormat="1">
      <c r="A343" s="74">
        <f>A342+1</f>
        <v>2</v>
      </c>
      <c r="B343" s="75"/>
      <c r="C343" s="76" t="str">
        <f>IF(B343="","",VLOOKUP(B343,'Lista articole'!$D$4:$E$2255,2,FALSE))</f>
        <v/>
      </c>
      <c r="D343" s="77">
        <v>0</v>
      </c>
      <c r="E343" s="78">
        <f>IF(B343="",0,VLOOKUP(B343,'Lista articole'!$D$4:$F$2163,3,FALSE))</f>
        <v>0</v>
      </c>
      <c r="F343" s="77">
        <f t="shared" si="250"/>
        <v>0</v>
      </c>
      <c r="G343" s="77">
        <f t="shared" si="251"/>
        <v>0</v>
      </c>
      <c r="H343" s="77">
        <f>F343*'Date Generale'!$D$58</f>
        <v>0</v>
      </c>
      <c r="I343" s="77">
        <f t="shared" si="252"/>
        <v>0</v>
      </c>
      <c r="J343" s="79">
        <f t="shared" si="253"/>
        <v>0</v>
      </c>
    </row>
    <row r="344" spans="1:10" s="67" customFormat="1" ht="15.75" customHeight="1">
      <c r="A344" s="693" t="s">
        <v>52</v>
      </c>
      <c r="B344" s="694"/>
      <c r="C344" s="694"/>
      <c r="D344" s="694"/>
      <c r="E344" s="694"/>
      <c r="F344" s="56">
        <f>SUM(F345:F346)</f>
        <v>0</v>
      </c>
      <c r="G344" s="56">
        <f>SUM(G345:G346)</f>
        <v>0</v>
      </c>
      <c r="H344" s="56">
        <f>SUM(H345:H346)</f>
        <v>0</v>
      </c>
      <c r="I344" s="56">
        <f>SUM(I345:I346)</f>
        <v>0</v>
      </c>
      <c r="J344" s="57">
        <f>SUM(J345:J346)</f>
        <v>0</v>
      </c>
    </row>
    <row r="345" spans="1:10" s="67" customFormat="1" ht="15" customHeight="1">
      <c r="A345" s="80">
        <v>1</v>
      </c>
      <c r="B345" s="81"/>
      <c r="C345" s="76" t="str">
        <f>IF(B345="","",VLOOKUP(B345,'Lista articole'!$D$4:$E$2255,2,FALSE))</f>
        <v/>
      </c>
      <c r="D345" s="77">
        <v>0</v>
      </c>
      <c r="E345" s="78">
        <f>IF(B345="",0,VLOOKUP(B345,'Lista articole'!$D$4:$F$2163,3,FALSE))</f>
        <v>0</v>
      </c>
      <c r="F345" s="77">
        <f>D345*E345</f>
        <v>0</v>
      </c>
      <c r="G345" s="77">
        <f>F345/$H$9</f>
        <v>0</v>
      </c>
      <c r="H345" s="77">
        <f>F345*'Date Generale'!$D$58</f>
        <v>0</v>
      </c>
      <c r="I345" s="77">
        <f t="shared" ref="I345:I346" si="254">H345+F345</f>
        <v>0</v>
      </c>
      <c r="J345" s="79">
        <f t="shared" ref="J345:J346" si="255">I345/$H$9</f>
        <v>0</v>
      </c>
    </row>
    <row r="346" spans="1:10" s="67" customFormat="1">
      <c r="A346" s="74">
        <f>A345+1</f>
        <v>2</v>
      </c>
      <c r="B346" s="75"/>
      <c r="C346" s="76" t="str">
        <f>IF(B346="","",VLOOKUP(B346,'Lista articole'!$D$4:$E$2255,2,FALSE))</f>
        <v/>
      </c>
      <c r="D346" s="77">
        <v>0</v>
      </c>
      <c r="E346" s="78">
        <f>IF(B346="",0,VLOOKUP(B346,'Lista articole'!$D$4:$F$2163,3,FALSE))</f>
        <v>0</v>
      </c>
      <c r="F346" s="77">
        <f t="shared" ref="F346" si="256">D346*E346</f>
        <v>0</v>
      </c>
      <c r="G346" s="77">
        <f t="shared" ref="G346" si="257">F346/$H$9</f>
        <v>0</v>
      </c>
      <c r="H346" s="77">
        <f>F346*'Date Generale'!$D$58</f>
        <v>0</v>
      </c>
      <c r="I346" s="77">
        <f t="shared" si="254"/>
        <v>0</v>
      </c>
      <c r="J346" s="79">
        <f t="shared" si="255"/>
        <v>0</v>
      </c>
    </row>
    <row r="347" spans="1:10" s="67" customFormat="1" ht="15" customHeight="1">
      <c r="A347" s="693" t="s">
        <v>53</v>
      </c>
      <c r="B347" s="694"/>
      <c r="C347" s="694"/>
      <c r="D347" s="694"/>
      <c r="E347" s="694"/>
      <c r="F347" s="56">
        <f>SUM(F348:F349)</f>
        <v>0</v>
      </c>
      <c r="G347" s="56">
        <f>SUM(G348:G349)</f>
        <v>0</v>
      </c>
      <c r="H347" s="56">
        <f>SUM(H348:H349)</f>
        <v>0</v>
      </c>
      <c r="I347" s="56">
        <f>SUM(I348:I349)</f>
        <v>0</v>
      </c>
      <c r="J347" s="57">
        <f>SUM(J348:J349)</f>
        <v>0</v>
      </c>
    </row>
    <row r="348" spans="1:10" s="67" customFormat="1">
      <c r="A348" s="80">
        <v>1</v>
      </c>
      <c r="B348" s="81"/>
      <c r="C348" s="76" t="str">
        <f>IF(B348="","",VLOOKUP(B348,'Lista articole'!$D$4:$E$2255,2,FALSE))</f>
        <v/>
      </c>
      <c r="D348" s="77">
        <v>0</v>
      </c>
      <c r="E348" s="78">
        <f>IF(B348="",0,VLOOKUP(B348,'Lista articole'!$D$4:$F$2163,3,FALSE))</f>
        <v>0</v>
      </c>
      <c r="F348" s="77">
        <f>D348*E348</f>
        <v>0</v>
      </c>
      <c r="G348" s="77">
        <f>F348/$H$9</f>
        <v>0</v>
      </c>
      <c r="H348" s="77">
        <f>F348*'Date Generale'!$D$58</f>
        <v>0</v>
      </c>
      <c r="I348" s="77">
        <f t="shared" ref="I348:I349" si="258">H348+F348</f>
        <v>0</v>
      </c>
      <c r="J348" s="79">
        <f t="shared" ref="J348:J349" si="259">I348/$H$9</f>
        <v>0</v>
      </c>
    </row>
    <row r="349" spans="1:10" s="67" customFormat="1" ht="15.75" thickBot="1">
      <c r="A349" s="139">
        <f>A348+1</f>
        <v>2</v>
      </c>
      <c r="B349" s="140"/>
      <c r="C349" s="141" t="str">
        <f>IF(B349="","",VLOOKUP(B349,'Lista articole'!$D$4:$E$2255,2,FALSE))</f>
        <v/>
      </c>
      <c r="D349" s="142">
        <v>0</v>
      </c>
      <c r="E349" s="143">
        <f>IF(B349="",0,VLOOKUP(B349,'Lista articole'!$D$4:$F$2163,3,FALSE))</f>
        <v>0</v>
      </c>
      <c r="F349" s="142">
        <f t="shared" ref="F349" si="260">D349*E349</f>
        <v>0</v>
      </c>
      <c r="G349" s="142">
        <f t="shared" ref="G349" si="261">F349/$H$9</f>
        <v>0</v>
      </c>
      <c r="H349" s="142">
        <f>F349*'Date Generale'!$D$58</f>
        <v>0</v>
      </c>
      <c r="I349" s="142">
        <f t="shared" si="258"/>
        <v>0</v>
      </c>
      <c r="J349" s="144">
        <f t="shared" si="259"/>
        <v>0</v>
      </c>
    </row>
    <row r="350" spans="1:10" s="67" customFormat="1" ht="15.75" thickBot="1">
      <c r="A350" s="685" t="s">
        <v>27</v>
      </c>
      <c r="B350" s="686"/>
      <c r="C350" s="686"/>
      <c r="D350" s="686"/>
      <c r="E350" s="686"/>
      <c r="F350" s="82">
        <f>SUM(F309,F312,F315,F318,F338,F341,F344,F347)</f>
        <v>1517828.8931607141</v>
      </c>
      <c r="G350" s="82">
        <f>SUM(G309,G312,G315,G318,G338,G341,G344,G347)</f>
        <v>321349.24590026343</v>
      </c>
      <c r="H350" s="82">
        <f>SUM(H309,H312,H315,H318,H338,H341,H344,H347)</f>
        <v>288387.48970053566</v>
      </c>
      <c r="I350" s="82">
        <f>SUM(I309,I312,I315,I318,I338,I341,I344,I347)</f>
        <v>1806216.3828612498</v>
      </c>
      <c r="J350" s="83">
        <f>SUM(J309,J312,J315,J318,J338,J341,J344,J347)</f>
        <v>382405.60262131342</v>
      </c>
    </row>
    <row r="351" spans="1:10" s="67" customFormat="1" ht="15" customHeight="1" thickBot="1">
      <c r="A351" s="683" t="s">
        <v>28</v>
      </c>
      <c r="B351" s="684"/>
      <c r="C351" s="684"/>
      <c r="D351" s="684"/>
      <c r="E351" s="684"/>
      <c r="F351" s="72"/>
      <c r="G351" s="72"/>
      <c r="H351" s="72"/>
      <c r="I351" s="72"/>
      <c r="J351" s="73"/>
    </row>
    <row r="352" spans="1:10" s="67" customFormat="1">
      <c r="A352" s="145"/>
      <c r="B352" s="695" t="s">
        <v>29</v>
      </c>
      <c r="C352" s="695"/>
      <c r="D352" s="695"/>
      <c r="E352" s="695"/>
      <c r="F352" s="146">
        <f>SUM(F353:F354)</f>
        <v>0</v>
      </c>
      <c r="G352" s="146">
        <f>SUM(G353:G354)</f>
        <v>0</v>
      </c>
      <c r="H352" s="146">
        <f>SUM(H353:H354)</f>
        <v>0</v>
      </c>
      <c r="I352" s="146">
        <f>SUM(I353:I354)</f>
        <v>0</v>
      </c>
      <c r="J352" s="147">
        <f>SUM(J353:J354)</f>
        <v>0</v>
      </c>
    </row>
    <row r="353" spans="1:10" s="67" customFormat="1">
      <c r="A353" s="80">
        <v>1</v>
      </c>
      <c r="B353" s="81"/>
      <c r="C353" s="76" t="str">
        <f>IF(B353="","",VLOOKUP(B353,'Lista articole'!$D$4:$E$2255,2,FALSE))</f>
        <v/>
      </c>
      <c r="D353" s="77">
        <v>0</v>
      </c>
      <c r="E353" s="78">
        <f>IF(B353="",0,VLOOKUP(B353,'Lista articole'!$D$4:$F$2163,3,FALSE))</f>
        <v>0</v>
      </c>
      <c r="F353" s="77">
        <f>D353*E353</f>
        <v>0</v>
      </c>
      <c r="G353" s="77">
        <f>F353/$H$9</f>
        <v>0</v>
      </c>
      <c r="H353" s="77">
        <f>F353*'Date Generale'!$D$58</f>
        <v>0</v>
      </c>
      <c r="I353" s="77">
        <f t="shared" ref="I353:I354" si="262">H353+F353</f>
        <v>0</v>
      </c>
      <c r="J353" s="79">
        <f t="shared" ref="J353:J354" si="263">I353/$H$9</f>
        <v>0</v>
      </c>
    </row>
    <row r="354" spans="1:10" s="67" customFormat="1" ht="15.75" thickBot="1">
      <c r="A354" s="139">
        <f>A353+1</f>
        <v>2</v>
      </c>
      <c r="B354" s="140"/>
      <c r="C354" s="141" t="str">
        <f>IF(B354="","",VLOOKUP(B354,'Lista articole'!$D$4:$E$2255,2,FALSE))</f>
        <v/>
      </c>
      <c r="D354" s="142">
        <v>0</v>
      </c>
      <c r="E354" s="143">
        <f>IF(B354="",0,VLOOKUP(B354,'Lista articole'!$D$4:$F$2163,3,FALSE))</f>
        <v>0</v>
      </c>
      <c r="F354" s="142">
        <f t="shared" ref="F354" si="264">D354*E354</f>
        <v>0</v>
      </c>
      <c r="G354" s="142">
        <f t="shared" ref="G354" si="265">F354/$H$9</f>
        <v>0</v>
      </c>
      <c r="H354" s="142">
        <f>F354*'Date Generale'!$D$58</f>
        <v>0</v>
      </c>
      <c r="I354" s="142">
        <f t="shared" si="262"/>
        <v>0</v>
      </c>
      <c r="J354" s="144">
        <f t="shared" si="263"/>
        <v>0</v>
      </c>
    </row>
    <row r="355" spans="1:10" s="67" customFormat="1" ht="15.75" thickBot="1">
      <c r="A355" s="685" t="s">
        <v>30</v>
      </c>
      <c r="B355" s="686"/>
      <c r="C355" s="686"/>
      <c r="D355" s="686"/>
      <c r="E355" s="686"/>
      <c r="F355" s="85">
        <f>F352</f>
        <v>0</v>
      </c>
      <c r="G355" s="85">
        <f>G352</f>
        <v>0</v>
      </c>
      <c r="H355" s="85">
        <f>H352</f>
        <v>0</v>
      </c>
      <c r="I355" s="85">
        <f>I352</f>
        <v>0</v>
      </c>
      <c r="J355" s="86">
        <f>J352</f>
        <v>0</v>
      </c>
    </row>
    <row r="356" spans="1:10" s="67" customFormat="1" ht="15.75" customHeight="1" thickBot="1">
      <c r="A356" s="683" t="s">
        <v>31</v>
      </c>
      <c r="B356" s="684"/>
      <c r="C356" s="684"/>
      <c r="D356" s="684"/>
      <c r="E356" s="684"/>
      <c r="F356" s="72"/>
      <c r="G356" s="72"/>
      <c r="H356" s="72"/>
      <c r="I356" s="72"/>
      <c r="J356" s="73"/>
    </row>
    <row r="357" spans="1:10" s="67" customFormat="1">
      <c r="A357" s="145"/>
      <c r="B357" s="695" t="s">
        <v>32</v>
      </c>
      <c r="C357" s="695"/>
      <c r="D357" s="695"/>
      <c r="E357" s="695"/>
      <c r="F357" s="148">
        <f>SUM(F358:F359)</f>
        <v>0</v>
      </c>
      <c r="G357" s="148">
        <f>SUM(G358:G359)</f>
        <v>0</v>
      </c>
      <c r="H357" s="148">
        <f>SUM(H358:H359)</f>
        <v>0</v>
      </c>
      <c r="I357" s="148">
        <f>SUM(I358:I359)</f>
        <v>0</v>
      </c>
      <c r="J357" s="149">
        <f>SUM(J358:J359)</f>
        <v>0</v>
      </c>
    </row>
    <row r="358" spans="1:10" s="67" customFormat="1">
      <c r="A358" s="80">
        <v>1</v>
      </c>
      <c r="B358" s="81"/>
      <c r="C358" s="76" t="str">
        <f>IF(B358="","",VLOOKUP(B358,'Lista articole'!$D$4:$E$2255,2,FALSE))</f>
        <v/>
      </c>
      <c r="D358" s="77">
        <v>0</v>
      </c>
      <c r="E358" s="78">
        <f>IF(B358="",0,VLOOKUP(B358,'Lista articole'!$D$4:$F$2163,3,FALSE))</f>
        <v>0</v>
      </c>
      <c r="F358" s="77">
        <f>D358*E358</f>
        <v>0</v>
      </c>
      <c r="G358" s="77">
        <f>F358/$H$9</f>
        <v>0</v>
      </c>
      <c r="H358" s="77">
        <f>F358*'Date Generale'!$D$58</f>
        <v>0</v>
      </c>
      <c r="I358" s="77">
        <f t="shared" ref="I358:I359" si="266">H358+F358</f>
        <v>0</v>
      </c>
      <c r="J358" s="79">
        <f t="shared" ref="J358:J359" si="267">I358/$H$9</f>
        <v>0</v>
      </c>
    </row>
    <row r="359" spans="1:10" s="67" customFormat="1" ht="15" customHeight="1">
      <c r="A359" s="74">
        <f>A358+1</f>
        <v>2</v>
      </c>
      <c r="B359" s="75"/>
      <c r="C359" s="76" t="str">
        <f>IF(B359="","",VLOOKUP(B359,'Lista articole'!$D$4:$E$2255,2,FALSE))</f>
        <v/>
      </c>
      <c r="D359" s="77">
        <v>0</v>
      </c>
      <c r="E359" s="78">
        <f>IF(B359="",0,VLOOKUP(B359,'Lista articole'!$D$4:$F$2163,3,FALSE))</f>
        <v>0</v>
      </c>
      <c r="F359" s="77">
        <f t="shared" ref="F359" si="268">D359*E359</f>
        <v>0</v>
      </c>
      <c r="G359" s="77">
        <f t="shared" ref="G359" si="269">F359/$H$9</f>
        <v>0</v>
      </c>
      <c r="H359" s="77">
        <f>F359*'Date Generale'!$D$58</f>
        <v>0</v>
      </c>
      <c r="I359" s="77">
        <f t="shared" si="266"/>
        <v>0</v>
      </c>
      <c r="J359" s="79">
        <f t="shared" si="267"/>
        <v>0</v>
      </c>
    </row>
    <row r="360" spans="1:10" s="67" customFormat="1">
      <c r="A360" s="87"/>
      <c r="B360" s="696" t="s">
        <v>33</v>
      </c>
      <c r="C360" s="696"/>
      <c r="D360" s="696"/>
      <c r="E360" s="696"/>
      <c r="F360" s="88">
        <f>SUM(F361:F362)</f>
        <v>0</v>
      </c>
      <c r="G360" s="88">
        <f>SUM(G361:G362)</f>
        <v>0</v>
      </c>
      <c r="H360" s="88">
        <f>SUM(H361:H362)</f>
        <v>0</v>
      </c>
      <c r="I360" s="88">
        <f>SUM(I361:I362)</f>
        <v>0</v>
      </c>
      <c r="J360" s="89">
        <f>SUM(J361:J362)</f>
        <v>0</v>
      </c>
    </row>
    <row r="361" spans="1:10" s="67" customFormat="1">
      <c r="A361" s="80">
        <v>1</v>
      </c>
      <c r="B361" s="81"/>
      <c r="C361" s="76" t="str">
        <f>IF(B361="","",VLOOKUP(B361,'Lista articole'!$D$4:$E$2255,2,FALSE))</f>
        <v/>
      </c>
      <c r="D361" s="77">
        <v>0</v>
      </c>
      <c r="E361" s="78">
        <f>IF(B361="",0,VLOOKUP(B361,'Lista articole'!$D$4:$F$2163,3,FALSE))</f>
        <v>0</v>
      </c>
      <c r="F361" s="77">
        <f>D361*E361</f>
        <v>0</v>
      </c>
      <c r="G361" s="77">
        <f>F361/$H$9</f>
        <v>0</v>
      </c>
      <c r="H361" s="77">
        <f>F361*'Date Generale'!$D$58</f>
        <v>0</v>
      </c>
      <c r="I361" s="77">
        <f t="shared" ref="I361:I362" si="270">H361+F361</f>
        <v>0</v>
      </c>
      <c r="J361" s="79">
        <f t="shared" ref="J361:J362" si="271">I361/$H$9</f>
        <v>0</v>
      </c>
    </row>
    <row r="362" spans="1:10" s="67" customFormat="1" ht="15" customHeight="1">
      <c r="A362" s="74">
        <f>A361+1</f>
        <v>2</v>
      </c>
      <c r="B362" s="75"/>
      <c r="C362" s="76" t="str">
        <f>IF(B362="","",VLOOKUP(B362,'Lista articole'!$D$4:$E$2255,2,FALSE))</f>
        <v/>
      </c>
      <c r="D362" s="77">
        <v>0</v>
      </c>
      <c r="E362" s="78">
        <f>IF(B362="",0,VLOOKUP(B362,'Lista articole'!$D$4:$F$2163,3,FALSE))</f>
        <v>0</v>
      </c>
      <c r="F362" s="77">
        <f t="shared" ref="F362" si="272">D362*E362</f>
        <v>0</v>
      </c>
      <c r="G362" s="77">
        <f t="shared" ref="G362" si="273">F362/$H$9</f>
        <v>0</v>
      </c>
      <c r="H362" s="77">
        <f>F362*'Date Generale'!$D$58</f>
        <v>0</v>
      </c>
      <c r="I362" s="77">
        <f t="shared" si="270"/>
        <v>0</v>
      </c>
      <c r="J362" s="79">
        <f t="shared" si="271"/>
        <v>0</v>
      </c>
    </row>
    <row r="363" spans="1:10" s="67" customFormat="1">
      <c r="A363" s="87"/>
      <c r="B363" s="696" t="s">
        <v>34</v>
      </c>
      <c r="C363" s="696"/>
      <c r="D363" s="696"/>
      <c r="E363" s="696"/>
      <c r="F363" s="88">
        <f>SUM(F364:F365)</f>
        <v>0</v>
      </c>
      <c r="G363" s="88">
        <f>SUM(G364:G365)</f>
        <v>0</v>
      </c>
      <c r="H363" s="88">
        <f>SUM(H364:H365)</f>
        <v>0</v>
      </c>
      <c r="I363" s="88">
        <f>SUM(I364:I365)</f>
        <v>0</v>
      </c>
      <c r="J363" s="89">
        <f>SUM(J364:J365)</f>
        <v>0</v>
      </c>
    </row>
    <row r="364" spans="1:10" s="67" customFormat="1">
      <c r="A364" s="80">
        <v>1</v>
      </c>
      <c r="B364" s="81"/>
      <c r="C364" s="76" t="str">
        <f>IF(B364="","",VLOOKUP(B364,'Lista articole'!$D$4:$E$2255,2,FALSE))</f>
        <v/>
      </c>
      <c r="D364" s="77">
        <v>0</v>
      </c>
      <c r="E364" s="78">
        <f>IF(B364="",0,VLOOKUP(B364,'Lista articole'!$D$4:$F$2163,3,FALSE))</f>
        <v>0</v>
      </c>
      <c r="F364" s="77">
        <f>D364*E364</f>
        <v>0</v>
      </c>
      <c r="G364" s="77">
        <f>F364/$H$9</f>
        <v>0</v>
      </c>
      <c r="H364" s="77">
        <f>F364*'Date Generale'!$D$58</f>
        <v>0</v>
      </c>
      <c r="I364" s="77">
        <f t="shared" ref="I364:I365" si="274">H364+F364</f>
        <v>0</v>
      </c>
      <c r="J364" s="79">
        <f t="shared" ref="J364:J365" si="275">I364/$H$9</f>
        <v>0</v>
      </c>
    </row>
    <row r="365" spans="1:10" s="67" customFormat="1" ht="15.75" thickBot="1">
      <c r="A365" s="139">
        <f>A364+1</f>
        <v>2</v>
      </c>
      <c r="B365" s="140"/>
      <c r="C365" s="141" t="str">
        <f>IF(B365="","",VLOOKUP(B365,'Lista articole'!$D$4:$E$2255,2,FALSE))</f>
        <v/>
      </c>
      <c r="D365" s="142">
        <v>0</v>
      </c>
      <c r="E365" s="143">
        <f>IF(B365="",0,VLOOKUP(B365,'Lista articole'!$D$4:$F$2163,3,FALSE))</f>
        <v>0</v>
      </c>
      <c r="F365" s="142">
        <f t="shared" ref="F365" si="276">D365*E365</f>
        <v>0</v>
      </c>
      <c r="G365" s="142">
        <f t="shared" ref="G365" si="277">F365/$H$9</f>
        <v>0</v>
      </c>
      <c r="H365" s="142">
        <f>F365*'Date Generale'!$D$58</f>
        <v>0</v>
      </c>
      <c r="I365" s="142">
        <f t="shared" si="274"/>
        <v>0</v>
      </c>
      <c r="J365" s="144">
        <f t="shared" si="275"/>
        <v>0</v>
      </c>
    </row>
    <row r="366" spans="1:10" s="67" customFormat="1" ht="15.75" thickBot="1">
      <c r="A366" s="685" t="s">
        <v>35</v>
      </c>
      <c r="B366" s="686"/>
      <c r="C366" s="686"/>
      <c r="D366" s="686"/>
      <c r="E366" s="686"/>
      <c r="F366" s="62">
        <f>SUM(F363,F360,F357)</f>
        <v>0</v>
      </c>
      <c r="G366" s="62">
        <f>SUM(G363,G360,G357)</f>
        <v>0</v>
      </c>
      <c r="H366" s="62">
        <f>SUM(H363,H360,H357)</f>
        <v>0</v>
      </c>
      <c r="I366" s="62">
        <f>SUM(I363,I360,I357)</f>
        <v>0</v>
      </c>
      <c r="J366" s="63">
        <f>SUM(J363,J360,J357)</f>
        <v>0</v>
      </c>
    </row>
    <row r="367" spans="1:10" s="67" customFormat="1">
      <c r="A367" s="38"/>
      <c r="B367" s="39"/>
      <c r="C367" s="39"/>
      <c r="D367" s="39"/>
      <c r="E367" s="39"/>
      <c r="F367" s="39"/>
      <c r="G367" s="39"/>
      <c r="H367" s="39"/>
      <c r="I367" s="39"/>
      <c r="J367" s="39"/>
    </row>
    <row r="368" spans="1:10" s="67" customFormat="1">
      <c r="A368" s="38"/>
      <c r="B368" s="40"/>
      <c r="C368" s="42"/>
      <c r="D368" s="42"/>
      <c r="E368" s="42"/>
      <c r="F368" s="42"/>
      <c r="G368" s="42"/>
      <c r="H368" s="42"/>
      <c r="I368" s="42"/>
      <c r="J368" s="42"/>
    </row>
    <row r="369" spans="1:11" s="67" customFormat="1" ht="18.75">
      <c r="A369" s="42"/>
      <c r="B369" s="90" t="s">
        <v>37</v>
      </c>
      <c r="C369" s="42"/>
      <c r="D369" s="42"/>
      <c r="E369" s="42"/>
      <c r="F369" s="42"/>
      <c r="G369" s="42"/>
      <c r="H369" s="42"/>
      <c r="I369" s="42"/>
      <c r="J369" s="42"/>
    </row>
    <row r="370" spans="1:11" s="67" customFormat="1" ht="18.75">
      <c r="A370" s="38"/>
      <c r="B370" s="90" t="str">
        <f>'Date Generale'!$C$7</f>
        <v>S.C. Tehno Consoulting Solutions S.R.L.</v>
      </c>
      <c r="C370" s="39"/>
      <c r="D370" s="39"/>
      <c r="E370" s="39"/>
      <c r="F370" s="39"/>
      <c r="G370" s="39"/>
      <c r="H370" s="39"/>
      <c r="I370" s="39"/>
      <c r="J370" s="39"/>
    </row>
    <row r="371" spans="1:11" s="67" customFormat="1">
      <c r="A371" s="35"/>
      <c r="B371" s="93"/>
      <c r="C371" s="94"/>
      <c r="D371" s="95"/>
      <c r="E371" s="96"/>
      <c r="F371" s="96"/>
      <c r="G371" s="95"/>
      <c r="H371" s="95"/>
      <c r="I371" s="95"/>
      <c r="J371" s="95"/>
    </row>
    <row r="372" spans="1:11" s="67" customFormat="1">
      <c r="A372" s="35"/>
      <c r="B372" s="93"/>
      <c r="C372" s="94"/>
      <c r="D372" s="95"/>
      <c r="E372" s="96"/>
      <c r="F372" s="96"/>
      <c r="G372" s="95"/>
      <c r="H372" s="95"/>
      <c r="I372" s="95"/>
      <c r="J372" s="95"/>
    </row>
    <row r="373" spans="1:11" s="67" customFormat="1">
      <c r="A373" s="35"/>
      <c r="B373" s="93"/>
      <c r="C373" s="94"/>
      <c r="D373" s="95"/>
      <c r="E373" s="96"/>
      <c r="F373" s="95"/>
      <c r="G373" s="95"/>
      <c r="H373" s="95"/>
      <c r="I373" s="95"/>
      <c r="J373" s="95"/>
    </row>
    <row r="374" spans="1:11" s="67" customFormat="1" ht="15.75">
      <c r="A374" s="41"/>
      <c r="B374" s="41"/>
      <c r="C374" s="42"/>
      <c r="D374" s="42"/>
      <c r="E374" s="69"/>
      <c r="F374" s="42"/>
      <c r="G374" s="42"/>
      <c r="H374" s="42"/>
      <c r="I374" s="42"/>
      <c r="J374" s="42"/>
      <c r="K374" s="68"/>
    </row>
    <row r="375" spans="1:11" s="67" customFormat="1" ht="15.75">
      <c r="A375" s="41"/>
      <c r="B375" s="41"/>
      <c r="C375" s="44"/>
      <c r="D375" s="44"/>
      <c r="E375" s="44"/>
      <c r="F375" s="44"/>
      <c r="G375" s="44"/>
      <c r="H375" s="44"/>
      <c r="I375" s="44"/>
      <c r="J375" s="44"/>
      <c r="K375" s="68"/>
    </row>
    <row r="376" spans="1:11" s="67" customFormat="1" ht="15.75">
      <c r="A376" s="235"/>
      <c r="B376" s="41"/>
      <c r="C376" s="44"/>
      <c r="D376" s="44"/>
      <c r="E376" s="44"/>
      <c r="F376" s="44"/>
      <c r="G376" s="44"/>
      <c r="H376" s="44"/>
      <c r="I376" s="44"/>
      <c r="J376" s="44"/>
      <c r="K376" s="68"/>
    </row>
    <row r="377" spans="1:11" s="67" customFormat="1" ht="15.75">
      <c r="A377" s="41"/>
      <c r="B377" s="41"/>
      <c r="C377" s="44"/>
      <c r="D377" s="44"/>
      <c r="E377" s="44"/>
      <c r="F377" s="44"/>
      <c r="G377" s="44"/>
      <c r="H377" s="44"/>
      <c r="I377" s="44"/>
      <c r="J377" s="44"/>
      <c r="K377" s="68"/>
    </row>
    <row r="378" spans="1:11" s="67" customFormat="1" ht="15.75">
      <c r="A378" s="41"/>
      <c r="B378" s="41"/>
      <c r="C378" s="44"/>
      <c r="D378" s="44"/>
      <c r="E378" s="44"/>
      <c r="F378" s="44"/>
      <c r="G378" s="44"/>
      <c r="H378" s="44"/>
      <c r="I378" s="44"/>
      <c r="J378" s="44"/>
      <c r="K378" s="68"/>
    </row>
    <row r="379" spans="1:11" s="67" customFormat="1">
      <c r="A379" s="687"/>
      <c r="B379" s="687"/>
      <c r="C379" s="687"/>
      <c r="D379" s="687"/>
      <c r="E379" s="687"/>
      <c r="F379" s="687"/>
      <c r="G379" s="687"/>
      <c r="H379" s="687"/>
      <c r="I379" s="687"/>
      <c r="J379" s="687"/>
      <c r="K379" s="68"/>
    </row>
    <row r="380" spans="1:11" s="67" customFormat="1">
      <c r="A380" s="136"/>
      <c r="B380" s="136"/>
      <c r="C380" s="136"/>
      <c r="D380" s="136"/>
      <c r="E380" s="136"/>
      <c r="F380" s="136"/>
      <c r="G380" s="136"/>
      <c r="H380" s="136"/>
      <c r="I380" s="136"/>
      <c r="J380" s="136"/>
      <c r="K380" s="68"/>
    </row>
    <row r="381" spans="1:11" s="67" customFormat="1" ht="15.75" thickBot="1">
      <c r="A381" s="42"/>
      <c r="B381" s="46"/>
      <c r="C381" s="71"/>
      <c r="D381" s="71"/>
      <c r="E381" s="71"/>
      <c r="F381" s="33"/>
      <c r="G381" s="47"/>
      <c r="H381" s="48"/>
      <c r="I381" s="49"/>
      <c r="J381" s="50"/>
      <c r="K381" s="68"/>
    </row>
    <row r="382" spans="1:11" s="67" customFormat="1" ht="15" customHeight="1" thickBot="1">
      <c r="A382" s="688"/>
      <c r="B382" s="688"/>
      <c r="C382" s="688"/>
      <c r="D382" s="688"/>
      <c r="E382" s="688"/>
      <c r="F382" s="689"/>
      <c r="G382" s="689"/>
      <c r="H382" s="24"/>
      <c r="I382" s="689"/>
      <c r="J382" s="689"/>
      <c r="K382" s="68"/>
    </row>
    <row r="383" spans="1:11" s="67" customFormat="1" ht="15.75" thickBot="1">
      <c r="A383" s="688"/>
      <c r="B383" s="688"/>
      <c r="C383" s="688"/>
      <c r="D383" s="688"/>
      <c r="E383" s="688"/>
      <c r="F383" s="51"/>
      <c r="G383" s="51"/>
      <c r="H383" s="51"/>
      <c r="I383" s="51"/>
      <c r="J383" s="51"/>
      <c r="K383" s="68"/>
    </row>
    <row r="384" spans="1:11" s="67" customFormat="1" ht="15.75" thickBot="1">
      <c r="A384" s="3"/>
      <c r="B384" s="1"/>
      <c r="C384" s="1"/>
      <c r="D384" s="1"/>
      <c r="E384" s="1"/>
      <c r="F384" s="1"/>
      <c r="G384" s="1"/>
      <c r="H384" s="1"/>
      <c r="I384" s="1"/>
      <c r="J384" s="1"/>
      <c r="K384" s="68"/>
    </row>
    <row r="385" spans="1:11" s="67" customFormat="1" ht="15.75" customHeight="1" thickBot="1">
      <c r="A385" s="683"/>
      <c r="B385" s="684"/>
      <c r="C385" s="684"/>
      <c r="D385" s="684"/>
      <c r="E385" s="684"/>
      <c r="F385" s="72"/>
      <c r="G385" s="72"/>
      <c r="H385" s="72"/>
      <c r="I385" s="72"/>
      <c r="J385" s="73"/>
      <c r="K385" s="68"/>
    </row>
    <row r="386" spans="1:11" s="67" customFormat="1" ht="15" customHeight="1">
      <c r="A386" s="691"/>
      <c r="B386" s="692"/>
      <c r="C386" s="692"/>
      <c r="D386" s="692"/>
      <c r="E386" s="692"/>
      <c r="F386" s="137"/>
      <c r="G386" s="137"/>
      <c r="H386" s="137"/>
      <c r="I386" s="137"/>
      <c r="J386" s="138"/>
      <c r="K386" s="68"/>
    </row>
    <row r="387" spans="1:11" s="67" customFormat="1">
      <c r="A387" s="74"/>
      <c r="B387" s="75"/>
      <c r="C387" s="76"/>
      <c r="D387" s="77"/>
      <c r="E387" s="78"/>
      <c r="F387" s="77"/>
      <c r="G387" s="77"/>
      <c r="H387" s="77"/>
      <c r="I387" s="77"/>
      <c r="J387" s="79"/>
      <c r="K387" s="68"/>
    </row>
    <row r="388" spans="1:11" s="67" customFormat="1">
      <c r="A388" s="74"/>
      <c r="B388" s="75"/>
      <c r="C388" s="76"/>
      <c r="D388" s="77"/>
      <c r="E388" s="78"/>
      <c r="F388" s="77"/>
      <c r="G388" s="77"/>
      <c r="H388" s="77"/>
      <c r="I388" s="77"/>
      <c r="J388" s="79"/>
      <c r="K388" s="68"/>
    </row>
    <row r="389" spans="1:11" s="67" customFormat="1" ht="15" customHeight="1">
      <c r="A389" s="693"/>
      <c r="B389" s="694"/>
      <c r="C389" s="694"/>
      <c r="D389" s="694"/>
      <c r="E389" s="694"/>
      <c r="F389" s="56"/>
      <c r="G389" s="56"/>
      <c r="H389" s="56"/>
      <c r="I389" s="56"/>
      <c r="J389" s="57"/>
      <c r="K389" s="68"/>
    </row>
    <row r="390" spans="1:11" s="67" customFormat="1" ht="15" customHeight="1">
      <c r="A390" s="80"/>
      <c r="B390" s="81"/>
      <c r="C390" s="76"/>
      <c r="D390" s="77"/>
      <c r="E390" s="78"/>
      <c r="F390" s="77"/>
      <c r="G390" s="77"/>
      <c r="H390" s="77"/>
      <c r="I390" s="77"/>
      <c r="J390" s="79"/>
      <c r="K390" s="68"/>
    </row>
    <row r="391" spans="1:11" s="67" customFormat="1">
      <c r="A391" s="80"/>
      <c r="B391" s="81"/>
      <c r="C391" s="76"/>
      <c r="D391" s="77"/>
      <c r="E391" s="78"/>
      <c r="F391" s="77"/>
      <c r="G391" s="77"/>
      <c r="H391" s="77"/>
      <c r="I391" s="77"/>
      <c r="J391" s="79"/>
      <c r="K391" s="68"/>
    </row>
    <row r="392" spans="1:11" s="67" customFormat="1">
      <c r="A392" s="693"/>
      <c r="B392" s="694"/>
      <c r="C392" s="694"/>
      <c r="D392" s="694"/>
      <c r="E392" s="694"/>
      <c r="F392" s="56"/>
      <c r="G392" s="56"/>
      <c r="H392" s="56"/>
      <c r="I392" s="56"/>
      <c r="J392" s="57"/>
      <c r="K392" s="68"/>
    </row>
    <row r="393" spans="1:11" s="67" customFormat="1" ht="15" customHeight="1">
      <c r="A393" s="80"/>
      <c r="B393" s="81"/>
      <c r="C393" s="76"/>
      <c r="D393" s="77"/>
      <c r="E393" s="78"/>
      <c r="F393" s="77"/>
      <c r="G393" s="77"/>
      <c r="H393" s="77"/>
      <c r="I393" s="77"/>
      <c r="J393" s="79"/>
      <c r="K393" s="68"/>
    </row>
    <row r="394" spans="1:11" s="67" customFormat="1">
      <c r="A394" s="80"/>
      <c r="B394" s="81"/>
      <c r="C394" s="76"/>
      <c r="D394" s="77"/>
      <c r="E394" s="78"/>
      <c r="F394" s="77"/>
      <c r="G394" s="77"/>
      <c r="H394" s="77"/>
      <c r="I394" s="77"/>
      <c r="J394" s="79"/>
      <c r="K394" s="68"/>
    </row>
    <row r="395" spans="1:11" s="67" customFormat="1" ht="15" customHeight="1">
      <c r="A395" s="693"/>
      <c r="B395" s="694"/>
      <c r="C395" s="694"/>
      <c r="D395" s="694"/>
      <c r="E395" s="694"/>
      <c r="F395" s="56"/>
      <c r="G395" s="56"/>
      <c r="H395" s="56"/>
      <c r="I395" s="56"/>
      <c r="J395" s="57"/>
      <c r="K395" s="68"/>
    </row>
    <row r="396" spans="1:11" s="67" customFormat="1">
      <c r="A396" s="80"/>
      <c r="B396" s="75"/>
      <c r="C396" s="76"/>
      <c r="D396" s="77"/>
      <c r="E396" s="78"/>
      <c r="F396" s="77"/>
      <c r="G396" s="77"/>
      <c r="H396" s="77"/>
      <c r="I396" s="77"/>
      <c r="J396" s="79"/>
      <c r="K396" s="68"/>
    </row>
    <row r="397" spans="1:11" s="67" customFormat="1">
      <c r="A397" s="80"/>
      <c r="B397" s="75"/>
      <c r="C397" s="76"/>
      <c r="D397" s="77"/>
      <c r="E397" s="78"/>
      <c r="F397" s="77"/>
      <c r="G397" s="77"/>
      <c r="H397" s="77"/>
      <c r="I397" s="77"/>
      <c r="J397" s="79"/>
      <c r="K397" s="68"/>
    </row>
    <row r="398" spans="1:11" s="67" customFormat="1">
      <c r="A398" s="80"/>
      <c r="B398" s="75"/>
      <c r="C398" s="76"/>
      <c r="D398" s="77"/>
      <c r="E398" s="78"/>
      <c r="F398" s="77"/>
      <c r="G398" s="77"/>
      <c r="H398" s="77"/>
      <c r="I398" s="77"/>
      <c r="J398" s="79"/>
      <c r="K398" s="68"/>
    </row>
    <row r="399" spans="1:11" s="67" customFormat="1">
      <c r="A399" s="80"/>
      <c r="B399" s="75"/>
      <c r="C399" s="76"/>
      <c r="D399" s="77"/>
      <c r="E399" s="78"/>
      <c r="F399" s="77"/>
      <c r="G399" s="77"/>
      <c r="H399" s="77"/>
      <c r="I399" s="77"/>
      <c r="J399" s="79"/>
      <c r="K399" s="68"/>
    </row>
    <row r="400" spans="1:11" s="67" customFormat="1">
      <c r="A400" s="80"/>
      <c r="B400" s="75"/>
      <c r="C400" s="76"/>
      <c r="D400" s="77"/>
      <c r="E400" s="78"/>
      <c r="F400" s="77"/>
      <c r="G400" s="77"/>
      <c r="H400" s="77"/>
      <c r="I400" s="77"/>
      <c r="J400" s="79"/>
      <c r="K400" s="68"/>
    </row>
    <row r="401" spans="1:11" s="67" customFormat="1">
      <c r="A401" s="80"/>
      <c r="B401" s="75"/>
      <c r="C401" s="76"/>
      <c r="D401" s="77"/>
      <c r="E401" s="78"/>
      <c r="F401" s="77"/>
      <c r="G401" s="77"/>
      <c r="H401" s="77"/>
      <c r="I401" s="77"/>
      <c r="J401" s="79"/>
      <c r="K401" s="68"/>
    </row>
    <row r="402" spans="1:11" s="67" customFormat="1">
      <c r="A402" s="80"/>
      <c r="B402" s="75"/>
      <c r="C402" s="76"/>
      <c r="D402" s="77"/>
      <c r="E402" s="78"/>
      <c r="F402" s="77"/>
      <c r="G402" s="77"/>
      <c r="H402" s="77"/>
      <c r="I402" s="77"/>
      <c r="J402" s="79"/>
      <c r="K402" s="68"/>
    </row>
    <row r="403" spans="1:11" s="67" customFormat="1" ht="15" customHeight="1">
      <c r="A403" s="80"/>
      <c r="B403" s="75"/>
      <c r="C403" s="76"/>
      <c r="D403" s="77"/>
      <c r="E403" s="78"/>
      <c r="F403" s="77"/>
      <c r="G403" s="77"/>
      <c r="H403" s="77"/>
      <c r="I403" s="77"/>
      <c r="J403" s="79"/>
      <c r="K403" s="68"/>
    </row>
    <row r="404" spans="1:11" s="67" customFormat="1">
      <c r="A404" s="80"/>
      <c r="B404" s="75"/>
      <c r="C404" s="76"/>
      <c r="D404" s="77"/>
      <c r="E404" s="78"/>
      <c r="F404" s="77"/>
      <c r="G404" s="77"/>
      <c r="H404" s="77"/>
      <c r="I404" s="77"/>
      <c r="J404" s="79"/>
      <c r="K404" s="68"/>
    </row>
    <row r="405" spans="1:11" s="67" customFormat="1">
      <c r="A405" s="80"/>
      <c r="B405" s="75"/>
      <c r="C405" s="76"/>
      <c r="D405" s="77"/>
      <c r="E405" s="78"/>
      <c r="F405" s="77"/>
      <c r="G405" s="77"/>
      <c r="H405" s="77"/>
      <c r="I405" s="77"/>
      <c r="J405" s="79"/>
      <c r="K405" s="68"/>
    </row>
    <row r="406" spans="1:11" s="67" customFormat="1">
      <c r="A406" s="80"/>
      <c r="B406" s="75"/>
      <c r="C406" s="76"/>
      <c r="D406" s="77"/>
      <c r="E406" s="78"/>
      <c r="F406" s="77"/>
      <c r="G406" s="77"/>
      <c r="H406" s="77"/>
      <c r="I406" s="77"/>
      <c r="J406" s="79"/>
      <c r="K406" s="68"/>
    </row>
    <row r="407" spans="1:11" s="67" customFormat="1" ht="15.75" customHeight="1">
      <c r="A407" s="80"/>
      <c r="B407" s="75"/>
      <c r="C407" s="76"/>
      <c r="D407" s="77"/>
      <c r="E407" s="78"/>
      <c r="F407" s="77"/>
      <c r="G407" s="77"/>
      <c r="H407" s="77"/>
      <c r="I407" s="77"/>
      <c r="J407" s="79"/>
      <c r="K407" s="68"/>
    </row>
    <row r="408" spans="1:11" s="67" customFormat="1" ht="15.75" customHeight="1">
      <c r="A408" s="80"/>
      <c r="B408" s="75"/>
      <c r="C408" s="76"/>
      <c r="D408" s="77"/>
      <c r="E408" s="78"/>
      <c r="F408" s="77"/>
      <c r="G408" s="77"/>
      <c r="H408" s="77"/>
      <c r="I408" s="77"/>
      <c r="J408" s="79"/>
      <c r="K408" s="68"/>
    </row>
    <row r="409" spans="1:11" s="67" customFormat="1" ht="15" customHeight="1">
      <c r="A409" s="693"/>
      <c r="B409" s="694"/>
      <c r="C409" s="694"/>
      <c r="D409" s="694"/>
      <c r="E409" s="694"/>
      <c r="F409" s="56"/>
      <c r="G409" s="56"/>
      <c r="H409" s="56"/>
      <c r="I409" s="56"/>
      <c r="J409" s="57"/>
      <c r="K409" s="68"/>
    </row>
    <row r="410" spans="1:11" s="67" customFormat="1">
      <c r="A410" s="80"/>
      <c r="B410" s="81"/>
      <c r="C410" s="76"/>
      <c r="D410" s="77"/>
      <c r="E410" s="78"/>
      <c r="F410" s="77"/>
      <c r="G410" s="77"/>
      <c r="H410" s="77"/>
      <c r="I410" s="77"/>
      <c r="J410" s="79"/>
      <c r="K410" s="68"/>
    </row>
    <row r="411" spans="1:11" s="67" customFormat="1" ht="15.75" customHeight="1">
      <c r="A411" s="74"/>
      <c r="B411" s="75"/>
      <c r="C411" s="76"/>
      <c r="D411" s="77"/>
      <c r="E411" s="78"/>
      <c r="F411" s="77"/>
      <c r="G411" s="77"/>
      <c r="H411" s="77"/>
      <c r="I411" s="77"/>
      <c r="J411" s="79"/>
      <c r="K411" s="68"/>
    </row>
    <row r="412" spans="1:11" s="67" customFormat="1" ht="15" customHeight="1">
      <c r="A412" s="693"/>
      <c r="B412" s="694"/>
      <c r="C412" s="694"/>
      <c r="D412" s="694"/>
      <c r="E412" s="694"/>
      <c r="F412" s="56"/>
      <c r="G412" s="56"/>
      <c r="H412" s="56"/>
      <c r="I412" s="56"/>
      <c r="J412" s="57"/>
      <c r="K412" s="68"/>
    </row>
    <row r="413" spans="1:11" s="67" customFormat="1">
      <c r="A413" s="80"/>
      <c r="B413" s="81"/>
      <c r="C413" s="76"/>
      <c r="D413" s="77"/>
      <c r="E413" s="78"/>
      <c r="F413" s="77"/>
      <c r="G413" s="77"/>
      <c r="H413" s="77"/>
      <c r="I413" s="77"/>
      <c r="J413" s="79"/>
      <c r="K413" s="68"/>
    </row>
    <row r="414" spans="1:11" s="67" customFormat="1">
      <c r="A414" s="74"/>
      <c r="B414" s="75"/>
      <c r="C414" s="76"/>
      <c r="D414" s="77"/>
      <c r="E414" s="78"/>
      <c r="F414" s="77"/>
      <c r="G414" s="77"/>
      <c r="H414" s="77"/>
      <c r="I414" s="77"/>
      <c r="J414" s="79"/>
      <c r="K414" s="68"/>
    </row>
    <row r="415" spans="1:11" s="67" customFormat="1" ht="15" customHeight="1">
      <c r="A415" s="693"/>
      <c r="B415" s="694"/>
      <c r="C415" s="694"/>
      <c r="D415" s="694"/>
      <c r="E415" s="694"/>
      <c r="F415" s="56"/>
      <c r="G415" s="56"/>
      <c r="H415" s="56"/>
      <c r="I415" s="56"/>
      <c r="J415" s="57"/>
      <c r="K415" s="68"/>
    </row>
    <row r="416" spans="1:11" s="67" customFormat="1">
      <c r="A416" s="80"/>
      <c r="B416" s="81"/>
      <c r="C416" s="76"/>
      <c r="D416" s="77"/>
      <c r="E416" s="78"/>
      <c r="F416" s="77"/>
      <c r="G416" s="77"/>
      <c r="H416" s="77"/>
      <c r="I416" s="77"/>
      <c r="J416" s="79"/>
      <c r="K416" s="68"/>
    </row>
    <row r="417" spans="1:11" s="67" customFormat="1">
      <c r="A417" s="74"/>
      <c r="B417" s="75"/>
      <c r="C417" s="76"/>
      <c r="D417" s="77"/>
      <c r="E417" s="78"/>
      <c r="F417" s="77"/>
      <c r="G417" s="77"/>
      <c r="H417" s="77"/>
      <c r="I417" s="77"/>
      <c r="J417" s="79"/>
      <c r="K417" s="68"/>
    </row>
    <row r="418" spans="1:11" s="67" customFormat="1" ht="15" customHeight="1">
      <c r="A418" s="693"/>
      <c r="B418" s="694"/>
      <c r="C418" s="694"/>
      <c r="D418" s="694"/>
      <c r="E418" s="694"/>
      <c r="F418" s="56"/>
      <c r="G418" s="56"/>
      <c r="H418" s="56"/>
      <c r="I418" s="56"/>
      <c r="J418" s="57"/>
      <c r="K418" s="68"/>
    </row>
    <row r="419" spans="1:11" s="67" customFormat="1">
      <c r="A419" s="80"/>
      <c r="B419" s="81"/>
      <c r="C419" s="76"/>
      <c r="D419" s="77"/>
      <c r="E419" s="78"/>
      <c r="F419" s="77"/>
      <c r="G419" s="77"/>
      <c r="H419" s="77"/>
      <c r="I419" s="77"/>
      <c r="J419" s="79"/>
      <c r="K419" s="68"/>
    </row>
    <row r="420" spans="1:11" s="67" customFormat="1" ht="15.75" thickBot="1">
      <c r="A420" s="139"/>
      <c r="B420" s="140"/>
      <c r="C420" s="141"/>
      <c r="D420" s="142"/>
      <c r="E420" s="143"/>
      <c r="F420" s="142"/>
      <c r="G420" s="142"/>
      <c r="H420" s="142"/>
      <c r="I420" s="142"/>
      <c r="J420" s="144"/>
      <c r="K420" s="68"/>
    </row>
    <row r="421" spans="1:11" s="67" customFormat="1" ht="15.75" thickBot="1">
      <c r="A421" s="685"/>
      <c r="B421" s="686"/>
      <c r="C421" s="686"/>
      <c r="D421" s="686"/>
      <c r="E421" s="686"/>
      <c r="F421" s="82"/>
      <c r="G421" s="82"/>
      <c r="H421" s="82"/>
      <c r="I421" s="82"/>
      <c r="J421" s="83"/>
      <c r="K421" s="68"/>
    </row>
    <row r="422" spans="1:11" s="67" customFormat="1" ht="15.75" customHeight="1" thickBot="1">
      <c r="A422" s="683"/>
      <c r="B422" s="684"/>
      <c r="C422" s="684"/>
      <c r="D422" s="684"/>
      <c r="E422" s="684"/>
      <c r="F422" s="72"/>
      <c r="G422" s="72"/>
      <c r="H422" s="72"/>
      <c r="I422" s="72"/>
      <c r="J422" s="73"/>
      <c r="K422" s="68"/>
    </row>
    <row r="423" spans="1:11" s="67" customFormat="1">
      <c r="A423" s="145"/>
      <c r="B423" s="695"/>
      <c r="C423" s="695"/>
      <c r="D423" s="695"/>
      <c r="E423" s="695"/>
      <c r="F423" s="146"/>
      <c r="G423" s="146"/>
      <c r="H423" s="146"/>
      <c r="I423" s="146"/>
      <c r="J423" s="147"/>
      <c r="K423" s="68"/>
    </row>
    <row r="424" spans="1:11" s="67" customFormat="1">
      <c r="A424" s="80"/>
      <c r="B424" s="81"/>
      <c r="C424" s="76"/>
      <c r="D424" s="77"/>
      <c r="E424" s="78"/>
      <c r="F424" s="77"/>
      <c r="G424" s="77"/>
      <c r="H424" s="77"/>
      <c r="I424" s="77"/>
      <c r="J424" s="79"/>
      <c r="K424" s="68"/>
    </row>
    <row r="425" spans="1:11" s="67" customFormat="1" ht="15.75" thickBot="1">
      <c r="A425" s="139"/>
      <c r="B425" s="140"/>
      <c r="C425" s="141"/>
      <c r="D425" s="142"/>
      <c r="E425" s="143"/>
      <c r="F425" s="142"/>
      <c r="G425" s="142"/>
      <c r="H425" s="142"/>
      <c r="I425" s="142"/>
      <c r="J425" s="144"/>
      <c r="K425" s="68"/>
    </row>
    <row r="426" spans="1:11" s="67" customFormat="1" ht="15.75" thickBot="1">
      <c r="A426" s="685"/>
      <c r="B426" s="686"/>
      <c r="C426" s="686"/>
      <c r="D426" s="686"/>
      <c r="E426" s="686"/>
      <c r="F426" s="85"/>
      <c r="G426" s="85"/>
      <c r="H426" s="85"/>
      <c r="I426" s="85"/>
      <c r="J426" s="86"/>
      <c r="K426" s="68"/>
    </row>
    <row r="427" spans="1:11" s="67" customFormat="1" ht="15.75" customHeight="1" thickBot="1">
      <c r="A427" s="683"/>
      <c r="B427" s="684"/>
      <c r="C427" s="684"/>
      <c r="D427" s="684"/>
      <c r="E427" s="684"/>
      <c r="F427" s="72"/>
      <c r="G427" s="72"/>
      <c r="H427" s="72"/>
      <c r="I427" s="72"/>
      <c r="J427" s="73"/>
      <c r="K427" s="68"/>
    </row>
    <row r="428" spans="1:11" s="67" customFormat="1">
      <c r="A428" s="145"/>
      <c r="B428" s="695"/>
      <c r="C428" s="695"/>
      <c r="D428" s="695"/>
      <c r="E428" s="695"/>
      <c r="F428" s="148"/>
      <c r="G428" s="148"/>
      <c r="H428" s="148"/>
      <c r="I428" s="148"/>
      <c r="J428" s="149"/>
      <c r="K428" s="68"/>
    </row>
    <row r="429" spans="1:11" s="67" customFormat="1">
      <c r="A429" s="80"/>
      <c r="B429" s="81"/>
      <c r="C429" s="76"/>
      <c r="D429" s="77"/>
      <c r="E429" s="78"/>
      <c r="F429" s="77"/>
      <c r="G429" s="77"/>
      <c r="H429" s="77"/>
      <c r="I429" s="77"/>
      <c r="J429" s="79"/>
      <c r="K429" s="68"/>
    </row>
    <row r="430" spans="1:11" s="67" customFormat="1">
      <c r="A430" s="74"/>
      <c r="B430" s="75"/>
      <c r="C430" s="76"/>
      <c r="D430" s="77"/>
      <c r="E430" s="78"/>
      <c r="F430" s="77"/>
      <c r="G430" s="77"/>
      <c r="H430" s="77"/>
      <c r="I430" s="77"/>
      <c r="J430" s="79"/>
      <c r="K430" s="68"/>
    </row>
    <row r="431" spans="1:11" s="67" customFormat="1">
      <c r="A431" s="87"/>
      <c r="B431" s="696"/>
      <c r="C431" s="696"/>
      <c r="D431" s="696"/>
      <c r="E431" s="696"/>
      <c r="F431" s="88"/>
      <c r="G431" s="88"/>
      <c r="H431" s="88"/>
      <c r="I431" s="88"/>
      <c r="J431" s="89"/>
      <c r="K431" s="68"/>
    </row>
    <row r="432" spans="1:11" s="67" customFormat="1">
      <c r="A432" s="80"/>
      <c r="B432" s="81"/>
      <c r="C432" s="76"/>
      <c r="D432" s="77"/>
      <c r="E432" s="78"/>
      <c r="F432" s="77"/>
      <c r="G432" s="77"/>
      <c r="H432" s="77"/>
      <c r="I432" s="77"/>
      <c r="J432" s="79"/>
      <c r="K432" s="68"/>
    </row>
    <row r="433" spans="1:11" s="67" customFormat="1">
      <c r="A433" s="74"/>
      <c r="B433" s="75"/>
      <c r="C433" s="76"/>
      <c r="D433" s="77"/>
      <c r="E433" s="78"/>
      <c r="F433" s="77"/>
      <c r="G433" s="77"/>
      <c r="H433" s="77"/>
      <c r="I433" s="77"/>
      <c r="J433" s="79"/>
      <c r="K433" s="68"/>
    </row>
    <row r="434" spans="1:11" s="67" customFormat="1">
      <c r="A434" s="87"/>
      <c r="B434" s="696"/>
      <c r="C434" s="696"/>
      <c r="D434" s="696"/>
      <c r="E434" s="696"/>
      <c r="F434" s="88"/>
      <c r="G434" s="88"/>
      <c r="H434" s="88"/>
      <c r="I434" s="88"/>
      <c r="J434" s="89"/>
      <c r="K434" s="68"/>
    </row>
    <row r="435" spans="1:11" s="67" customFormat="1">
      <c r="A435" s="80"/>
      <c r="B435" s="81"/>
      <c r="C435" s="76"/>
      <c r="D435" s="77"/>
      <c r="E435" s="78"/>
      <c r="F435" s="77"/>
      <c r="G435" s="77"/>
      <c r="H435" s="77"/>
      <c r="I435" s="77"/>
      <c r="J435" s="79"/>
      <c r="K435" s="68"/>
    </row>
    <row r="436" spans="1:11" s="67" customFormat="1" ht="15.75" thickBot="1">
      <c r="A436" s="139"/>
      <c r="B436" s="140"/>
      <c r="C436" s="141"/>
      <c r="D436" s="142"/>
      <c r="E436" s="143"/>
      <c r="F436" s="142"/>
      <c r="G436" s="142"/>
      <c r="H436" s="142"/>
      <c r="I436" s="142"/>
      <c r="J436" s="144"/>
      <c r="K436" s="68"/>
    </row>
    <row r="437" spans="1:11" s="67" customFormat="1" ht="15.75" thickBot="1">
      <c r="A437" s="685"/>
      <c r="B437" s="686"/>
      <c r="C437" s="686"/>
      <c r="D437" s="686"/>
      <c r="E437" s="686"/>
      <c r="F437" s="62"/>
      <c r="G437" s="62"/>
      <c r="H437" s="62"/>
      <c r="I437" s="62"/>
      <c r="J437" s="63"/>
      <c r="K437" s="68"/>
    </row>
    <row r="438" spans="1:11" s="67" customFormat="1">
      <c r="A438" s="38"/>
      <c r="B438" s="39"/>
      <c r="C438" s="39"/>
      <c r="D438" s="39"/>
      <c r="E438" s="39"/>
      <c r="F438" s="39"/>
      <c r="G438" s="39"/>
      <c r="H438" s="39"/>
      <c r="I438" s="39"/>
      <c r="J438" s="39"/>
      <c r="K438" s="68"/>
    </row>
    <row r="439" spans="1:11" s="67" customFormat="1">
      <c r="A439" s="38"/>
      <c r="B439" s="40"/>
      <c r="C439" s="42"/>
      <c r="D439" s="42"/>
      <c r="E439" s="42"/>
      <c r="F439" s="42"/>
      <c r="G439" s="42"/>
      <c r="H439" s="42"/>
      <c r="I439" s="42"/>
      <c r="J439" s="42"/>
      <c r="K439" s="68"/>
    </row>
    <row r="440" spans="1:11" s="67" customFormat="1" ht="18.75">
      <c r="A440" s="42"/>
      <c r="B440" s="90"/>
      <c r="C440" s="42"/>
      <c r="D440" s="42"/>
      <c r="E440" s="42"/>
      <c r="F440" s="42"/>
      <c r="G440" s="42"/>
      <c r="H440" s="42"/>
      <c r="I440" s="42"/>
      <c r="J440" s="42"/>
      <c r="K440" s="68"/>
    </row>
    <row r="441" spans="1:11" s="67" customFormat="1" ht="18.75">
      <c r="A441" s="38"/>
      <c r="B441" s="90"/>
      <c r="C441" s="39"/>
      <c r="D441" s="39"/>
      <c r="E441" s="39"/>
      <c r="F441" s="39"/>
      <c r="G441" s="39"/>
      <c r="H441" s="39"/>
      <c r="I441" s="39"/>
      <c r="J441" s="39"/>
      <c r="K441" s="68"/>
    </row>
    <row r="442" spans="1:11" s="67" customFormat="1">
      <c r="A442" s="35"/>
      <c r="B442" s="93"/>
      <c r="C442" s="94"/>
      <c r="D442" s="95"/>
      <c r="E442" s="96"/>
      <c r="F442" s="96"/>
      <c r="G442" s="95"/>
      <c r="H442" s="95"/>
      <c r="I442" s="95"/>
      <c r="J442" s="95"/>
      <c r="K442" s="68"/>
    </row>
    <row r="443" spans="1:11" s="67" customFormat="1" ht="15" customHeight="1">
      <c r="A443" s="35"/>
      <c r="B443" s="93"/>
      <c r="C443" s="94"/>
      <c r="D443" s="95"/>
      <c r="E443" s="96"/>
      <c r="F443" s="96"/>
      <c r="G443" s="95"/>
      <c r="H443" s="95"/>
      <c r="I443" s="95"/>
      <c r="J443" s="95"/>
      <c r="K443" s="68"/>
    </row>
    <row r="444" spans="1:11" s="67" customFormat="1">
      <c r="A444" s="35"/>
      <c r="B444" s="93"/>
      <c r="C444" s="94"/>
      <c r="D444" s="95"/>
      <c r="E444" s="96"/>
      <c r="F444" s="95"/>
      <c r="G444" s="95"/>
      <c r="H444" s="95"/>
      <c r="I444" s="95"/>
      <c r="J444" s="95"/>
    </row>
    <row r="445" spans="1:11" s="67" customFormat="1" ht="15.75">
      <c r="A445" s="41"/>
      <c r="B445" s="41"/>
      <c r="C445" s="42"/>
      <c r="D445" s="42"/>
      <c r="E445" s="69"/>
      <c r="F445" s="42"/>
      <c r="G445" s="42"/>
      <c r="H445" s="42"/>
      <c r="I445" s="42"/>
      <c r="J445" s="42"/>
      <c r="K445" s="68"/>
    </row>
    <row r="446" spans="1:11" s="67" customFormat="1" ht="15.75">
      <c r="A446" s="41"/>
      <c r="B446" s="41"/>
      <c r="C446" s="44"/>
      <c r="D446" s="44"/>
      <c r="E446" s="44"/>
      <c r="F446" s="44"/>
      <c r="G446" s="44"/>
      <c r="H446" s="44"/>
      <c r="I446" s="44"/>
      <c r="J446" s="44"/>
      <c r="K446" s="68"/>
    </row>
    <row r="447" spans="1:11" s="67" customFormat="1" ht="15.75">
      <c r="A447" s="235"/>
      <c r="B447" s="41"/>
      <c r="C447" s="44"/>
      <c r="D447" s="44"/>
      <c r="E447" s="44"/>
      <c r="F447" s="44"/>
      <c r="G447" s="44"/>
      <c r="H447" s="44"/>
      <c r="I447" s="44"/>
      <c r="J447" s="44"/>
      <c r="K447" s="68"/>
    </row>
    <row r="448" spans="1:11" s="67" customFormat="1" ht="15.75">
      <c r="A448" s="41"/>
      <c r="B448" s="41"/>
      <c r="C448" s="44"/>
      <c r="D448" s="44"/>
      <c r="E448" s="44"/>
      <c r="F448" s="44"/>
      <c r="G448" s="44"/>
      <c r="H448" s="44"/>
      <c r="I448" s="44"/>
      <c r="J448" s="44"/>
      <c r="K448" s="68"/>
    </row>
    <row r="449" spans="1:11" s="67" customFormat="1" ht="15.75">
      <c r="A449" s="41"/>
      <c r="B449" s="41"/>
      <c r="C449" s="44"/>
      <c r="D449" s="44"/>
      <c r="E449" s="44"/>
      <c r="F449" s="44"/>
      <c r="G449" s="44"/>
      <c r="H449" s="44"/>
      <c r="I449" s="44"/>
      <c r="J449" s="44"/>
      <c r="K449" s="68"/>
    </row>
    <row r="450" spans="1:11" s="67" customFormat="1">
      <c r="A450" s="687"/>
      <c r="B450" s="687"/>
      <c r="C450" s="687"/>
      <c r="D450" s="687"/>
      <c r="E450" s="687"/>
      <c r="F450" s="687"/>
      <c r="G450" s="687"/>
      <c r="H450" s="687"/>
      <c r="I450" s="687"/>
      <c r="J450" s="687"/>
      <c r="K450" s="68"/>
    </row>
    <row r="451" spans="1:11" s="67" customFormat="1">
      <c r="A451" s="136"/>
      <c r="B451" s="136"/>
      <c r="C451" s="136"/>
      <c r="D451" s="136"/>
      <c r="E451" s="136"/>
      <c r="F451" s="136"/>
      <c r="G451" s="136"/>
      <c r="H451" s="136"/>
      <c r="I451" s="136"/>
      <c r="J451" s="136"/>
      <c r="K451" s="68"/>
    </row>
    <row r="452" spans="1:11" s="67" customFormat="1" ht="15.75" thickBot="1">
      <c r="A452" s="42"/>
      <c r="B452" s="46"/>
      <c r="C452" s="71"/>
      <c r="D452" s="71"/>
      <c r="E452" s="71"/>
      <c r="F452" s="33"/>
      <c r="G452" s="47"/>
      <c r="H452" s="48"/>
      <c r="I452" s="49"/>
      <c r="J452" s="50"/>
      <c r="K452" s="68"/>
    </row>
    <row r="453" spans="1:11" s="67" customFormat="1" ht="15.75" customHeight="1" thickBot="1">
      <c r="A453" s="688"/>
      <c r="B453" s="688"/>
      <c r="C453" s="688"/>
      <c r="D453" s="688"/>
      <c r="E453" s="688"/>
      <c r="F453" s="689"/>
      <c r="G453" s="689"/>
      <c r="H453" s="24"/>
      <c r="I453" s="689"/>
      <c r="J453" s="689"/>
      <c r="K453" s="68"/>
    </row>
    <row r="454" spans="1:11" s="67" customFormat="1" ht="15.75" thickBot="1">
      <c r="A454" s="688"/>
      <c r="B454" s="688"/>
      <c r="C454" s="688"/>
      <c r="D454" s="688"/>
      <c r="E454" s="688"/>
      <c r="F454" s="51"/>
      <c r="G454" s="51"/>
      <c r="H454" s="51"/>
      <c r="I454" s="51"/>
      <c r="J454" s="51"/>
      <c r="K454" s="68"/>
    </row>
    <row r="455" spans="1:11" s="67" customFormat="1" ht="15.75" thickBot="1">
      <c r="A455" s="3"/>
      <c r="B455" s="1"/>
      <c r="C455" s="1"/>
      <c r="D455" s="1"/>
      <c r="E455" s="1"/>
      <c r="F455" s="1"/>
      <c r="G455" s="1"/>
      <c r="H455" s="1"/>
      <c r="I455" s="1"/>
      <c r="J455" s="1"/>
      <c r="K455" s="68"/>
    </row>
    <row r="456" spans="1:11" s="67" customFormat="1" ht="15.75" customHeight="1" thickBot="1">
      <c r="A456" s="683"/>
      <c r="B456" s="684"/>
      <c r="C456" s="684"/>
      <c r="D456" s="684"/>
      <c r="E456" s="684"/>
      <c r="F456" s="72"/>
      <c r="G456" s="72"/>
      <c r="H456" s="72"/>
      <c r="I456" s="72"/>
      <c r="J456" s="73"/>
      <c r="K456" s="68"/>
    </row>
    <row r="457" spans="1:11" s="67" customFormat="1" ht="15" customHeight="1">
      <c r="A457" s="691"/>
      <c r="B457" s="692"/>
      <c r="C457" s="692"/>
      <c r="D457" s="692"/>
      <c r="E457" s="692"/>
      <c r="F457" s="137"/>
      <c r="G457" s="137"/>
      <c r="H457" s="137"/>
      <c r="I457" s="137"/>
      <c r="J457" s="138"/>
      <c r="K457" s="68"/>
    </row>
    <row r="458" spans="1:11" s="67" customFormat="1">
      <c r="A458" s="74"/>
      <c r="B458" s="75"/>
      <c r="C458" s="76"/>
      <c r="D458" s="77"/>
      <c r="E458" s="78"/>
      <c r="F458" s="77"/>
      <c r="G458" s="77"/>
      <c r="H458" s="77"/>
      <c r="I458" s="77"/>
      <c r="J458" s="79"/>
      <c r="K458" s="68"/>
    </row>
    <row r="459" spans="1:11" s="67" customFormat="1">
      <c r="A459" s="74"/>
      <c r="B459" s="75"/>
      <c r="C459" s="76"/>
      <c r="D459" s="77"/>
      <c r="E459" s="78"/>
      <c r="F459" s="77"/>
      <c r="G459" s="77"/>
      <c r="H459" s="77"/>
      <c r="I459" s="77"/>
      <c r="J459" s="79"/>
      <c r="K459" s="68"/>
    </row>
    <row r="460" spans="1:11" s="67" customFormat="1" ht="15" customHeight="1">
      <c r="A460" s="693"/>
      <c r="B460" s="694"/>
      <c r="C460" s="694"/>
      <c r="D460" s="694"/>
      <c r="E460" s="694"/>
      <c r="F460" s="56"/>
      <c r="G460" s="56"/>
      <c r="H460" s="56"/>
      <c r="I460" s="56"/>
      <c r="J460" s="57"/>
      <c r="K460" s="68"/>
    </row>
    <row r="461" spans="1:11" s="67" customFormat="1">
      <c r="A461" s="80"/>
      <c r="B461" s="81"/>
      <c r="C461" s="76"/>
      <c r="D461" s="77"/>
      <c r="E461" s="78"/>
      <c r="F461" s="77"/>
      <c r="G461" s="77"/>
      <c r="H461" s="77"/>
      <c r="I461" s="77"/>
      <c r="J461" s="79"/>
      <c r="K461" s="68"/>
    </row>
    <row r="462" spans="1:11" s="67" customFormat="1">
      <c r="A462" s="80"/>
      <c r="B462" s="81"/>
      <c r="C462" s="76"/>
      <c r="D462" s="77"/>
      <c r="E462" s="78"/>
      <c r="F462" s="77"/>
      <c r="G462" s="77"/>
      <c r="H462" s="77"/>
      <c r="I462" s="77"/>
      <c r="J462" s="79"/>
      <c r="K462" s="68"/>
    </row>
    <row r="463" spans="1:11" s="67" customFormat="1">
      <c r="A463" s="693"/>
      <c r="B463" s="694"/>
      <c r="C463" s="694"/>
      <c r="D463" s="694"/>
      <c r="E463" s="694"/>
      <c r="F463" s="56"/>
      <c r="G463" s="56"/>
      <c r="H463" s="56"/>
      <c r="I463" s="56"/>
      <c r="J463" s="57"/>
      <c r="K463" s="68"/>
    </row>
    <row r="464" spans="1:11" s="67" customFormat="1">
      <c r="A464" s="80"/>
      <c r="B464" s="81"/>
      <c r="C464" s="76"/>
      <c r="D464" s="77"/>
      <c r="E464" s="78"/>
      <c r="F464" s="77"/>
      <c r="G464" s="77"/>
      <c r="H464" s="77"/>
      <c r="I464" s="77"/>
      <c r="J464" s="79"/>
      <c r="K464" s="68"/>
    </row>
    <row r="465" spans="1:11" s="67" customFormat="1">
      <c r="A465" s="80"/>
      <c r="B465" s="81"/>
      <c r="C465" s="76"/>
      <c r="D465" s="77"/>
      <c r="E465" s="78"/>
      <c r="F465" s="77"/>
      <c r="G465" s="77"/>
      <c r="H465" s="77"/>
      <c r="I465" s="77"/>
      <c r="J465" s="79"/>
      <c r="K465" s="68"/>
    </row>
    <row r="466" spans="1:11" s="67" customFormat="1" ht="15" customHeight="1">
      <c r="A466" s="693"/>
      <c r="B466" s="694"/>
      <c r="C466" s="694"/>
      <c r="D466" s="694"/>
      <c r="E466" s="694"/>
      <c r="F466" s="56"/>
      <c r="G466" s="56"/>
      <c r="H466" s="56"/>
      <c r="I466" s="56"/>
      <c r="J466" s="57"/>
      <c r="K466" s="68"/>
    </row>
    <row r="467" spans="1:11" s="67" customFormat="1">
      <c r="A467" s="80"/>
      <c r="B467" s="75"/>
      <c r="C467" s="76"/>
      <c r="D467" s="77"/>
      <c r="E467" s="78"/>
      <c r="F467" s="77"/>
      <c r="G467" s="77"/>
      <c r="H467" s="77"/>
      <c r="I467" s="77"/>
      <c r="J467" s="79"/>
      <c r="K467" s="68"/>
    </row>
    <row r="468" spans="1:11" s="67" customFormat="1">
      <c r="A468" s="80"/>
      <c r="B468" s="75"/>
      <c r="C468" s="76"/>
      <c r="D468" s="77"/>
      <c r="E468" s="78"/>
      <c r="F468" s="77"/>
      <c r="G468" s="77"/>
      <c r="H468" s="77"/>
      <c r="I468" s="77"/>
      <c r="J468" s="79"/>
      <c r="K468" s="68"/>
    </row>
    <row r="469" spans="1:11" s="67" customFormat="1">
      <c r="A469" s="80"/>
      <c r="B469" s="75"/>
      <c r="C469" s="76"/>
      <c r="D469" s="77"/>
      <c r="E469" s="78"/>
      <c r="F469" s="77"/>
      <c r="G469" s="77"/>
      <c r="H469" s="77"/>
      <c r="I469" s="77"/>
      <c r="J469" s="79"/>
      <c r="K469" s="68"/>
    </row>
    <row r="470" spans="1:11" s="67" customFormat="1">
      <c r="A470" s="80"/>
      <c r="B470" s="75"/>
      <c r="C470" s="76"/>
      <c r="D470" s="77"/>
      <c r="E470" s="78"/>
      <c r="F470" s="77"/>
      <c r="G470" s="77"/>
      <c r="H470" s="77"/>
      <c r="I470" s="77"/>
      <c r="J470" s="79"/>
      <c r="K470" s="68"/>
    </row>
    <row r="471" spans="1:11" s="67" customFormat="1">
      <c r="A471" s="80"/>
      <c r="B471" s="75"/>
      <c r="C471" s="76"/>
      <c r="D471" s="77"/>
      <c r="E471" s="78"/>
      <c r="F471" s="77"/>
      <c r="G471" s="77"/>
      <c r="H471" s="77"/>
      <c r="I471" s="77"/>
      <c r="J471" s="79"/>
      <c r="K471" s="68"/>
    </row>
    <row r="472" spans="1:11" s="67" customFormat="1">
      <c r="A472" s="80"/>
      <c r="B472" s="75"/>
      <c r="C472" s="76"/>
      <c r="D472" s="77"/>
      <c r="E472" s="78"/>
      <c r="F472" s="77"/>
      <c r="G472" s="77"/>
      <c r="H472" s="77"/>
      <c r="I472" s="77"/>
      <c r="J472" s="79"/>
      <c r="K472" s="68"/>
    </row>
    <row r="473" spans="1:11" s="67" customFormat="1">
      <c r="A473" s="80"/>
      <c r="B473" s="75"/>
      <c r="C473" s="76"/>
      <c r="D473" s="77"/>
      <c r="E473" s="78"/>
      <c r="F473" s="77"/>
      <c r="G473" s="77"/>
      <c r="H473" s="77"/>
      <c r="I473" s="77"/>
      <c r="J473" s="79"/>
      <c r="K473" s="68"/>
    </row>
    <row r="474" spans="1:11" s="67" customFormat="1">
      <c r="A474" s="80"/>
      <c r="B474" s="75"/>
      <c r="C474" s="76"/>
      <c r="D474" s="77"/>
      <c r="E474" s="78"/>
      <c r="F474" s="77"/>
      <c r="G474" s="77"/>
      <c r="H474" s="77"/>
      <c r="I474" s="77"/>
      <c r="J474" s="79"/>
      <c r="K474" s="68"/>
    </row>
    <row r="475" spans="1:11" s="67" customFormat="1">
      <c r="A475" s="80"/>
      <c r="B475" s="75"/>
      <c r="C475" s="76"/>
      <c r="D475" s="77"/>
      <c r="E475" s="78"/>
      <c r="F475" s="77"/>
      <c r="G475" s="77"/>
      <c r="H475" s="77"/>
      <c r="I475" s="77"/>
      <c r="J475" s="79"/>
      <c r="K475" s="68"/>
    </row>
    <row r="476" spans="1:11" s="67" customFormat="1">
      <c r="A476" s="80"/>
      <c r="B476" s="75"/>
      <c r="C476" s="76"/>
      <c r="D476" s="77"/>
      <c r="E476" s="78"/>
      <c r="F476" s="77"/>
      <c r="G476" s="77"/>
      <c r="H476" s="77"/>
      <c r="I476" s="77"/>
      <c r="J476" s="79"/>
      <c r="K476" s="68"/>
    </row>
    <row r="477" spans="1:11" s="67" customFormat="1">
      <c r="A477" s="80"/>
      <c r="B477" s="75"/>
      <c r="C477" s="76"/>
      <c r="D477" s="77"/>
      <c r="E477" s="78"/>
      <c r="F477" s="77"/>
      <c r="G477" s="77"/>
      <c r="H477" s="77"/>
      <c r="I477" s="77"/>
      <c r="J477" s="79"/>
      <c r="K477" s="68"/>
    </row>
    <row r="478" spans="1:11" s="67" customFormat="1" ht="15" customHeight="1">
      <c r="A478" s="693"/>
      <c r="B478" s="694"/>
      <c r="C478" s="694"/>
      <c r="D478" s="694"/>
      <c r="E478" s="694"/>
      <c r="F478" s="56"/>
      <c r="G478" s="56"/>
      <c r="H478" s="56"/>
      <c r="I478" s="56"/>
      <c r="J478" s="57"/>
      <c r="K478" s="68"/>
    </row>
    <row r="479" spans="1:11" s="67" customFormat="1">
      <c r="A479" s="80"/>
      <c r="B479" s="81"/>
      <c r="C479" s="76"/>
      <c r="D479" s="77"/>
      <c r="E479" s="78"/>
      <c r="F479" s="77"/>
      <c r="G479" s="77"/>
      <c r="H479" s="77"/>
      <c r="I479" s="77"/>
      <c r="J479" s="79"/>
      <c r="K479" s="68"/>
    </row>
    <row r="480" spans="1:11" s="67" customFormat="1">
      <c r="A480" s="74"/>
      <c r="B480" s="75"/>
      <c r="C480" s="76"/>
      <c r="D480" s="77"/>
      <c r="E480" s="78"/>
      <c r="F480" s="77"/>
      <c r="G480" s="77"/>
      <c r="H480" s="77"/>
      <c r="I480" s="77"/>
      <c r="J480" s="79"/>
      <c r="K480" s="68"/>
    </row>
    <row r="481" spans="1:11" s="67" customFormat="1" ht="15" customHeight="1">
      <c r="A481" s="693"/>
      <c r="B481" s="694"/>
      <c r="C481" s="694"/>
      <c r="D481" s="694"/>
      <c r="E481" s="694"/>
      <c r="F481" s="56"/>
      <c r="G481" s="56"/>
      <c r="H481" s="56"/>
      <c r="I481" s="56"/>
      <c r="J481" s="57"/>
      <c r="K481" s="68"/>
    </row>
    <row r="482" spans="1:11" s="67" customFormat="1" ht="15" customHeight="1">
      <c r="A482" s="80"/>
      <c r="B482" s="81"/>
      <c r="C482" s="76"/>
      <c r="D482" s="77"/>
      <c r="E482" s="78"/>
      <c r="F482" s="77"/>
      <c r="G482" s="77"/>
      <c r="H482" s="77"/>
      <c r="I482" s="77"/>
      <c r="J482" s="79"/>
      <c r="K482" s="68"/>
    </row>
    <row r="483" spans="1:11" s="67" customFormat="1">
      <c r="A483" s="74"/>
      <c r="B483" s="75"/>
      <c r="C483" s="76"/>
      <c r="D483" s="77"/>
      <c r="E483" s="78"/>
      <c r="F483" s="77"/>
      <c r="G483" s="77"/>
      <c r="H483" s="77"/>
      <c r="I483" s="77"/>
      <c r="J483" s="79"/>
      <c r="K483" s="68"/>
    </row>
    <row r="484" spans="1:11" s="67" customFormat="1" ht="15" customHeight="1">
      <c r="A484" s="693"/>
      <c r="B484" s="694"/>
      <c r="C484" s="694"/>
      <c r="D484" s="694"/>
      <c r="E484" s="694"/>
      <c r="F484" s="56"/>
      <c r="G484" s="56"/>
      <c r="H484" s="56"/>
      <c r="I484" s="56"/>
      <c r="J484" s="57"/>
      <c r="K484" s="68"/>
    </row>
    <row r="485" spans="1:11" s="67" customFormat="1">
      <c r="A485" s="80"/>
      <c r="B485" s="81"/>
      <c r="C485" s="76"/>
      <c r="D485" s="77"/>
      <c r="E485" s="78"/>
      <c r="F485" s="77"/>
      <c r="G485" s="77"/>
      <c r="H485" s="77"/>
      <c r="I485" s="77"/>
      <c r="J485" s="79"/>
      <c r="K485" s="68"/>
    </row>
    <row r="486" spans="1:11" s="67" customFormat="1">
      <c r="A486" s="74"/>
      <c r="B486" s="75"/>
      <c r="C486" s="76"/>
      <c r="D486" s="77"/>
      <c r="E486" s="78"/>
      <c r="F486" s="77"/>
      <c r="G486" s="77"/>
      <c r="H486" s="77"/>
      <c r="I486" s="77"/>
      <c r="J486" s="79"/>
      <c r="K486" s="68"/>
    </row>
    <row r="487" spans="1:11" s="67" customFormat="1" ht="15" customHeight="1">
      <c r="A487" s="693"/>
      <c r="B487" s="694"/>
      <c r="C487" s="694"/>
      <c r="D487" s="694"/>
      <c r="E487" s="694"/>
      <c r="F487" s="56"/>
      <c r="G487" s="56"/>
      <c r="H487" s="56"/>
      <c r="I487" s="56"/>
      <c r="J487" s="57"/>
      <c r="K487" s="68"/>
    </row>
    <row r="488" spans="1:11" s="67" customFormat="1">
      <c r="A488" s="80"/>
      <c r="B488" s="81"/>
      <c r="C488" s="76"/>
      <c r="D488" s="77"/>
      <c r="E488" s="78"/>
      <c r="F488" s="77"/>
      <c r="G488" s="77"/>
      <c r="H488" s="77"/>
      <c r="I488" s="77"/>
      <c r="J488" s="79"/>
      <c r="K488" s="68"/>
    </row>
    <row r="489" spans="1:11" s="67" customFormat="1" ht="15.75" thickBot="1">
      <c r="A489" s="139"/>
      <c r="B489" s="140"/>
      <c r="C489" s="141"/>
      <c r="D489" s="142"/>
      <c r="E489" s="143"/>
      <c r="F489" s="142"/>
      <c r="G489" s="142"/>
      <c r="H489" s="142"/>
      <c r="I489" s="142"/>
      <c r="J489" s="144"/>
      <c r="K489" s="68"/>
    </row>
    <row r="490" spans="1:11" s="67" customFormat="1" ht="15" customHeight="1" thickBot="1">
      <c r="A490" s="685"/>
      <c r="B490" s="686"/>
      <c r="C490" s="686"/>
      <c r="D490" s="686"/>
      <c r="E490" s="686"/>
      <c r="F490" s="82"/>
      <c r="G490" s="82"/>
      <c r="H490" s="82"/>
      <c r="I490" s="82"/>
      <c r="J490" s="83"/>
      <c r="K490" s="68"/>
    </row>
    <row r="491" spans="1:11" s="67" customFormat="1" ht="15.75" customHeight="1" thickBot="1">
      <c r="A491" s="683"/>
      <c r="B491" s="684"/>
      <c r="C491" s="684"/>
      <c r="D491" s="684"/>
      <c r="E491" s="684"/>
      <c r="F491" s="72"/>
      <c r="G491" s="72"/>
      <c r="H491" s="72"/>
      <c r="I491" s="72"/>
      <c r="J491" s="73"/>
      <c r="K491" s="68"/>
    </row>
    <row r="492" spans="1:11" s="67" customFormat="1">
      <c r="A492" s="145"/>
      <c r="B492" s="695"/>
      <c r="C492" s="695"/>
      <c r="D492" s="695"/>
      <c r="E492" s="695"/>
      <c r="F492" s="146"/>
      <c r="G492" s="146"/>
      <c r="H492" s="146"/>
      <c r="I492" s="146"/>
      <c r="J492" s="147"/>
      <c r="K492" s="68"/>
    </row>
    <row r="493" spans="1:11" s="67" customFormat="1" ht="15" customHeight="1">
      <c r="A493" s="80"/>
      <c r="B493" s="81"/>
      <c r="C493" s="76"/>
      <c r="D493" s="77"/>
      <c r="E493" s="78"/>
      <c r="F493" s="77"/>
      <c r="G493" s="77"/>
      <c r="H493" s="77"/>
      <c r="I493" s="77"/>
      <c r="J493" s="79"/>
      <c r="K493" s="68"/>
    </row>
    <row r="494" spans="1:11" s="67" customFormat="1" ht="15.75" thickBot="1">
      <c r="A494" s="139"/>
      <c r="B494" s="140"/>
      <c r="C494" s="141"/>
      <c r="D494" s="142"/>
      <c r="E494" s="143"/>
      <c r="F494" s="142"/>
      <c r="G494" s="142"/>
      <c r="H494" s="142"/>
      <c r="I494" s="142"/>
      <c r="J494" s="144"/>
      <c r="K494" s="68"/>
    </row>
    <row r="495" spans="1:11" s="67" customFormat="1" ht="15.75" thickBot="1">
      <c r="A495" s="685"/>
      <c r="B495" s="686"/>
      <c r="C495" s="686"/>
      <c r="D495" s="686"/>
      <c r="E495" s="686"/>
      <c r="F495" s="85"/>
      <c r="G495" s="85"/>
      <c r="H495" s="85"/>
      <c r="I495" s="85"/>
      <c r="J495" s="86"/>
      <c r="K495" s="68"/>
    </row>
    <row r="496" spans="1:11" s="67" customFormat="1" ht="15.75" customHeight="1" thickBot="1">
      <c r="A496" s="683"/>
      <c r="B496" s="684"/>
      <c r="C496" s="684"/>
      <c r="D496" s="684"/>
      <c r="E496" s="684"/>
      <c r="F496" s="72"/>
      <c r="G496" s="72"/>
      <c r="H496" s="72"/>
      <c r="I496" s="72"/>
      <c r="J496" s="73"/>
      <c r="K496" s="68"/>
    </row>
    <row r="497" spans="1:11" s="67" customFormat="1">
      <c r="A497" s="145"/>
      <c r="B497" s="695"/>
      <c r="C497" s="695"/>
      <c r="D497" s="695"/>
      <c r="E497" s="695"/>
      <c r="F497" s="148"/>
      <c r="G497" s="148"/>
      <c r="H497" s="148"/>
      <c r="I497" s="148"/>
      <c r="J497" s="149"/>
      <c r="K497" s="68"/>
    </row>
    <row r="498" spans="1:11" s="67" customFormat="1">
      <c r="A498" s="80"/>
      <c r="B498" s="81"/>
      <c r="C498" s="76"/>
      <c r="D498" s="77"/>
      <c r="E498" s="78"/>
      <c r="F498" s="77"/>
      <c r="G498" s="77"/>
      <c r="H498" s="77"/>
      <c r="I498" s="77"/>
      <c r="J498" s="79"/>
      <c r="K498" s="68"/>
    </row>
    <row r="499" spans="1:11" s="67" customFormat="1" ht="15" customHeight="1">
      <c r="A499" s="74"/>
      <c r="B499" s="75"/>
      <c r="C499" s="76"/>
      <c r="D499" s="77"/>
      <c r="E499" s="78"/>
      <c r="F499" s="77"/>
      <c r="G499" s="77"/>
      <c r="H499" s="77"/>
      <c r="I499" s="77"/>
      <c r="J499" s="79"/>
      <c r="K499" s="68"/>
    </row>
    <row r="500" spans="1:11" s="67" customFormat="1">
      <c r="A500" s="87"/>
      <c r="B500" s="696"/>
      <c r="C500" s="696"/>
      <c r="D500" s="696"/>
      <c r="E500" s="696"/>
      <c r="F500" s="88"/>
      <c r="G500" s="88"/>
      <c r="H500" s="88"/>
      <c r="I500" s="88"/>
      <c r="J500" s="89"/>
      <c r="K500" s="68"/>
    </row>
    <row r="501" spans="1:11" s="67" customFormat="1">
      <c r="A501" s="80"/>
      <c r="B501" s="81"/>
      <c r="C501" s="76"/>
      <c r="D501" s="77"/>
      <c r="E501" s="78"/>
      <c r="F501" s="77"/>
      <c r="G501" s="77"/>
      <c r="H501" s="77"/>
      <c r="I501" s="77"/>
      <c r="J501" s="79"/>
      <c r="K501" s="68"/>
    </row>
    <row r="502" spans="1:11" s="67" customFormat="1">
      <c r="A502" s="74"/>
      <c r="B502" s="75"/>
      <c r="C502" s="76"/>
      <c r="D502" s="77"/>
      <c r="E502" s="78"/>
      <c r="F502" s="77"/>
      <c r="G502" s="77"/>
      <c r="H502" s="77"/>
      <c r="I502" s="77"/>
      <c r="J502" s="79"/>
      <c r="K502" s="68"/>
    </row>
    <row r="503" spans="1:11" s="67" customFormat="1" ht="15.75" customHeight="1">
      <c r="A503" s="87"/>
      <c r="B503" s="696"/>
      <c r="C503" s="696"/>
      <c r="D503" s="696"/>
      <c r="E503" s="696"/>
      <c r="F503" s="88"/>
      <c r="G503" s="88"/>
      <c r="H503" s="88"/>
      <c r="I503" s="88"/>
      <c r="J503" s="89"/>
      <c r="K503" s="68"/>
    </row>
    <row r="504" spans="1:11" s="67" customFormat="1" ht="15" customHeight="1">
      <c r="A504" s="80"/>
      <c r="B504" s="81"/>
      <c r="C504" s="76"/>
      <c r="D504" s="77"/>
      <c r="E504" s="78"/>
      <c r="F504" s="77"/>
      <c r="G504" s="77"/>
      <c r="H504" s="77"/>
      <c r="I504" s="77"/>
      <c r="J504" s="79"/>
      <c r="K504" s="68"/>
    </row>
    <row r="505" spans="1:11" s="67" customFormat="1" ht="15.75" thickBot="1">
      <c r="A505" s="139"/>
      <c r="B505" s="140"/>
      <c r="C505" s="141"/>
      <c r="D505" s="142"/>
      <c r="E505" s="143"/>
      <c r="F505" s="142"/>
      <c r="G505" s="142"/>
      <c r="H505" s="142"/>
      <c r="I505" s="142"/>
      <c r="J505" s="144"/>
      <c r="K505" s="68"/>
    </row>
    <row r="506" spans="1:11" s="67" customFormat="1" ht="15.75" thickBot="1">
      <c r="A506" s="685"/>
      <c r="B506" s="686"/>
      <c r="C506" s="686"/>
      <c r="D506" s="686"/>
      <c r="E506" s="686"/>
      <c r="F506" s="62"/>
      <c r="G506" s="62"/>
      <c r="H506" s="62"/>
      <c r="I506" s="62"/>
      <c r="J506" s="63"/>
      <c r="K506" s="68"/>
    </row>
    <row r="507" spans="1:11" s="67" customFormat="1">
      <c r="A507" s="38"/>
      <c r="B507" s="39"/>
      <c r="C507" s="39"/>
      <c r="D507" s="39"/>
      <c r="E507" s="39"/>
      <c r="F507" s="39"/>
      <c r="G507" s="39"/>
      <c r="H507" s="39"/>
      <c r="I507" s="39"/>
      <c r="J507" s="39"/>
      <c r="K507" s="68"/>
    </row>
    <row r="508" spans="1:11" s="67" customFormat="1" ht="15.75" customHeight="1">
      <c r="A508" s="38"/>
      <c r="B508" s="40"/>
      <c r="C508" s="42"/>
      <c r="D508" s="42"/>
      <c r="E508" s="42"/>
      <c r="F508" s="42"/>
      <c r="G508" s="42"/>
      <c r="H508" s="42"/>
      <c r="I508" s="42"/>
      <c r="J508" s="42"/>
      <c r="K508" s="68"/>
    </row>
    <row r="509" spans="1:11" s="67" customFormat="1" ht="18.75">
      <c r="A509" s="42"/>
      <c r="B509" s="90"/>
      <c r="C509" s="42"/>
      <c r="D509" s="42"/>
      <c r="E509" s="42"/>
      <c r="F509" s="42"/>
      <c r="G509" s="42"/>
      <c r="H509" s="42"/>
      <c r="I509" s="42"/>
      <c r="J509" s="42"/>
      <c r="K509" s="68"/>
    </row>
    <row r="510" spans="1:11" s="67" customFormat="1" ht="18.75">
      <c r="A510" s="38"/>
      <c r="B510" s="90"/>
      <c r="C510" s="39"/>
      <c r="D510" s="39"/>
      <c r="E510" s="39"/>
      <c r="F510" s="39"/>
      <c r="G510" s="39"/>
      <c r="H510" s="39"/>
      <c r="I510" s="39"/>
      <c r="J510" s="39"/>
      <c r="K510" s="68"/>
    </row>
    <row r="511" spans="1:11" s="67" customFormat="1">
      <c r="A511" s="35"/>
      <c r="B511" s="93"/>
      <c r="C511" s="94"/>
      <c r="D511" s="95"/>
      <c r="E511" s="96"/>
      <c r="F511" s="96"/>
      <c r="G511" s="95"/>
      <c r="H511" s="95"/>
      <c r="I511" s="95"/>
      <c r="J511" s="95"/>
      <c r="K511" s="68"/>
    </row>
    <row r="512" spans="1:11" s="67" customFormat="1">
      <c r="A512" s="35"/>
      <c r="B512" s="93"/>
      <c r="C512" s="94"/>
      <c r="D512" s="95"/>
      <c r="E512" s="96"/>
      <c r="F512" s="96"/>
      <c r="G512" s="95"/>
      <c r="H512" s="95"/>
      <c r="I512" s="95"/>
      <c r="J512" s="95"/>
      <c r="K512" s="68"/>
    </row>
    <row r="513" spans="1:11" s="67" customFormat="1">
      <c r="A513" s="35"/>
      <c r="B513" s="98"/>
      <c r="C513" s="94"/>
      <c r="D513" s="95"/>
      <c r="E513" s="96"/>
      <c r="F513" s="96"/>
      <c r="G513" s="95"/>
      <c r="H513" s="95"/>
      <c r="I513" s="95"/>
      <c r="J513" s="95"/>
    </row>
    <row r="514" spans="1:11" s="67" customFormat="1" ht="15.75">
      <c r="A514" s="41"/>
      <c r="B514" s="41"/>
      <c r="C514" s="42"/>
      <c r="D514" s="42"/>
      <c r="E514" s="69"/>
      <c r="F514" s="42"/>
      <c r="G514" s="42"/>
      <c r="H514" s="42"/>
      <c r="I514" s="42"/>
      <c r="J514" s="42"/>
      <c r="K514" s="68"/>
    </row>
    <row r="515" spans="1:11" s="67" customFormat="1" ht="15.75">
      <c r="A515" s="41"/>
      <c r="B515" s="41"/>
      <c r="C515" s="44"/>
      <c r="D515" s="44"/>
      <c r="E515" s="44"/>
      <c r="F515" s="44"/>
      <c r="G515" s="44"/>
      <c r="H515" s="44"/>
      <c r="I515" s="44"/>
      <c r="J515" s="44"/>
      <c r="K515" s="68"/>
    </row>
    <row r="516" spans="1:11" s="67" customFormat="1" ht="15.75">
      <c r="A516" s="235"/>
      <c r="B516" s="41"/>
      <c r="C516" s="44"/>
      <c r="D516" s="44"/>
      <c r="E516" s="44"/>
      <c r="F516" s="44"/>
      <c r="G516" s="44"/>
      <c r="H516" s="44"/>
      <c r="I516" s="44"/>
      <c r="J516" s="44"/>
      <c r="K516" s="68"/>
    </row>
    <row r="517" spans="1:11" s="67" customFormat="1" ht="15.75">
      <c r="A517" s="41"/>
      <c r="B517" s="41"/>
      <c r="C517" s="44"/>
      <c r="D517" s="44"/>
      <c r="E517" s="44"/>
      <c r="F517" s="44"/>
      <c r="G517" s="44"/>
      <c r="H517" s="44"/>
      <c r="I517" s="44"/>
      <c r="J517" s="44"/>
      <c r="K517" s="68"/>
    </row>
    <row r="518" spans="1:11" s="67" customFormat="1" ht="15.75">
      <c r="A518" s="41"/>
      <c r="B518" s="41"/>
      <c r="C518" s="44"/>
      <c r="D518" s="44"/>
      <c r="E518" s="44"/>
      <c r="F518" s="44"/>
      <c r="G518" s="44"/>
      <c r="H518" s="44"/>
      <c r="I518" s="44"/>
      <c r="J518" s="44"/>
      <c r="K518" s="68"/>
    </row>
    <row r="519" spans="1:11" s="67" customFormat="1">
      <c r="A519" s="687"/>
      <c r="B519" s="687"/>
      <c r="C519" s="687"/>
      <c r="D519" s="687"/>
      <c r="E519" s="687"/>
      <c r="F519" s="687"/>
      <c r="G519" s="687"/>
      <c r="H519" s="687"/>
      <c r="I519" s="687"/>
      <c r="J519" s="687"/>
      <c r="K519" s="68"/>
    </row>
    <row r="520" spans="1:11" s="67" customFormat="1">
      <c r="A520" s="136"/>
      <c r="B520" s="136"/>
      <c r="C520" s="136"/>
      <c r="D520" s="136"/>
      <c r="E520" s="136"/>
      <c r="F520" s="136"/>
      <c r="G520" s="136"/>
      <c r="H520" s="136"/>
      <c r="I520" s="136"/>
      <c r="J520" s="136"/>
      <c r="K520" s="68"/>
    </row>
    <row r="521" spans="1:11" s="67" customFormat="1" ht="15.75" thickBot="1">
      <c r="A521" s="42"/>
      <c r="B521" s="46"/>
      <c r="C521" s="71"/>
      <c r="D521" s="71"/>
      <c r="E521" s="71"/>
      <c r="F521" s="33"/>
      <c r="G521" s="47"/>
      <c r="H521" s="48"/>
      <c r="I521" s="49"/>
      <c r="J521" s="50"/>
      <c r="K521" s="68"/>
    </row>
    <row r="522" spans="1:11" ht="15.75" customHeight="1" thickBot="1">
      <c r="A522" s="688"/>
      <c r="B522" s="688"/>
      <c r="C522" s="688"/>
      <c r="D522" s="688"/>
      <c r="E522" s="688"/>
      <c r="F522" s="689"/>
      <c r="G522" s="689"/>
      <c r="H522" s="24"/>
      <c r="I522" s="689"/>
      <c r="J522" s="689"/>
    </row>
    <row r="523" spans="1:11" ht="15.75" thickBot="1">
      <c r="A523" s="688"/>
      <c r="B523" s="688"/>
      <c r="C523" s="688"/>
      <c r="D523" s="688"/>
      <c r="E523" s="688"/>
      <c r="F523" s="51"/>
      <c r="G523" s="51"/>
      <c r="H523" s="51"/>
      <c r="I523" s="51"/>
      <c r="J523" s="51"/>
    </row>
    <row r="524" spans="1:11" ht="15.75" thickBot="1">
      <c r="A524" s="3"/>
      <c r="B524" s="1"/>
      <c r="C524" s="1"/>
      <c r="D524" s="1"/>
      <c r="E524" s="1"/>
      <c r="F524" s="1"/>
      <c r="G524" s="1"/>
      <c r="H524" s="1"/>
      <c r="I524" s="1"/>
      <c r="J524" s="1"/>
    </row>
    <row r="525" spans="1:11" ht="15.75" customHeight="1" thickBot="1">
      <c r="A525" s="683"/>
      <c r="B525" s="684"/>
      <c r="C525" s="684"/>
      <c r="D525" s="684"/>
      <c r="E525" s="684"/>
      <c r="F525" s="72"/>
      <c r="G525" s="72"/>
      <c r="H525" s="72"/>
      <c r="I525" s="72"/>
      <c r="J525" s="73"/>
    </row>
    <row r="526" spans="1:11" ht="15" customHeight="1">
      <c r="A526" s="691"/>
      <c r="B526" s="692"/>
      <c r="C526" s="692"/>
      <c r="D526" s="692"/>
      <c r="E526" s="692"/>
      <c r="F526" s="137"/>
      <c r="G526" s="137"/>
      <c r="H526" s="137"/>
      <c r="I526" s="137"/>
      <c r="J526" s="138"/>
    </row>
    <row r="527" spans="1:11">
      <c r="A527" s="74"/>
      <c r="B527" s="75"/>
      <c r="C527" s="76"/>
      <c r="D527" s="77"/>
      <c r="E527" s="78"/>
      <c r="F527" s="77"/>
      <c r="G527" s="77"/>
      <c r="H527" s="77"/>
      <c r="I527" s="77"/>
      <c r="J527" s="79"/>
    </row>
    <row r="528" spans="1:11">
      <c r="A528" s="74"/>
      <c r="B528" s="75"/>
      <c r="C528" s="76"/>
      <c r="D528" s="77"/>
      <c r="E528" s="78"/>
      <c r="F528" s="77"/>
      <c r="G528" s="77"/>
      <c r="H528" s="77"/>
      <c r="I528" s="77"/>
      <c r="J528" s="79"/>
    </row>
    <row r="529" spans="1:10" ht="15" customHeight="1">
      <c r="A529" s="693"/>
      <c r="B529" s="694"/>
      <c r="C529" s="694"/>
      <c r="D529" s="694"/>
      <c r="E529" s="694"/>
      <c r="F529" s="56"/>
      <c r="G529" s="56"/>
      <c r="H529" s="56"/>
      <c r="I529" s="56"/>
      <c r="J529" s="57"/>
    </row>
    <row r="530" spans="1:10">
      <c r="A530" s="80"/>
      <c r="B530" s="81"/>
      <c r="C530" s="76"/>
      <c r="D530" s="77"/>
      <c r="E530" s="78"/>
      <c r="F530" s="77"/>
      <c r="G530" s="77"/>
      <c r="H530" s="77"/>
      <c r="I530" s="77"/>
      <c r="J530" s="79"/>
    </row>
    <row r="531" spans="1:10">
      <c r="A531" s="80"/>
      <c r="B531" s="81"/>
      <c r="C531" s="76"/>
      <c r="D531" s="77"/>
      <c r="E531" s="78"/>
      <c r="F531" s="77"/>
      <c r="G531" s="77"/>
      <c r="H531" s="77"/>
      <c r="I531" s="77"/>
      <c r="J531" s="79"/>
    </row>
    <row r="532" spans="1:10">
      <c r="A532" s="693"/>
      <c r="B532" s="694"/>
      <c r="C532" s="694"/>
      <c r="D532" s="694"/>
      <c r="E532" s="694"/>
      <c r="F532" s="56"/>
      <c r="G532" s="56"/>
      <c r="H532" s="56"/>
      <c r="I532" s="56"/>
      <c r="J532" s="57"/>
    </row>
    <row r="533" spans="1:10">
      <c r="A533" s="80"/>
      <c r="B533" s="81"/>
      <c r="C533" s="76"/>
      <c r="D533" s="77"/>
      <c r="E533" s="78"/>
      <c r="F533" s="77"/>
      <c r="G533" s="77"/>
      <c r="H533" s="77"/>
      <c r="I533" s="77"/>
      <c r="J533" s="79"/>
    </row>
    <row r="534" spans="1:10">
      <c r="A534" s="80"/>
      <c r="B534" s="81"/>
      <c r="C534" s="76"/>
      <c r="D534" s="77"/>
      <c r="E534" s="78"/>
      <c r="F534" s="77"/>
      <c r="G534" s="77"/>
      <c r="H534" s="77"/>
      <c r="I534" s="77"/>
      <c r="J534" s="79"/>
    </row>
    <row r="535" spans="1:10" ht="15" customHeight="1">
      <c r="A535" s="693"/>
      <c r="B535" s="694"/>
      <c r="C535" s="694"/>
      <c r="D535" s="694"/>
      <c r="E535" s="694"/>
      <c r="F535" s="56"/>
      <c r="G535" s="56"/>
      <c r="H535" s="56"/>
      <c r="I535" s="56"/>
      <c r="J535" s="57"/>
    </row>
    <row r="536" spans="1:10">
      <c r="A536" s="80"/>
      <c r="B536" s="75"/>
      <c r="C536" s="76"/>
      <c r="D536" s="77"/>
      <c r="E536" s="78"/>
      <c r="F536" s="77"/>
      <c r="G536" s="77"/>
      <c r="H536" s="77"/>
      <c r="I536" s="77"/>
      <c r="J536" s="79"/>
    </row>
    <row r="537" spans="1:10">
      <c r="A537" s="80"/>
      <c r="B537" s="75"/>
      <c r="C537" s="76"/>
      <c r="D537" s="77"/>
      <c r="E537" s="78"/>
      <c r="F537" s="77"/>
      <c r="G537" s="77"/>
      <c r="H537" s="77"/>
      <c r="I537" s="77"/>
      <c r="J537" s="79"/>
    </row>
    <row r="538" spans="1:10">
      <c r="A538" s="80"/>
      <c r="B538" s="75"/>
      <c r="C538" s="76"/>
      <c r="D538" s="77"/>
      <c r="E538" s="78"/>
      <c r="F538" s="77"/>
      <c r="G538" s="77"/>
      <c r="H538" s="77"/>
      <c r="I538" s="77"/>
      <c r="J538" s="79"/>
    </row>
    <row r="539" spans="1:10">
      <c r="A539" s="80"/>
      <c r="B539" s="75"/>
      <c r="C539" s="76"/>
      <c r="D539" s="77"/>
      <c r="E539" s="78"/>
      <c r="F539" s="77"/>
      <c r="G539" s="77"/>
      <c r="H539" s="77"/>
      <c r="I539" s="77"/>
      <c r="J539" s="79"/>
    </row>
    <row r="540" spans="1:10">
      <c r="A540" s="80"/>
      <c r="B540" s="75"/>
      <c r="C540" s="76"/>
      <c r="D540" s="77"/>
      <c r="E540" s="78"/>
      <c r="F540" s="77"/>
      <c r="G540" s="77"/>
      <c r="H540" s="77"/>
      <c r="I540" s="77"/>
      <c r="J540" s="79"/>
    </row>
    <row r="541" spans="1:10">
      <c r="A541" s="80"/>
      <c r="B541" s="75"/>
      <c r="C541" s="76"/>
      <c r="D541" s="77"/>
      <c r="E541" s="78"/>
      <c r="F541" s="77"/>
      <c r="G541" s="77"/>
      <c r="H541" s="77"/>
      <c r="I541" s="77"/>
      <c r="J541" s="79"/>
    </row>
    <row r="542" spans="1:10">
      <c r="A542" s="80"/>
      <c r="B542" s="75"/>
      <c r="C542" s="76"/>
      <c r="D542" s="77"/>
      <c r="E542" s="78"/>
      <c r="F542" s="77"/>
      <c r="G542" s="77"/>
      <c r="H542" s="77"/>
      <c r="I542" s="77"/>
      <c r="J542" s="79"/>
    </row>
    <row r="543" spans="1:10">
      <c r="A543" s="80"/>
      <c r="B543" s="75"/>
      <c r="C543" s="76"/>
      <c r="D543" s="77"/>
      <c r="E543" s="78"/>
      <c r="F543" s="77"/>
      <c r="G543" s="77"/>
      <c r="H543" s="77"/>
      <c r="I543" s="77"/>
      <c r="J543" s="79"/>
    </row>
    <row r="544" spans="1:10">
      <c r="A544" s="80"/>
      <c r="B544" s="75"/>
      <c r="C544" s="76"/>
      <c r="D544" s="77"/>
      <c r="E544" s="78"/>
      <c r="F544" s="77"/>
      <c r="G544" s="77"/>
      <c r="H544" s="77"/>
      <c r="I544" s="77"/>
      <c r="J544" s="79"/>
    </row>
    <row r="545" spans="1:10">
      <c r="A545" s="80"/>
      <c r="B545" s="75"/>
      <c r="C545" s="76"/>
      <c r="D545" s="77"/>
      <c r="E545" s="78"/>
      <c r="F545" s="77"/>
      <c r="G545" s="77"/>
      <c r="H545" s="77"/>
      <c r="I545" s="77"/>
      <c r="J545" s="79"/>
    </row>
    <row r="546" spans="1:10">
      <c r="A546" s="80"/>
      <c r="B546" s="75"/>
      <c r="C546" s="76"/>
      <c r="D546" s="77"/>
      <c r="E546" s="78"/>
      <c r="F546" s="77"/>
      <c r="G546" s="77"/>
      <c r="H546" s="77"/>
      <c r="I546" s="77"/>
      <c r="J546" s="79"/>
    </row>
    <row r="547" spans="1:10">
      <c r="A547" s="80"/>
      <c r="B547" s="75"/>
      <c r="C547" s="76"/>
      <c r="D547" s="77"/>
      <c r="E547" s="78"/>
      <c r="F547" s="77"/>
      <c r="G547" s="77"/>
      <c r="H547" s="77"/>
      <c r="I547" s="77"/>
      <c r="J547" s="79"/>
    </row>
    <row r="548" spans="1:10">
      <c r="A548" s="80"/>
      <c r="B548" s="75"/>
      <c r="C548" s="76"/>
      <c r="D548" s="77"/>
      <c r="E548" s="78"/>
      <c r="F548" s="77"/>
      <c r="G548" s="77"/>
      <c r="H548" s="77"/>
      <c r="I548" s="77"/>
      <c r="J548" s="79"/>
    </row>
    <row r="549" spans="1:10" ht="15" customHeight="1">
      <c r="A549" s="693"/>
      <c r="B549" s="694"/>
      <c r="C549" s="694"/>
      <c r="D549" s="694"/>
      <c r="E549" s="694"/>
      <c r="F549" s="56"/>
      <c r="G549" s="56"/>
      <c r="H549" s="56"/>
      <c r="I549" s="56"/>
      <c r="J549" s="57"/>
    </row>
    <row r="550" spans="1:10">
      <c r="A550" s="80"/>
      <c r="B550" s="81"/>
      <c r="C550" s="76"/>
      <c r="D550" s="77"/>
      <c r="E550" s="78"/>
      <c r="F550" s="77"/>
      <c r="G550" s="77"/>
      <c r="H550" s="77"/>
      <c r="I550" s="77"/>
      <c r="J550" s="79"/>
    </row>
    <row r="551" spans="1:10">
      <c r="A551" s="74"/>
      <c r="B551" s="75"/>
      <c r="C551" s="76"/>
      <c r="D551" s="77"/>
      <c r="E551" s="78"/>
      <c r="F551" s="77"/>
      <c r="G551" s="77"/>
      <c r="H551" s="77"/>
      <c r="I551" s="77"/>
      <c r="J551" s="79"/>
    </row>
    <row r="552" spans="1:10" ht="15" customHeight="1">
      <c r="A552" s="693"/>
      <c r="B552" s="694"/>
      <c r="C552" s="694"/>
      <c r="D552" s="694"/>
      <c r="E552" s="694"/>
      <c r="F552" s="56"/>
      <c r="G552" s="56"/>
      <c r="H552" s="56"/>
      <c r="I552" s="56"/>
      <c r="J552" s="57"/>
    </row>
    <row r="553" spans="1:10">
      <c r="A553" s="80"/>
      <c r="B553" s="81"/>
      <c r="C553" s="76"/>
      <c r="D553" s="77"/>
      <c r="E553" s="78"/>
      <c r="F553" s="77"/>
      <c r="G553" s="77"/>
      <c r="H553" s="77"/>
      <c r="I553" s="77"/>
      <c r="J553" s="79"/>
    </row>
    <row r="554" spans="1:10">
      <c r="A554" s="74"/>
      <c r="B554" s="75"/>
      <c r="C554" s="76"/>
      <c r="D554" s="77"/>
      <c r="E554" s="78"/>
      <c r="F554" s="77"/>
      <c r="G554" s="77"/>
      <c r="H554" s="77"/>
      <c r="I554" s="77"/>
      <c r="J554" s="79"/>
    </row>
    <row r="555" spans="1:10" ht="15" customHeight="1">
      <c r="A555" s="693"/>
      <c r="B555" s="694"/>
      <c r="C555" s="694"/>
      <c r="D555" s="694"/>
      <c r="E555" s="694"/>
      <c r="F555" s="56"/>
      <c r="G555" s="56"/>
      <c r="H555" s="56"/>
      <c r="I555" s="56"/>
      <c r="J555" s="57"/>
    </row>
    <row r="556" spans="1:10">
      <c r="A556" s="80"/>
      <c r="B556" s="81"/>
      <c r="C556" s="76"/>
      <c r="D556" s="77"/>
      <c r="E556" s="78"/>
      <c r="F556" s="77"/>
      <c r="G556" s="77"/>
      <c r="H556" s="77"/>
      <c r="I556" s="77"/>
      <c r="J556" s="79"/>
    </row>
    <row r="557" spans="1:10">
      <c r="A557" s="74"/>
      <c r="B557" s="75"/>
      <c r="C557" s="76"/>
      <c r="D557" s="77"/>
      <c r="E557" s="78"/>
      <c r="F557" s="77"/>
      <c r="G557" s="77"/>
      <c r="H557" s="77"/>
      <c r="I557" s="77"/>
      <c r="J557" s="79"/>
    </row>
    <row r="558" spans="1:10" ht="15" customHeight="1">
      <c r="A558" s="693"/>
      <c r="B558" s="694"/>
      <c r="C558" s="694"/>
      <c r="D558" s="694"/>
      <c r="E558" s="694"/>
      <c r="F558" s="56"/>
      <c r="G558" s="56"/>
      <c r="H558" s="56"/>
      <c r="I558" s="56"/>
      <c r="J558" s="57"/>
    </row>
    <row r="559" spans="1:10">
      <c r="A559" s="80"/>
      <c r="B559" s="81"/>
      <c r="C559" s="76"/>
      <c r="D559" s="77"/>
      <c r="E559" s="78"/>
      <c r="F559" s="77"/>
      <c r="G559" s="77"/>
      <c r="H559" s="77"/>
      <c r="I559" s="77"/>
      <c r="J559" s="79"/>
    </row>
    <row r="560" spans="1:10" ht="15.75" thickBot="1">
      <c r="A560" s="139"/>
      <c r="B560" s="140"/>
      <c r="C560" s="141"/>
      <c r="D560" s="142"/>
      <c r="E560" s="143"/>
      <c r="F560" s="142"/>
      <c r="G560" s="142"/>
      <c r="H560" s="142"/>
      <c r="I560" s="142"/>
      <c r="J560" s="144"/>
    </row>
    <row r="561" spans="1:10" ht="15.75" thickBot="1">
      <c r="A561" s="685"/>
      <c r="B561" s="686"/>
      <c r="C561" s="686"/>
      <c r="D561" s="686"/>
      <c r="E561" s="686"/>
      <c r="F561" s="82"/>
      <c r="G561" s="82"/>
      <c r="H561" s="82"/>
      <c r="I561" s="82"/>
      <c r="J561" s="83"/>
    </row>
    <row r="562" spans="1:10" ht="15.75" customHeight="1" thickBot="1">
      <c r="A562" s="683"/>
      <c r="B562" s="684"/>
      <c r="C562" s="684"/>
      <c r="D562" s="684"/>
      <c r="E562" s="684"/>
      <c r="F562" s="72"/>
      <c r="G562" s="72"/>
      <c r="H562" s="72"/>
      <c r="I562" s="72"/>
      <c r="J562" s="73"/>
    </row>
    <row r="563" spans="1:10">
      <c r="A563" s="145"/>
      <c r="B563" s="695"/>
      <c r="C563" s="695"/>
      <c r="D563" s="695"/>
      <c r="E563" s="695"/>
      <c r="F563" s="146"/>
      <c r="G563" s="146"/>
      <c r="H563" s="146"/>
      <c r="I563" s="146"/>
      <c r="J563" s="147"/>
    </row>
    <row r="564" spans="1:10">
      <c r="A564" s="80"/>
      <c r="B564" s="81"/>
      <c r="C564" s="76"/>
      <c r="D564" s="77"/>
      <c r="E564" s="78"/>
      <c r="F564" s="77"/>
      <c r="G564" s="77"/>
      <c r="H564" s="77"/>
      <c r="I564" s="77"/>
      <c r="J564" s="79"/>
    </row>
    <row r="565" spans="1:10" ht="15.75" thickBot="1">
      <c r="A565" s="139"/>
      <c r="B565" s="140"/>
      <c r="C565" s="141"/>
      <c r="D565" s="142"/>
      <c r="E565" s="143"/>
      <c r="F565" s="142"/>
      <c r="G565" s="142"/>
      <c r="H565" s="142"/>
      <c r="I565" s="142"/>
      <c r="J565" s="144"/>
    </row>
    <row r="566" spans="1:10" ht="15.75" thickBot="1">
      <c r="A566" s="685"/>
      <c r="B566" s="686"/>
      <c r="C566" s="686"/>
      <c r="D566" s="686"/>
      <c r="E566" s="686"/>
      <c r="F566" s="85"/>
      <c r="G566" s="85"/>
      <c r="H566" s="85"/>
      <c r="I566" s="85"/>
      <c r="J566" s="86"/>
    </row>
    <row r="567" spans="1:10" ht="15.75" customHeight="1" thickBot="1">
      <c r="A567" s="683"/>
      <c r="B567" s="684"/>
      <c r="C567" s="684"/>
      <c r="D567" s="684"/>
      <c r="E567" s="684"/>
      <c r="F567" s="72"/>
      <c r="G567" s="72"/>
      <c r="H567" s="72"/>
      <c r="I567" s="72"/>
      <c r="J567" s="73"/>
    </row>
    <row r="568" spans="1:10">
      <c r="A568" s="145"/>
      <c r="B568" s="695"/>
      <c r="C568" s="695"/>
      <c r="D568" s="695"/>
      <c r="E568" s="695"/>
      <c r="F568" s="148"/>
      <c r="G568" s="148"/>
      <c r="H568" s="148"/>
      <c r="I568" s="148"/>
      <c r="J568" s="149"/>
    </row>
    <row r="569" spans="1:10">
      <c r="A569" s="80"/>
      <c r="B569" s="81"/>
      <c r="C569" s="76"/>
      <c r="D569" s="77"/>
      <c r="E569" s="78"/>
      <c r="F569" s="77"/>
      <c r="G569" s="77"/>
      <c r="H569" s="77"/>
      <c r="I569" s="77"/>
      <c r="J569" s="79"/>
    </row>
    <row r="570" spans="1:10">
      <c r="A570" s="74"/>
      <c r="B570" s="75"/>
      <c r="C570" s="76"/>
      <c r="D570" s="77"/>
      <c r="E570" s="78"/>
      <c r="F570" s="77"/>
      <c r="G570" s="77"/>
      <c r="H570" s="77"/>
      <c r="I570" s="77"/>
      <c r="J570" s="79"/>
    </row>
    <row r="571" spans="1:10">
      <c r="A571" s="87"/>
      <c r="B571" s="696"/>
      <c r="C571" s="696"/>
      <c r="D571" s="696"/>
      <c r="E571" s="696"/>
      <c r="F571" s="88"/>
      <c r="G571" s="88"/>
      <c r="H571" s="88"/>
      <c r="I571" s="88"/>
      <c r="J571" s="89"/>
    </row>
    <row r="572" spans="1:10">
      <c r="A572" s="80"/>
      <c r="B572" s="81"/>
      <c r="C572" s="76"/>
      <c r="D572" s="77"/>
      <c r="E572" s="78"/>
      <c r="F572" s="77"/>
      <c r="G572" s="77"/>
      <c r="H572" s="77"/>
      <c r="I572" s="77"/>
      <c r="J572" s="79"/>
    </row>
    <row r="573" spans="1:10">
      <c r="A573" s="74"/>
      <c r="B573" s="75"/>
      <c r="C573" s="76"/>
      <c r="D573" s="77"/>
      <c r="E573" s="78"/>
      <c r="F573" s="77"/>
      <c r="G573" s="77"/>
      <c r="H573" s="77"/>
      <c r="I573" s="77"/>
      <c r="J573" s="79"/>
    </row>
    <row r="574" spans="1:10">
      <c r="A574" s="87"/>
      <c r="B574" s="696"/>
      <c r="C574" s="696"/>
      <c r="D574" s="696"/>
      <c r="E574" s="696"/>
      <c r="F574" s="88"/>
      <c r="G574" s="88"/>
      <c r="H574" s="88"/>
      <c r="I574" s="88"/>
      <c r="J574" s="89"/>
    </row>
    <row r="575" spans="1:10">
      <c r="A575" s="80"/>
      <c r="B575" s="81"/>
      <c r="C575" s="76"/>
      <c r="D575" s="77"/>
      <c r="E575" s="78"/>
      <c r="F575" s="77"/>
      <c r="G575" s="77"/>
      <c r="H575" s="77"/>
      <c r="I575" s="77"/>
      <c r="J575" s="79"/>
    </row>
    <row r="576" spans="1:10" ht="15.75" thickBot="1">
      <c r="A576" s="139"/>
      <c r="B576" s="140"/>
      <c r="C576" s="141"/>
      <c r="D576" s="142"/>
      <c r="E576" s="143"/>
      <c r="F576" s="142"/>
      <c r="G576" s="142"/>
      <c r="H576" s="142"/>
      <c r="I576" s="142"/>
      <c r="J576" s="144"/>
    </row>
    <row r="577" spans="1:11" ht="15.75" thickBot="1">
      <c r="A577" s="685"/>
      <c r="B577" s="686"/>
      <c r="C577" s="686"/>
      <c r="D577" s="686"/>
      <c r="E577" s="686"/>
      <c r="F577" s="62"/>
      <c r="G577" s="62"/>
      <c r="H577" s="62"/>
      <c r="I577" s="62"/>
      <c r="J577" s="63"/>
    </row>
    <row r="578" spans="1:11">
      <c r="A578" s="38"/>
      <c r="B578" s="39"/>
      <c r="C578" s="39"/>
      <c r="D578" s="39"/>
      <c r="E578" s="39"/>
      <c r="F578" s="39"/>
      <c r="G578" s="39"/>
      <c r="H578" s="39"/>
      <c r="I578" s="39"/>
      <c r="J578" s="39"/>
    </row>
    <row r="579" spans="1:11">
      <c r="A579" s="38"/>
      <c r="C579" s="42"/>
      <c r="D579" s="42"/>
      <c r="E579" s="42"/>
      <c r="F579" s="42"/>
      <c r="G579" s="42"/>
      <c r="H579" s="42"/>
      <c r="I579" s="42"/>
      <c r="J579" s="42"/>
    </row>
    <row r="580" spans="1:11" ht="18.75">
      <c r="A580" s="42"/>
      <c r="B580" s="90"/>
      <c r="C580" s="42"/>
      <c r="D580" s="42"/>
      <c r="E580" s="42"/>
      <c r="F580" s="42"/>
      <c r="G580" s="42"/>
      <c r="H580" s="42"/>
      <c r="I580" s="42"/>
      <c r="J580" s="42"/>
    </row>
    <row r="581" spans="1:11" ht="18.75">
      <c r="A581" s="38"/>
      <c r="B581" s="90"/>
      <c r="C581" s="39"/>
      <c r="D581" s="39"/>
      <c r="E581" s="39"/>
      <c r="F581" s="39"/>
      <c r="G581" s="39"/>
      <c r="H581" s="39"/>
      <c r="I581" s="39"/>
      <c r="J581" s="39"/>
    </row>
    <row r="582" spans="1:11">
      <c r="A582" s="35"/>
      <c r="B582" s="93"/>
      <c r="C582" s="94"/>
      <c r="D582" s="95"/>
      <c r="E582" s="96"/>
      <c r="F582" s="96"/>
      <c r="G582" s="95"/>
      <c r="H582" s="95"/>
      <c r="I582" s="95"/>
      <c r="J582" s="95"/>
    </row>
    <row r="583" spans="1:11">
      <c r="A583" s="35"/>
      <c r="B583" s="93"/>
      <c r="C583" s="94"/>
      <c r="D583" s="95"/>
      <c r="E583" s="96"/>
      <c r="F583" s="96"/>
      <c r="G583" s="95"/>
      <c r="H583" s="95"/>
      <c r="I583" s="95"/>
      <c r="J583" s="95"/>
    </row>
    <row r="584" spans="1:11">
      <c r="A584" s="35"/>
      <c r="B584" s="98"/>
      <c r="C584" s="94"/>
      <c r="D584" s="95"/>
      <c r="E584" s="96"/>
      <c r="F584" s="96"/>
      <c r="G584" s="95"/>
      <c r="H584" s="95"/>
      <c r="I584" s="95"/>
      <c r="J584" s="95"/>
      <c r="K584" s="67"/>
    </row>
    <row r="585" spans="1:11" ht="15.75">
      <c r="A585" s="41"/>
      <c r="B585" s="41"/>
      <c r="C585" s="42"/>
      <c r="D585" s="42"/>
      <c r="E585" s="69"/>
      <c r="F585" s="42"/>
      <c r="G585" s="42"/>
      <c r="H585" s="42"/>
      <c r="I585" s="42"/>
      <c r="J585" s="42"/>
    </row>
    <row r="586" spans="1:11" ht="15.75">
      <c r="A586" s="41"/>
      <c r="B586" s="41"/>
      <c r="C586" s="44"/>
      <c r="D586" s="44"/>
      <c r="E586" s="44"/>
      <c r="F586" s="44"/>
      <c r="G586" s="44"/>
      <c r="H586" s="44"/>
      <c r="I586" s="44"/>
      <c r="J586" s="44"/>
    </row>
    <row r="587" spans="1:11" ht="15.75">
      <c r="A587" s="235"/>
      <c r="B587" s="41"/>
      <c r="C587" s="44"/>
      <c r="D587" s="44"/>
      <c r="E587" s="44"/>
      <c r="F587" s="44"/>
      <c r="G587" s="44"/>
      <c r="H587" s="44"/>
      <c r="I587" s="44"/>
      <c r="J587" s="44"/>
    </row>
    <row r="588" spans="1:11" ht="15.75">
      <c r="A588" s="235"/>
      <c r="B588" s="41"/>
      <c r="C588" s="44"/>
      <c r="D588" s="44"/>
      <c r="E588" s="44"/>
      <c r="F588" s="44"/>
      <c r="G588" s="44"/>
      <c r="H588" s="44"/>
      <c r="I588" s="44"/>
      <c r="J588" s="44"/>
    </row>
    <row r="589" spans="1:11" ht="15.75">
      <c r="A589" s="41"/>
      <c r="B589" s="41"/>
      <c r="C589" s="44"/>
      <c r="D589" s="44"/>
      <c r="E589" s="44"/>
      <c r="F589" s="44"/>
      <c r="G589" s="44"/>
      <c r="H589" s="44"/>
      <c r="I589" s="44"/>
      <c r="J589" s="44"/>
    </row>
    <row r="590" spans="1:11">
      <c r="A590" s="687"/>
      <c r="B590" s="687"/>
      <c r="C590" s="687"/>
      <c r="D590" s="687"/>
      <c r="E590" s="687"/>
      <c r="F590" s="687"/>
      <c r="G590" s="687"/>
      <c r="H590" s="687"/>
      <c r="I590" s="687"/>
      <c r="J590" s="687"/>
    </row>
    <row r="591" spans="1:11">
      <c r="A591" s="136"/>
      <c r="B591" s="136"/>
      <c r="C591" s="136"/>
      <c r="D591" s="136"/>
      <c r="E591" s="136"/>
      <c r="F591" s="136"/>
      <c r="G591" s="136"/>
      <c r="H591" s="136"/>
      <c r="I591" s="136"/>
      <c r="J591" s="136"/>
    </row>
    <row r="592" spans="1:11" ht="15.75" thickBot="1">
      <c r="A592" s="42"/>
      <c r="B592" s="46"/>
      <c r="C592" s="71"/>
      <c r="D592" s="71"/>
      <c r="E592" s="71"/>
      <c r="F592" s="33"/>
      <c r="G592" s="47"/>
      <c r="H592" s="48"/>
      <c r="I592" s="49"/>
      <c r="J592" s="50"/>
    </row>
    <row r="593" spans="1:10" ht="15.75" customHeight="1" thickBot="1">
      <c r="A593" s="688"/>
      <c r="B593" s="688"/>
      <c r="C593" s="688"/>
      <c r="D593" s="688"/>
      <c r="E593" s="688"/>
      <c r="F593" s="689"/>
      <c r="G593" s="689"/>
      <c r="H593" s="24"/>
      <c r="I593" s="689"/>
      <c r="J593" s="689"/>
    </row>
    <row r="594" spans="1:10" ht="15.75" thickBot="1">
      <c r="A594" s="688"/>
      <c r="B594" s="688"/>
      <c r="C594" s="688"/>
      <c r="D594" s="688"/>
      <c r="E594" s="688"/>
      <c r="F594" s="51"/>
      <c r="G594" s="51"/>
      <c r="H594" s="51"/>
      <c r="I594" s="51"/>
      <c r="J594" s="51"/>
    </row>
    <row r="595" spans="1:10" ht="15.75" thickBot="1">
      <c r="A595" s="3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5.75" customHeight="1" thickBot="1">
      <c r="A596" s="683"/>
      <c r="B596" s="684"/>
      <c r="C596" s="684"/>
      <c r="D596" s="684"/>
      <c r="E596" s="684"/>
      <c r="F596" s="72"/>
      <c r="G596" s="72"/>
      <c r="H596" s="72"/>
      <c r="I596" s="72"/>
      <c r="J596" s="73"/>
    </row>
    <row r="597" spans="1:10" ht="15" customHeight="1">
      <c r="A597" s="691"/>
      <c r="B597" s="692"/>
      <c r="C597" s="692"/>
      <c r="D597" s="692"/>
      <c r="E597" s="692"/>
      <c r="F597" s="137"/>
      <c r="G597" s="137"/>
      <c r="H597" s="137"/>
      <c r="I597" s="137"/>
      <c r="J597" s="138"/>
    </row>
    <row r="598" spans="1:10">
      <c r="A598" s="74"/>
      <c r="B598" s="75"/>
      <c r="C598" s="76"/>
      <c r="D598" s="77"/>
      <c r="E598" s="78"/>
      <c r="F598" s="77"/>
      <c r="G598" s="77"/>
      <c r="H598" s="77"/>
      <c r="I598" s="77"/>
      <c r="J598" s="79"/>
    </row>
    <row r="599" spans="1:10">
      <c r="A599" s="74"/>
      <c r="B599" s="75"/>
      <c r="C599" s="76"/>
      <c r="D599" s="77"/>
      <c r="E599" s="78"/>
      <c r="F599" s="77"/>
      <c r="G599" s="77"/>
      <c r="H599" s="77"/>
      <c r="I599" s="77"/>
      <c r="J599" s="79"/>
    </row>
    <row r="600" spans="1:10" ht="15" customHeight="1">
      <c r="A600" s="693"/>
      <c r="B600" s="694"/>
      <c r="C600" s="694"/>
      <c r="D600" s="694"/>
      <c r="E600" s="694"/>
      <c r="F600" s="56"/>
      <c r="G600" s="56"/>
      <c r="H600" s="56"/>
      <c r="I600" s="56"/>
      <c r="J600" s="57"/>
    </row>
    <row r="601" spans="1:10">
      <c r="A601" s="80"/>
      <c r="B601" s="81"/>
      <c r="C601" s="76"/>
      <c r="D601" s="77"/>
      <c r="E601" s="78"/>
      <c r="F601" s="77"/>
      <c r="G601" s="77"/>
      <c r="H601" s="77"/>
      <c r="I601" s="77"/>
      <c r="J601" s="79"/>
    </row>
    <row r="602" spans="1:10">
      <c r="A602" s="80"/>
      <c r="B602" s="81"/>
      <c r="C602" s="76"/>
      <c r="D602" s="77"/>
      <c r="E602" s="78"/>
      <c r="F602" s="77"/>
      <c r="G602" s="77"/>
      <c r="H602" s="77"/>
      <c r="I602" s="77"/>
      <c r="J602" s="79"/>
    </row>
    <row r="603" spans="1:10">
      <c r="A603" s="693"/>
      <c r="B603" s="694"/>
      <c r="C603" s="694"/>
      <c r="D603" s="694"/>
      <c r="E603" s="694"/>
      <c r="F603" s="56"/>
      <c r="G603" s="56"/>
      <c r="H603" s="56"/>
      <c r="I603" s="56"/>
      <c r="J603" s="57"/>
    </row>
    <row r="604" spans="1:10">
      <c r="A604" s="80"/>
      <c r="B604" s="81"/>
      <c r="C604" s="76"/>
      <c r="D604" s="77"/>
      <c r="E604" s="78"/>
      <c r="F604" s="77"/>
      <c r="G604" s="77"/>
      <c r="H604" s="77"/>
      <c r="I604" s="77"/>
      <c r="J604" s="79"/>
    </row>
    <row r="605" spans="1:10">
      <c r="A605" s="80"/>
      <c r="B605" s="81"/>
      <c r="C605" s="76"/>
      <c r="D605" s="77"/>
      <c r="E605" s="78"/>
      <c r="F605" s="77"/>
      <c r="G605" s="77"/>
      <c r="H605" s="77"/>
      <c r="I605" s="77"/>
      <c r="J605" s="79"/>
    </row>
    <row r="606" spans="1:10" ht="15" customHeight="1">
      <c r="A606" s="693"/>
      <c r="B606" s="694"/>
      <c r="C606" s="694"/>
      <c r="D606" s="694"/>
      <c r="E606" s="694"/>
      <c r="F606" s="56"/>
      <c r="G606" s="56"/>
      <c r="H606" s="56"/>
      <c r="I606" s="56"/>
      <c r="J606" s="57"/>
    </row>
    <row r="607" spans="1:10">
      <c r="A607" s="80"/>
      <c r="B607" s="75"/>
      <c r="C607" s="76"/>
      <c r="D607" s="77"/>
      <c r="E607" s="78"/>
      <c r="F607" s="77"/>
      <c r="G607" s="77"/>
      <c r="H607" s="77"/>
      <c r="I607" s="77"/>
      <c r="J607" s="79"/>
    </row>
    <row r="608" spans="1:10">
      <c r="A608" s="80"/>
      <c r="B608" s="75"/>
      <c r="C608" s="76"/>
      <c r="D608" s="77"/>
      <c r="E608" s="78"/>
      <c r="F608" s="77"/>
      <c r="G608" s="77"/>
      <c r="H608" s="77"/>
      <c r="I608" s="77"/>
      <c r="J608" s="79"/>
    </row>
    <row r="609" spans="1:10">
      <c r="A609" s="80"/>
      <c r="B609" s="75"/>
      <c r="C609" s="76"/>
      <c r="D609" s="77"/>
      <c r="E609" s="78"/>
      <c r="F609" s="77"/>
      <c r="G609" s="77"/>
      <c r="H609" s="77"/>
      <c r="I609" s="77"/>
      <c r="J609" s="79"/>
    </row>
    <row r="610" spans="1:10">
      <c r="A610" s="80"/>
      <c r="B610" s="75"/>
      <c r="C610" s="76"/>
      <c r="D610" s="77"/>
      <c r="E610" s="78"/>
      <c r="F610" s="77"/>
      <c r="G610" s="77"/>
      <c r="H610" s="77"/>
      <c r="I610" s="77"/>
      <c r="J610" s="79"/>
    </row>
    <row r="611" spans="1:10">
      <c r="A611" s="80"/>
      <c r="B611" s="75"/>
      <c r="C611" s="76"/>
      <c r="D611" s="77"/>
      <c r="E611" s="78"/>
      <c r="F611" s="77"/>
      <c r="G611" s="77"/>
      <c r="H611" s="77"/>
      <c r="I611" s="77"/>
      <c r="J611" s="79"/>
    </row>
    <row r="612" spans="1:10">
      <c r="A612" s="80"/>
      <c r="B612" s="75"/>
      <c r="C612" s="76"/>
      <c r="D612" s="77"/>
      <c r="E612" s="78"/>
      <c r="F612" s="77"/>
      <c r="G612" s="77"/>
      <c r="H612" s="77"/>
      <c r="I612" s="77"/>
      <c r="J612" s="79"/>
    </row>
    <row r="613" spans="1:10">
      <c r="A613" s="80"/>
      <c r="B613" s="75"/>
      <c r="C613" s="76"/>
      <c r="D613" s="77"/>
      <c r="E613" s="78"/>
      <c r="F613" s="77"/>
      <c r="G613" s="77"/>
      <c r="H613" s="77"/>
      <c r="I613" s="77"/>
      <c r="J613" s="79"/>
    </row>
    <row r="614" spans="1:10">
      <c r="A614" s="80"/>
      <c r="B614" s="75"/>
      <c r="C614" s="76"/>
      <c r="D614" s="77"/>
      <c r="E614" s="78"/>
      <c r="F614" s="77"/>
      <c r="G614" s="77"/>
      <c r="H614" s="77"/>
      <c r="I614" s="77"/>
      <c r="J614" s="79"/>
    </row>
    <row r="615" spans="1:10">
      <c r="A615" s="80"/>
      <c r="B615" s="75"/>
      <c r="C615" s="76"/>
      <c r="D615" s="77"/>
      <c r="E615" s="78"/>
      <c r="F615" s="77"/>
      <c r="G615" s="77"/>
      <c r="H615" s="77"/>
      <c r="I615" s="77"/>
      <c r="J615" s="79"/>
    </row>
    <row r="616" spans="1:10">
      <c r="A616" s="80"/>
      <c r="B616" s="75"/>
      <c r="C616" s="76"/>
      <c r="D616" s="77"/>
      <c r="E616" s="78"/>
      <c r="F616" s="77"/>
      <c r="G616" s="77"/>
      <c r="H616" s="77"/>
      <c r="I616" s="77"/>
      <c r="J616" s="79"/>
    </row>
    <row r="617" spans="1:10">
      <c r="A617" s="80"/>
      <c r="B617" s="75"/>
      <c r="C617" s="76"/>
      <c r="D617" s="77"/>
      <c r="E617" s="78"/>
      <c r="F617" s="77"/>
      <c r="G617" s="77"/>
      <c r="H617" s="77"/>
      <c r="I617" s="77"/>
      <c r="J617" s="79"/>
    </row>
    <row r="618" spans="1:10">
      <c r="A618" s="80"/>
      <c r="B618" s="75"/>
      <c r="C618" s="76"/>
      <c r="D618" s="77"/>
      <c r="E618" s="78"/>
      <c r="F618" s="77"/>
      <c r="G618" s="77"/>
      <c r="H618" s="77"/>
      <c r="I618" s="77"/>
      <c r="J618" s="79"/>
    </row>
    <row r="619" spans="1:10">
      <c r="A619" s="80"/>
      <c r="B619" s="75"/>
      <c r="C619" s="76"/>
      <c r="D619" s="77"/>
      <c r="E619" s="78"/>
      <c r="F619" s="77"/>
      <c r="G619" s="77"/>
      <c r="H619" s="77"/>
      <c r="I619" s="77"/>
      <c r="J619" s="79"/>
    </row>
    <row r="620" spans="1:10">
      <c r="A620" s="80"/>
      <c r="B620" s="75"/>
      <c r="C620" s="76"/>
      <c r="D620" s="77"/>
      <c r="E620" s="78"/>
      <c r="F620" s="77"/>
      <c r="G620" s="77"/>
      <c r="H620" s="77"/>
      <c r="I620" s="77"/>
      <c r="J620" s="79"/>
    </row>
    <row r="621" spans="1:10" ht="15" customHeight="1">
      <c r="A621" s="693"/>
      <c r="B621" s="694"/>
      <c r="C621" s="694"/>
      <c r="D621" s="694"/>
      <c r="E621" s="694"/>
      <c r="F621" s="56"/>
      <c r="G621" s="56"/>
      <c r="H621" s="56"/>
      <c r="I621" s="56"/>
      <c r="J621" s="57"/>
    </row>
    <row r="622" spans="1:10">
      <c r="A622" s="80"/>
      <c r="B622" s="81"/>
      <c r="C622" s="76"/>
      <c r="D622" s="77"/>
      <c r="E622" s="78"/>
      <c r="F622" s="77"/>
      <c r="G622" s="77"/>
      <c r="H622" s="77"/>
      <c r="I622" s="77"/>
      <c r="J622" s="79"/>
    </row>
    <row r="623" spans="1:10">
      <c r="A623" s="74"/>
      <c r="B623" s="75"/>
      <c r="C623" s="76"/>
      <c r="D623" s="77"/>
      <c r="E623" s="78"/>
      <c r="F623" s="77"/>
      <c r="G623" s="77"/>
      <c r="H623" s="77"/>
      <c r="I623" s="77"/>
      <c r="J623" s="79"/>
    </row>
    <row r="624" spans="1:10" ht="15" customHeight="1">
      <c r="A624" s="693"/>
      <c r="B624" s="694"/>
      <c r="C624" s="694"/>
      <c r="D624" s="694"/>
      <c r="E624" s="694"/>
      <c r="F624" s="56"/>
      <c r="G624" s="56"/>
      <c r="H624" s="56"/>
      <c r="I624" s="56"/>
      <c r="J624" s="57"/>
    </row>
    <row r="625" spans="1:10">
      <c r="A625" s="80"/>
      <c r="B625" s="81"/>
      <c r="C625" s="76"/>
      <c r="D625" s="77"/>
      <c r="E625" s="78"/>
      <c r="F625" s="77"/>
      <c r="G625" s="77"/>
      <c r="H625" s="77"/>
      <c r="I625" s="77"/>
      <c r="J625" s="79"/>
    </row>
    <row r="626" spans="1:10">
      <c r="A626" s="74"/>
      <c r="B626" s="75"/>
      <c r="C626" s="76"/>
      <c r="D626" s="77"/>
      <c r="E626" s="78"/>
      <c r="F626" s="77"/>
      <c r="G626" s="77"/>
      <c r="H626" s="77"/>
      <c r="I626" s="77"/>
      <c r="J626" s="79"/>
    </row>
    <row r="627" spans="1:10" ht="15" customHeight="1">
      <c r="A627" s="693"/>
      <c r="B627" s="694"/>
      <c r="C627" s="694"/>
      <c r="D627" s="694"/>
      <c r="E627" s="694"/>
      <c r="F627" s="56"/>
      <c r="G627" s="56"/>
      <c r="H627" s="56"/>
      <c r="I627" s="56"/>
      <c r="J627" s="57"/>
    </row>
    <row r="628" spans="1:10">
      <c r="A628" s="80"/>
      <c r="B628" s="81"/>
      <c r="C628" s="76"/>
      <c r="D628" s="77"/>
      <c r="E628" s="78"/>
      <c r="F628" s="77"/>
      <c r="G628" s="77"/>
      <c r="H628" s="77"/>
      <c r="I628" s="77"/>
      <c r="J628" s="79"/>
    </row>
    <row r="629" spans="1:10">
      <c r="A629" s="74"/>
      <c r="B629" s="75"/>
      <c r="C629" s="76"/>
      <c r="D629" s="77"/>
      <c r="E629" s="78"/>
      <c r="F629" s="77"/>
      <c r="G629" s="77"/>
      <c r="H629" s="77"/>
      <c r="I629" s="77"/>
      <c r="J629" s="79"/>
    </row>
    <row r="630" spans="1:10" ht="15" customHeight="1">
      <c r="A630" s="693"/>
      <c r="B630" s="694"/>
      <c r="C630" s="694"/>
      <c r="D630" s="694"/>
      <c r="E630" s="694"/>
      <c r="F630" s="56"/>
      <c r="G630" s="56"/>
      <c r="H630" s="56"/>
      <c r="I630" s="56"/>
      <c r="J630" s="57"/>
    </row>
    <row r="631" spans="1:10">
      <c r="A631" s="80"/>
      <c r="B631" s="81"/>
      <c r="C631" s="76"/>
      <c r="D631" s="77"/>
      <c r="E631" s="78"/>
      <c r="F631" s="77"/>
      <c r="G631" s="77"/>
      <c r="H631" s="77"/>
      <c r="I631" s="77"/>
      <c r="J631" s="79"/>
    </row>
    <row r="632" spans="1:10" ht="15.75" thickBot="1">
      <c r="A632" s="139"/>
      <c r="B632" s="140"/>
      <c r="C632" s="141"/>
      <c r="D632" s="142"/>
      <c r="E632" s="143"/>
      <c r="F632" s="142"/>
      <c r="G632" s="142"/>
      <c r="H632" s="142"/>
      <c r="I632" s="142"/>
      <c r="J632" s="144"/>
    </row>
    <row r="633" spans="1:10" ht="15.75" thickBot="1">
      <c r="A633" s="685"/>
      <c r="B633" s="686"/>
      <c r="C633" s="686"/>
      <c r="D633" s="686"/>
      <c r="E633" s="686"/>
      <c r="F633" s="82"/>
      <c r="G633" s="82"/>
      <c r="H633" s="82"/>
      <c r="I633" s="82"/>
      <c r="J633" s="83"/>
    </row>
    <row r="634" spans="1:10" ht="15.75" customHeight="1" thickBot="1">
      <c r="A634" s="683"/>
      <c r="B634" s="684"/>
      <c r="C634" s="684"/>
      <c r="D634" s="684"/>
      <c r="E634" s="684"/>
      <c r="F634" s="72"/>
      <c r="G634" s="72"/>
      <c r="H634" s="72"/>
      <c r="I634" s="72"/>
      <c r="J634" s="73"/>
    </row>
    <row r="635" spans="1:10">
      <c r="A635" s="145"/>
      <c r="B635" s="695"/>
      <c r="C635" s="695"/>
      <c r="D635" s="695"/>
      <c r="E635" s="695"/>
      <c r="F635" s="146"/>
      <c r="G635" s="146"/>
      <c r="H635" s="146"/>
      <c r="I635" s="146"/>
      <c r="J635" s="147"/>
    </row>
    <row r="636" spans="1:10">
      <c r="A636" s="80"/>
      <c r="B636" s="81"/>
      <c r="C636" s="76"/>
      <c r="D636" s="77"/>
      <c r="E636" s="78"/>
      <c r="F636" s="77"/>
      <c r="G636" s="77"/>
      <c r="H636" s="77"/>
      <c r="I636" s="77"/>
      <c r="J636" s="79"/>
    </row>
    <row r="637" spans="1:10" ht="15.75" thickBot="1">
      <c r="A637" s="139"/>
      <c r="B637" s="140"/>
      <c r="C637" s="141"/>
      <c r="D637" s="142"/>
      <c r="E637" s="143"/>
      <c r="F637" s="142"/>
      <c r="G637" s="142"/>
      <c r="H637" s="142"/>
      <c r="I637" s="142"/>
      <c r="J637" s="144"/>
    </row>
    <row r="638" spans="1:10" ht="15.75" thickBot="1">
      <c r="A638" s="685"/>
      <c r="B638" s="686"/>
      <c r="C638" s="686"/>
      <c r="D638" s="686"/>
      <c r="E638" s="686"/>
      <c r="F638" s="85"/>
      <c r="G638" s="85"/>
      <c r="H638" s="85"/>
      <c r="I638" s="85"/>
      <c r="J638" s="86"/>
    </row>
    <row r="639" spans="1:10" ht="15.75" customHeight="1" thickBot="1">
      <c r="A639" s="683"/>
      <c r="B639" s="684"/>
      <c r="C639" s="684"/>
      <c r="D639" s="684"/>
      <c r="E639" s="684"/>
      <c r="F639" s="72"/>
      <c r="G639" s="72"/>
      <c r="H639" s="72"/>
      <c r="I639" s="72"/>
      <c r="J639" s="73"/>
    </row>
    <row r="640" spans="1:10">
      <c r="A640" s="145"/>
      <c r="B640" s="695"/>
      <c r="C640" s="695"/>
      <c r="D640" s="695"/>
      <c r="E640" s="695"/>
      <c r="F640" s="148"/>
      <c r="G640" s="148"/>
      <c r="H640" s="148"/>
      <c r="I640" s="148"/>
      <c r="J640" s="149"/>
    </row>
    <row r="641" spans="1:11">
      <c r="A641" s="80"/>
      <c r="B641" s="81"/>
      <c r="C641" s="76"/>
      <c r="D641" s="77"/>
      <c r="E641" s="78"/>
      <c r="F641" s="77"/>
      <c r="G641" s="77"/>
      <c r="H641" s="77"/>
      <c r="I641" s="77"/>
      <c r="J641" s="79"/>
    </row>
    <row r="642" spans="1:11">
      <c r="A642" s="74"/>
      <c r="B642" s="75"/>
      <c r="C642" s="76"/>
      <c r="D642" s="77"/>
      <c r="E642" s="78"/>
      <c r="F642" s="77"/>
      <c r="G642" s="77"/>
      <c r="H642" s="77"/>
      <c r="I642" s="77"/>
      <c r="J642" s="79"/>
    </row>
    <row r="643" spans="1:11">
      <c r="A643" s="87"/>
      <c r="B643" s="696"/>
      <c r="C643" s="696"/>
      <c r="D643" s="696"/>
      <c r="E643" s="696"/>
      <c r="F643" s="88"/>
      <c r="G643" s="88"/>
      <c r="H643" s="88"/>
      <c r="I643" s="88"/>
      <c r="J643" s="89"/>
    </row>
    <row r="644" spans="1:11">
      <c r="A644" s="80"/>
      <c r="B644" s="81"/>
      <c r="C644" s="76"/>
      <c r="D644" s="77"/>
      <c r="E644" s="78"/>
      <c r="F644" s="77"/>
      <c r="G644" s="77"/>
      <c r="H644" s="77"/>
      <c r="I644" s="77"/>
      <c r="J644" s="79"/>
    </row>
    <row r="645" spans="1:11">
      <c r="A645" s="74"/>
      <c r="B645" s="75"/>
      <c r="C645" s="76"/>
      <c r="D645" s="77"/>
      <c r="E645" s="78"/>
      <c r="F645" s="77"/>
      <c r="G645" s="77"/>
      <c r="H645" s="77"/>
      <c r="I645" s="77"/>
      <c r="J645" s="79"/>
    </row>
    <row r="646" spans="1:11">
      <c r="A646" s="87"/>
      <c r="B646" s="696"/>
      <c r="C646" s="696"/>
      <c r="D646" s="696"/>
      <c r="E646" s="696"/>
      <c r="F646" s="88"/>
      <c r="G646" s="88"/>
      <c r="H646" s="88"/>
      <c r="I646" s="88"/>
      <c r="J646" s="89"/>
    </row>
    <row r="647" spans="1:11">
      <c r="A647" s="80"/>
      <c r="B647" s="81"/>
      <c r="C647" s="76"/>
      <c r="D647" s="77"/>
      <c r="E647" s="78"/>
      <c r="F647" s="77"/>
      <c r="G647" s="77"/>
      <c r="H647" s="77"/>
      <c r="I647" s="77"/>
      <c r="J647" s="79"/>
    </row>
    <row r="648" spans="1:11" ht="15.75" thickBot="1">
      <c r="A648" s="139"/>
      <c r="B648" s="140"/>
      <c r="C648" s="141"/>
      <c r="D648" s="142"/>
      <c r="E648" s="143"/>
      <c r="F648" s="142"/>
      <c r="G648" s="142"/>
      <c r="H648" s="142"/>
      <c r="I648" s="142"/>
      <c r="J648" s="144"/>
    </row>
    <row r="649" spans="1:11" ht="15.75" thickBot="1">
      <c r="A649" s="685"/>
      <c r="B649" s="686"/>
      <c r="C649" s="686"/>
      <c r="D649" s="686"/>
      <c r="E649" s="686"/>
      <c r="F649" s="62"/>
      <c r="G649" s="62"/>
      <c r="H649" s="62"/>
      <c r="I649" s="62"/>
      <c r="J649" s="63"/>
    </row>
    <row r="650" spans="1:11">
      <c r="A650" s="38"/>
      <c r="B650" s="39"/>
      <c r="C650" s="39"/>
      <c r="D650" s="39"/>
      <c r="E650" s="39"/>
      <c r="F650" s="39"/>
      <c r="G650" s="39"/>
      <c r="H650" s="39"/>
      <c r="I650" s="39"/>
      <c r="J650" s="39"/>
    </row>
    <row r="651" spans="1:11">
      <c r="A651" s="38"/>
      <c r="C651" s="42"/>
      <c r="D651" s="42"/>
      <c r="E651" s="42"/>
      <c r="F651" s="42"/>
      <c r="G651" s="42"/>
      <c r="H651" s="42"/>
      <c r="I651" s="42"/>
      <c r="J651" s="42"/>
    </row>
    <row r="652" spans="1:11" ht="18.75">
      <c r="A652" s="42"/>
      <c r="B652" s="90"/>
      <c r="C652" s="42"/>
      <c r="D652" s="42"/>
      <c r="E652" s="42"/>
      <c r="F652" s="42"/>
      <c r="G652" s="42"/>
      <c r="H652" s="42"/>
      <c r="I652" s="42"/>
      <c r="J652" s="42"/>
    </row>
    <row r="653" spans="1:11" ht="18.75">
      <c r="A653" s="38"/>
      <c r="B653" s="90"/>
      <c r="C653" s="39"/>
      <c r="D653" s="39"/>
      <c r="E653" s="39"/>
      <c r="F653" s="39"/>
      <c r="G653" s="39"/>
      <c r="H653" s="39"/>
      <c r="I653" s="39"/>
      <c r="J653" s="39"/>
    </row>
    <row r="654" spans="1:11">
      <c r="A654" s="35"/>
      <c r="B654" s="93"/>
      <c r="C654" s="94"/>
      <c r="D654" s="95"/>
      <c r="E654" s="96"/>
      <c r="F654" s="96"/>
      <c r="G654" s="95"/>
      <c r="H654" s="95"/>
      <c r="I654" s="95"/>
      <c r="J654" s="95"/>
    </row>
    <row r="655" spans="1:11">
      <c r="A655" s="35"/>
      <c r="B655" s="93"/>
      <c r="C655" s="94"/>
      <c r="D655" s="95"/>
      <c r="E655" s="96"/>
      <c r="F655" s="96"/>
      <c r="G655" s="95"/>
      <c r="H655" s="95"/>
      <c r="I655" s="95"/>
      <c r="J655" s="95"/>
    </row>
    <row r="656" spans="1:11">
      <c r="A656" s="35"/>
      <c r="B656" s="98"/>
      <c r="C656" s="94"/>
      <c r="D656" s="95"/>
      <c r="E656" s="96"/>
      <c r="F656" s="96"/>
      <c r="G656" s="95"/>
      <c r="H656" s="95"/>
      <c r="I656" s="95"/>
      <c r="J656" s="95"/>
      <c r="K656" s="67"/>
    </row>
    <row r="657" spans="1:10" ht="15.75">
      <c r="A657" s="41"/>
      <c r="B657" s="41"/>
      <c r="C657" s="42"/>
      <c r="D657" s="42"/>
      <c r="E657" s="69"/>
      <c r="F657" s="42"/>
      <c r="G657" s="42"/>
      <c r="H657" s="42"/>
      <c r="I657" s="42"/>
      <c r="J657" s="42"/>
    </row>
    <row r="658" spans="1:10" ht="15.75">
      <c r="A658" s="41"/>
      <c r="B658" s="41"/>
      <c r="C658" s="44"/>
      <c r="D658" s="44"/>
      <c r="E658" s="44"/>
      <c r="F658" s="44"/>
      <c r="G658" s="44"/>
      <c r="H658" s="44"/>
      <c r="I658" s="44"/>
      <c r="J658" s="44"/>
    </row>
    <row r="659" spans="1:10" ht="15.75">
      <c r="A659" s="235"/>
      <c r="B659" s="41"/>
      <c r="C659" s="44"/>
      <c r="D659" s="44"/>
      <c r="E659" s="44"/>
      <c r="F659" s="44"/>
      <c r="G659" s="44"/>
      <c r="H659" s="44"/>
      <c r="I659" s="44"/>
      <c r="J659" s="44"/>
    </row>
    <row r="660" spans="1:10" ht="15.75">
      <c r="A660" s="235"/>
      <c r="B660" s="41"/>
      <c r="C660" s="44"/>
      <c r="D660" s="44"/>
      <c r="E660" s="44"/>
      <c r="F660" s="44"/>
      <c r="G660" s="44"/>
      <c r="H660" s="44"/>
      <c r="I660" s="44"/>
      <c r="J660" s="44"/>
    </row>
    <row r="661" spans="1:10" ht="15.75">
      <c r="A661" s="41"/>
      <c r="B661" s="41"/>
      <c r="C661" s="44"/>
      <c r="D661" s="44"/>
      <c r="E661" s="44"/>
      <c r="F661" s="44"/>
      <c r="G661" s="44"/>
      <c r="H661" s="44"/>
      <c r="I661" s="44"/>
      <c r="J661" s="44"/>
    </row>
    <row r="662" spans="1:10">
      <c r="A662" s="687"/>
      <c r="B662" s="687"/>
      <c r="C662" s="687"/>
      <c r="D662" s="687"/>
      <c r="E662" s="687"/>
      <c r="F662" s="687"/>
      <c r="G662" s="687"/>
      <c r="H662" s="687"/>
      <c r="I662" s="687"/>
      <c r="J662" s="687"/>
    </row>
    <row r="663" spans="1:10">
      <c r="A663" s="136"/>
      <c r="B663" s="136"/>
      <c r="C663" s="136"/>
      <c r="D663" s="136"/>
      <c r="E663" s="136"/>
      <c r="F663" s="136"/>
      <c r="G663" s="136"/>
      <c r="H663" s="136"/>
      <c r="I663" s="136"/>
      <c r="J663" s="136"/>
    </row>
    <row r="664" spans="1:10" ht="15.75" thickBot="1">
      <c r="A664" s="42"/>
      <c r="B664" s="46"/>
      <c r="C664" s="71"/>
      <c r="D664" s="71"/>
      <c r="E664" s="71"/>
      <c r="F664" s="33"/>
      <c r="G664" s="47"/>
      <c r="H664" s="48"/>
      <c r="I664" s="49"/>
      <c r="J664" s="50"/>
    </row>
    <row r="665" spans="1:10" ht="15.75" customHeight="1" thickBot="1">
      <c r="A665" s="688"/>
      <c r="B665" s="688"/>
      <c r="C665" s="688"/>
      <c r="D665" s="688"/>
      <c r="E665" s="688"/>
      <c r="F665" s="689"/>
      <c r="G665" s="689"/>
      <c r="H665" s="24"/>
      <c r="I665" s="689"/>
      <c r="J665" s="689"/>
    </row>
    <row r="666" spans="1:10" ht="15.75" thickBot="1">
      <c r="A666" s="688"/>
      <c r="B666" s="688"/>
      <c r="C666" s="688"/>
      <c r="D666" s="688"/>
      <c r="E666" s="688"/>
      <c r="F666" s="51"/>
      <c r="G666" s="51"/>
      <c r="H666" s="51"/>
      <c r="I666" s="51"/>
      <c r="J666" s="51"/>
    </row>
    <row r="667" spans="1:10" ht="15.75" thickBot="1">
      <c r="A667" s="3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5.75" customHeight="1" thickBot="1">
      <c r="A668" s="683"/>
      <c r="B668" s="684"/>
      <c r="C668" s="684"/>
      <c r="D668" s="684"/>
      <c r="E668" s="684"/>
      <c r="F668" s="72"/>
      <c r="G668" s="72"/>
      <c r="H668" s="72"/>
      <c r="I668" s="72"/>
      <c r="J668" s="73"/>
    </row>
    <row r="669" spans="1:10" ht="15" customHeight="1">
      <c r="A669" s="691"/>
      <c r="B669" s="692"/>
      <c r="C669" s="692"/>
      <c r="D669" s="692"/>
      <c r="E669" s="692"/>
      <c r="F669" s="137"/>
      <c r="G669" s="137"/>
      <c r="H669" s="137"/>
      <c r="I669" s="137"/>
      <c r="J669" s="138"/>
    </row>
    <row r="670" spans="1:10">
      <c r="A670" s="74"/>
      <c r="B670" s="75"/>
      <c r="C670" s="76"/>
      <c r="D670" s="77"/>
      <c r="E670" s="78"/>
      <c r="F670" s="77"/>
      <c r="G670" s="77"/>
      <c r="H670" s="77"/>
      <c r="I670" s="77"/>
      <c r="J670" s="79"/>
    </row>
    <row r="671" spans="1:10">
      <c r="A671" s="74"/>
      <c r="B671" s="75"/>
      <c r="C671" s="76"/>
      <c r="D671" s="77"/>
      <c r="E671" s="78"/>
      <c r="F671" s="77"/>
      <c r="G671" s="77"/>
      <c r="H671" s="77"/>
      <c r="I671" s="77"/>
      <c r="J671" s="79"/>
    </row>
    <row r="672" spans="1:10" ht="15" customHeight="1">
      <c r="A672" s="693"/>
      <c r="B672" s="694"/>
      <c r="C672" s="694"/>
      <c r="D672" s="694"/>
      <c r="E672" s="694"/>
      <c r="F672" s="56"/>
      <c r="G672" s="56"/>
      <c r="H672" s="56"/>
      <c r="I672" s="56"/>
      <c r="J672" s="57"/>
    </row>
    <row r="673" spans="1:10">
      <c r="A673" s="80"/>
      <c r="B673" s="81"/>
      <c r="C673" s="76"/>
      <c r="D673" s="77"/>
      <c r="E673" s="78"/>
      <c r="F673" s="77"/>
      <c r="G673" s="77"/>
      <c r="H673" s="77"/>
      <c r="I673" s="77"/>
      <c r="J673" s="79"/>
    </row>
    <row r="674" spans="1:10">
      <c r="A674" s="80"/>
      <c r="B674" s="81"/>
      <c r="C674" s="76"/>
      <c r="D674" s="77"/>
      <c r="E674" s="78"/>
      <c r="F674" s="77"/>
      <c r="G674" s="77"/>
      <c r="H674" s="77"/>
      <c r="I674" s="77"/>
      <c r="J674" s="79"/>
    </row>
    <row r="675" spans="1:10">
      <c r="A675" s="693"/>
      <c r="B675" s="694"/>
      <c r="C675" s="694"/>
      <c r="D675" s="694"/>
      <c r="E675" s="694"/>
      <c r="F675" s="56"/>
      <c r="G675" s="56"/>
      <c r="H675" s="56"/>
      <c r="I675" s="56"/>
      <c r="J675" s="57"/>
    </row>
    <row r="676" spans="1:10">
      <c r="A676" s="80"/>
      <c r="B676" s="81"/>
      <c r="C676" s="76"/>
      <c r="D676" s="77"/>
      <c r="E676" s="78"/>
      <c r="F676" s="77"/>
      <c r="G676" s="77"/>
      <c r="H676" s="77"/>
      <c r="I676" s="77"/>
      <c r="J676" s="79"/>
    </row>
    <row r="677" spans="1:10">
      <c r="A677" s="80"/>
      <c r="B677" s="81"/>
      <c r="C677" s="76"/>
      <c r="D677" s="77"/>
      <c r="E677" s="78"/>
      <c r="F677" s="77"/>
      <c r="G677" s="77"/>
      <c r="H677" s="77"/>
      <c r="I677" s="77"/>
      <c r="J677" s="79"/>
    </row>
    <row r="678" spans="1:10" ht="15" customHeight="1">
      <c r="A678" s="693"/>
      <c r="B678" s="694"/>
      <c r="C678" s="694"/>
      <c r="D678" s="694"/>
      <c r="E678" s="694"/>
      <c r="F678" s="56"/>
      <c r="G678" s="56"/>
      <c r="H678" s="56"/>
      <c r="I678" s="56"/>
      <c r="J678" s="57"/>
    </row>
    <row r="679" spans="1:10">
      <c r="A679" s="80"/>
      <c r="B679" s="75"/>
      <c r="C679" s="76"/>
      <c r="D679" s="77"/>
      <c r="E679" s="78"/>
      <c r="F679" s="77"/>
      <c r="G679" s="77"/>
      <c r="H679" s="77"/>
      <c r="I679" s="77"/>
      <c r="J679" s="79"/>
    </row>
    <row r="680" spans="1:10">
      <c r="A680" s="80"/>
      <c r="B680" s="75"/>
      <c r="C680" s="76"/>
      <c r="D680" s="77"/>
      <c r="E680" s="78"/>
      <c r="F680" s="77"/>
      <c r="G680" s="77"/>
      <c r="H680" s="77"/>
      <c r="I680" s="77"/>
      <c r="J680" s="79"/>
    </row>
    <row r="681" spans="1:10">
      <c r="A681" s="80"/>
      <c r="B681" s="75"/>
      <c r="C681" s="76"/>
      <c r="D681" s="77"/>
      <c r="E681" s="78"/>
      <c r="F681" s="77"/>
      <c r="G681" s="77"/>
      <c r="H681" s="77"/>
      <c r="I681" s="77"/>
      <c r="J681" s="79"/>
    </row>
    <row r="682" spans="1:10">
      <c r="A682" s="80"/>
      <c r="B682" s="75"/>
      <c r="C682" s="76"/>
      <c r="D682" s="77"/>
      <c r="E682" s="78"/>
      <c r="F682" s="77"/>
      <c r="G682" s="77"/>
      <c r="H682" s="77"/>
      <c r="I682" s="77"/>
      <c r="J682" s="79"/>
    </row>
    <row r="683" spans="1:10">
      <c r="A683" s="80"/>
      <c r="B683" s="75"/>
      <c r="C683" s="76"/>
      <c r="D683" s="77"/>
      <c r="E683" s="78"/>
      <c r="F683" s="77"/>
      <c r="G683" s="77"/>
      <c r="H683" s="77"/>
      <c r="I683" s="77"/>
      <c r="J683" s="79"/>
    </row>
    <row r="684" spans="1:10">
      <c r="A684" s="80"/>
      <c r="B684" s="75"/>
      <c r="C684" s="76"/>
      <c r="D684" s="77"/>
      <c r="E684" s="78"/>
      <c r="F684" s="77"/>
      <c r="G684" s="77"/>
      <c r="H684" s="77"/>
      <c r="I684" s="77"/>
      <c r="J684" s="79"/>
    </row>
    <row r="685" spans="1:10">
      <c r="A685" s="80"/>
      <c r="B685" s="75"/>
      <c r="C685" s="76"/>
      <c r="D685" s="77"/>
      <c r="E685" s="78"/>
      <c r="F685" s="77"/>
      <c r="G685" s="77"/>
      <c r="H685" s="77"/>
      <c r="I685" s="77"/>
      <c r="J685" s="79"/>
    </row>
    <row r="686" spans="1:10">
      <c r="A686" s="80"/>
      <c r="B686" s="75"/>
      <c r="C686" s="76"/>
      <c r="D686" s="77"/>
      <c r="E686" s="78"/>
      <c r="F686" s="77"/>
      <c r="G686" s="77"/>
      <c r="H686" s="77"/>
      <c r="I686" s="77"/>
      <c r="J686" s="79"/>
    </row>
    <row r="687" spans="1:10">
      <c r="A687" s="80"/>
      <c r="B687" s="75"/>
      <c r="C687" s="76"/>
      <c r="D687" s="77"/>
      <c r="E687" s="78"/>
      <c r="F687" s="77"/>
      <c r="G687" s="77"/>
      <c r="H687" s="77"/>
      <c r="I687" s="77"/>
      <c r="J687" s="79"/>
    </row>
    <row r="688" spans="1:10">
      <c r="A688" s="80"/>
      <c r="B688" s="75"/>
      <c r="C688" s="76"/>
      <c r="D688" s="77"/>
      <c r="E688" s="78"/>
      <c r="F688" s="77"/>
      <c r="G688" s="77"/>
      <c r="H688" s="77"/>
      <c r="I688" s="77"/>
      <c r="J688" s="79"/>
    </row>
    <row r="689" spans="1:11">
      <c r="A689" s="80"/>
      <c r="B689" s="75"/>
      <c r="C689" s="76"/>
      <c r="D689" s="77"/>
      <c r="E689" s="78"/>
      <c r="F689" s="77"/>
      <c r="G689" s="77"/>
      <c r="H689" s="77"/>
      <c r="I689" s="77"/>
      <c r="J689" s="79"/>
      <c r="K689" s="68">
        <v>16</v>
      </c>
    </row>
    <row r="690" spans="1:11" ht="15" customHeight="1">
      <c r="A690" s="693"/>
      <c r="B690" s="694"/>
      <c r="C690" s="694"/>
      <c r="D690" s="694"/>
      <c r="E690" s="694"/>
      <c r="F690" s="56"/>
      <c r="G690" s="56"/>
      <c r="H690" s="56"/>
      <c r="I690" s="56"/>
      <c r="J690" s="57"/>
    </row>
    <row r="691" spans="1:11">
      <c r="A691" s="80"/>
      <c r="B691" s="81"/>
      <c r="C691" s="76"/>
      <c r="D691" s="77"/>
      <c r="E691" s="78"/>
      <c r="F691" s="77"/>
      <c r="G691" s="77"/>
      <c r="H691" s="77"/>
      <c r="I691" s="77"/>
      <c r="J691" s="79"/>
    </row>
    <row r="692" spans="1:11">
      <c r="A692" s="74"/>
      <c r="B692" s="75"/>
      <c r="C692" s="76"/>
      <c r="D692" s="77"/>
      <c r="E692" s="78"/>
      <c r="F692" s="77"/>
      <c r="G692" s="77"/>
      <c r="H692" s="77"/>
      <c r="I692" s="77"/>
      <c r="J692" s="79"/>
    </row>
    <row r="693" spans="1:11" ht="15" customHeight="1">
      <c r="A693" s="693"/>
      <c r="B693" s="694"/>
      <c r="C693" s="694"/>
      <c r="D693" s="694"/>
      <c r="E693" s="694"/>
      <c r="F693" s="56"/>
      <c r="G693" s="56"/>
      <c r="H693" s="56"/>
      <c r="I693" s="56"/>
      <c r="J693" s="57"/>
    </row>
    <row r="694" spans="1:11">
      <c r="A694" s="80"/>
      <c r="B694" s="81"/>
      <c r="C694" s="76"/>
      <c r="D694" s="77"/>
      <c r="E694" s="78"/>
      <c r="F694" s="77"/>
      <c r="G694" s="77"/>
      <c r="H694" s="77"/>
      <c r="I694" s="77"/>
      <c r="J694" s="79"/>
    </row>
    <row r="695" spans="1:11">
      <c r="A695" s="74"/>
      <c r="B695" s="75"/>
      <c r="C695" s="76"/>
      <c r="D695" s="77"/>
      <c r="E695" s="78"/>
      <c r="F695" s="77"/>
      <c r="G695" s="77"/>
      <c r="H695" s="77"/>
      <c r="I695" s="77"/>
      <c r="J695" s="79"/>
    </row>
    <row r="696" spans="1:11" ht="15" customHeight="1">
      <c r="A696" s="693"/>
      <c r="B696" s="694"/>
      <c r="C696" s="694"/>
      <c r="D696" s="694"/>
      <c r="E696" s="694"/>
      <c r="F696" s="56"/>
      <c r="G696" s="56"/>
      <c r="H696" s="56"/>
      <c r="I696" s="56"/>
      <c r="J696" s="57"/>
    </row>
    <row r="697" spans="1:11">
      <c r="A697" s="80"/>
      <c r="B697" s="81"/>
      <c r="C697" s="76"/>
      <c r="D697" s="77"/>
      <c r="E697" s="78"/>
      <c r="F697" s="77"/>
      <c r="G697" s="77"/>
      <c r="H697" s="77"/>
      <c r="I697" s="77"/>
      <c r="J697" s="79"/>
    </row>
    <row r="698" spans="1:11">
      <c r="A698" s="74"/>
      <c r="B698" s="75"/>
      <c r="C698" s="76"/>
      <c r="D698" s="77"/>
      <c r="E698" s="78"/>
      <c r="F698" s="77"/>
      <c r="G698" s="77"/>
      <c r="H698" s="77"/>
      <c r="I698" s="77"/>
      <c r="J698" s="79"/>
    </row>
    <row r="699" spans="1:11" ht="15" customHeight="1">
      <c r="A699" s="693"/>
      <c r="B699" s="694"/>
      <c r="C699" s="694"/>
      <c r="D699" s="694"/>
      <c r="E699" s="694"/>
      <c r="F699" s="56"/>
      <c r="G699" s="56"/>
      <c r="H699" s="56"/>
      <c r="I699" s="56"/>
      <c r="J699" s="57"/>
    </row>
    <row r="700" spans="1:11">
      <c r="A700" s="80"/>
      <c r="B700" s="81"/>
      <c r="C700" s="76"/>
      <c r="D700" s="77"/>
      <c r="E700" s="78"/>
      <c r="F700" s="77"/>
      <c r="G700" s="77"/>
      <c r="H700" s="77"/>
      <c r="I700" s="77"/>
      <c r="J700" s="79"/>
    </row>
    <row r="701" spans="1:11" ht="15.75" thickBot="1">
      <c r="A701" s="139"/>
      <c r="B701" s="140"/>
      <c r="C701" s="141"/>
      <c r="D701" s="142"/>
      <c r="E701" s="143"/>
      <c r="F701" s="142"/>
      <c r="G701" s="142"/>
      <c r="H701" s="142"/>
      <c r="I701" s="142"/>
      <c r="J701" s="144"/>
    </row>
    <row r="702" spans="1:11" ht="15.75" thickBot="1">
      <c r="A702" s="685"/>
      <c r="B702" s="686"/>
      <c r="C702" s="686"/>
      <c r="D702" s="686"/>
      <c r="E702" s="686"/>
      <c r="F702" s="82"/>
      <c r="G702" s="82"/>
      <c r="H702" s="82"/>
      <c r="I702" s="82"/>
      <c r="J702" s="83"/>
    </row>
    <row r="703" spans="1:11" ht="15.75" customHeight="1" thickBot="1">
      <c r="A703" s="683"/>
      <c r="B703" s="684"/>
      <c r="C703" s="684"/>
      <c r="D703" s="684"/>
      <c r="E703" s="684"/>
      <c r="F703" s="72"/>
      <c r="G703" s="72"/>
      <c r="H703" s="72"/>
      <c r="I703" s="72"/>
      <c r="J703" s="73"/>
    </row>
    <row r="704" spans="1:11">
      <c r="A704" s="145"/>
      <c r="B704" s="695"/>
      <c r="C704" s="695"/>
      <c r="D704" s="695"/>
      <c r="E704" s="695"/>
      <c r="F704" s="146"/>
      <c r="G704" s="146"/>
      <c r="H704" s="146"/>
      <c r="I704" s="146"/>
      <c r="J704" s="147"/>
    </row>
    <row r="705" spans="1:10">
      <c r="A705" s="80"/>
      <c r="B705" s="81"/>
      <c r="C705" s="76"/>
      <c r="D705" s="77"/>
      <c r="E705" s="78"/>
      <c r="F705" s="77"/>
      <c r="G705" s="77"/>
      <c r="H705" s="77"/>
      <c r="I705" s="77"/>
      <c r="J705" s="79"/>
    </row>
    <row r="706" spans="1:10" ht="15.75" thickBot="1">
      <c r="A706" s="139"/>
      <c r="B706" s="140"/>
      <c r="C706" s="141"/>
      <c r="D706" s="142"/>
      <c r="E706" s="143"/>
      <c r="F706" s="142"/>
      <c r="G706" s="142"/>
      <c r="H706" s="142"/>
      <c r="I706" s="142"/>
      <c r="J706" s="144"/>
    </row>
    <row r="707" spans="1:10" ht="15.75" thickBot="1">
      <c r="A707" s="685"/>
      <c r="B707" s="686"/>
      <c r="C707" s="686"/>
      <c r="D707" s="686"/>
      <c r="E707" s="686"/>
      <c r="F707" s="85"/>
      <c r="G707" s="85"/>
      <c r="H707" s="85"/>
      <c r="I707" s="85"/>
      <c r="J707" s="86"/>
    </row>
    <row r="708" spans="1:10" ht="15.75" customHeight="1" thickBot="1">
      <c r="A708" s="683"/>
      <c r="B708" s="684"/>
      <c r="C708" s="684"/>
      <c r="D708" s="684"/>
      <c r="E708" s="684"/>
      <c r="F708" s="72"/>
      <c r="G708" s="72"/>
      <c r="H708" s="72"/>
      <c r="I708" s="72"/>
      <c r="J708" s="73"/>
    </row>
    <row r="709" spans="1:10">
      <c r="A709" s="145"/>
      <c r="B709" s="695"/>
      <c r="C709" s="695"/>
      <c r="D709" s="695"/>
      <c r="E709" s="695"/>
      <c r="F709" s="148"/>
      <c r="G709" s="148"/>
      <c r="H709" s="148"/>
      <c r="I709" s="148"/>
      <c r="J709" s="149"/>
    </row>
    <row r="710" spans="1:10">
      <c r="A710" s="80"/>
      <c r="B710" s="81"/>
      <c r="C710" s="76"/>
      <c r="D710" s="77"/>
      <c r="E710" s="78"/>
      <c r="F710" s="77"/>
      <c r="G710" s="77"/>
      <c r="H710" s="77"/>
      <c r="I710" s="77"/>
      <c r="J710" s="79"/>
    </row>
    <row r="711" spans="1:10">
      <c r="A711" s="74"/>
      <c r="B711" s="75"/>
      <c r="C711" s="76"/>
      <c r="D711" s="77"/>
      <c r="E711" s="78"/>
      <c r="F711" s="77"/>
      <c r="G711" s="77"/>
      <c r="H711" s="77"/>
      <c r="I711" s="77"/>
      <c r="J711" s="79"/>
    </row>
    <row r="712" spans="1:10">
      <c r="A712" s="87"/>
      <c r="B712" s="696"/>
      <c r="C712" s="696"/>
      <c r="D712" s="696"/>
      <c r="E712" s="696"/>
      <c r="F712" s="88"/>
      <c r="G712" s="88"/>
      <c r="H712" s="88"/>
      <c r="I712" s="88"/>
      <c r="J712" s="89"/>
    </row>
    <row r="713" spans="1:10">
      <c r="A713" s="80"/>
      <c r="B713" s="81"/>
      <c r="C713" s="76"/>
      <c r="D713" s="77"/>
      <c r="E713" s="78"/>
      <c r="F713" s="77"/>
      <c r="G713" s="77"/>
      <c r="H713" s="77"/>
      <c r="I713" s="77"/>
      <c r="J713" s="79"/>
    </row>
    <row r="714" spans="1:10">
      <c r="A714" s="74"/>
      <c r="B714" s="75"/>
      <c r="C714" s="76"/>
      <c r="D714" s="77"/>
      <c r="E714" s="78"/>
      <c r="F714" s="77"/>
      <c r="G714" s="77"/>
      <c r="H714" s="77"/>
      <c r="I714" s="77"/>
      <c r="J714" s="79"/>
    </row>
    <row r="715" spans="1:10">
      <c r="A715" s="87"/>
      <c r="B715" s="696"/>
      <c r="C715" s="696"/>
      <c r="D715" s="696"/>
      <c r="E715" s="696"/>
      <c r="F715" s="88"/>
      <c r="G715" s="88"/>
      <c r="H715" s="88"/>
      <c r="I715" s="88"/>
      <c r="J715" s="89"/>
    </row>
    <row r="716" spans="1:10">
      <c r="A716" s="80"/>
      <c r="B716" s="81"/>
      <c r="C716" s="76"/>
      <c r="D716" s="77"/>
      <c r="E716" s="78"/>
      <c r="F716" s="77"/>
      <c r="G716" s="77"/>
      <c r="H716" s="77"/>
      <c r="I716" s="77"/>
      <c r="J716" s="79"/>
    </row>
    <row r="717" spans="1:10" ht="15.75" thickBot="1">
      <c r="A717" s="139"/>
      <c r="B717" s="140"/>
      <c r="C717" s="141"/>
      <c r="D717" s="142"/>
      <c r="E717" s="143"/>
      <c r="F717" s="142"/>
      <c r="G717" s="142"/>
      <c r="H717" s="142"/>
      <c r="I717" s="142"/>
      <c r="J717" s="144"/>
    </row>
    <row r="718" spans="1:10" ht="15.75" thickBot="1">
      <c r="A718" s="685"/>
      <c r="B718" s="686"/>
      <c r="C718" s="686"/>
      <c r="D718" s="686"/>
      <c r="E718" s="686"/>
      <c r="F718" s="62"/>
      <c r="G718" s="62"/>
      <c r="H718" s="62"/>
      <c r="I718" s="62"/>
      <c r="J718" s="63"/>
    </row>
    <row r="719" spans="1:10">
      <c r="A719" s="38"/>
      <c r="B719" s="39"/>
      <c r="C719" s="39"/>
      <c r="D719" s="39"/>
      <c r="E719" s="39"/>
      <c r="F719" s="39"/>
      <c r="G719" s="39"/>
      <c r="H719" s="39"/>
      <c r="I719" s="39"/>
      <c r="J719" s="39"/>
    </row>
    <row r="720" spans="1:10">
      <c r="A720" s="38"/>
      <c r="C720" s="42"/>
      <c r="D720" s="42"/>
      <c r="E720" s="42"/>
      <c r="F720" s="42"/>
      <c r="G720" s="42"/>
      <c r="H720" s="42"/>
      <c r="I720" s="42"/>
      <c r="J720" s="42"/>
    </row>
    <row r="721" spans="1:11" ht="18.75">
      <c r="A721" s="42"/>
      <c r="B721" s="90"/>
      <c r="C721" s="42"/>
      <c r="D721" s="42"/>
      <c r="E721" s="42"/>
      <c r="F721" s="42"/>
      <c r="G721" s="42"/>
      <c r="H721" s="42"/>
      <c r="I721" s="42"/>
      <c r="J721" s="42"/>
    </row>
    <row r="722" spans="1:11" ht="18.75">
      <c r="A722" s="38"/>
      <c r="B722" s="90"/>
      <c r="C722" s="39"/>
      <c r="D722" s="39"/>
      <c r="E722" s="39"/>
      <c r="F722" s="39"/>
      <c r="G722" s="39"/>
      <c r="H722" s="39"/>
      <c r="I722" s="39"/>
      <c r="J722" s="39"/>
    </row>
    <row r="723" spans="1:11">
      <c r="A723" s="35"/>
      <c r="B723" s="93"/>
      <c r="C723" s="94"/>
      <c r="D723" s="95"/>
      <c r="E723" s="96"/>
      <c r="F723" s="96"/>
      <c r="G723" s="95"/>
      <c r="H723" s="95"/>
      <c r="I723" s="95"/>
      <c r="J723" s="95"/>
    </row>
    <row r="724" spans="1:11">
      <c r="A724" s="35"/>
      <c r="B724" s="93"/>
      <c r="C724" s="94"/>
      <c r="D724" s="95"/>
      <c r="E724" s="96"/>
      <c r="F724" s="96"/>
      <c r="G724" s="95"/>
      <c r="H724" s="95"/>
      <c r="I724" s="95"/>
      <c r="J724" s="95"/>
    </row>
    <row r="725" spans="1:11">
      <c r="A725" s="35"/>
      <c r="B725" s="98"/>
      <c r="C725" s="94"/>
      <c r="D725" s="95"/>
      <c r="E725" s="96"/>
      <c r="F725" s="96"/>
      <c r="G725" s="95"/>
      <c r="H725" s="95"/>
      <c r="I725" s="95"/>
      <c r="J725" s="95"/>
      <c r="K725" s="67"/>
    </row>
    <row r="726" spans="1:11" ht="15.75">
      <c r="A726" s="41"/>
      <c r="B726" s="41"/>
      <c r="C726" s="42"/>
      <c r="D726" s="42"/>
      <c r="E726" s="69"/>
      <c r="F726" s="42"/>
      <c r="G726" s="42"/>
      <c r="H726" s="42"/>
      <c r="I726" s="42"/>
      <c r="J726" s="42"/>
    </row>
    <row r="727" spans="1:11" ht="15.75">
      <c r="A727" s="41"/>
      <c r="B727" s="41"/>
      <c r="C727" s="44"/>
      <c r="D727" s="44"/>
      <c r="E727" s="44"/>
      <c r="F727" s="44"/>
      <c r="G727" s="44"/>
      <c r="H727" s="44"/>
      <c r="I727" s="44"/>
      <c r="J727" s="44"/>
    </row>
    <row r="728" spans="1:11" ht="15.75">
      <c r="A728" s="41"/>
      <c r="B728" s="41"/>
      <c r="C728" s="44"/>
      <c r="D728" s="44"/>
      <c r="E728" s="44"/>
      <c r="F728" s="44"/>
      <c r="G728" s="44"/>
      <c r="H728" s="44"/>
      <c r="I728" s="44"/>
      <c r="J728" s="44"/>
    </row>
    <row r="729" spans="1:11" ht="15.75">
      <c r="A729" s="41"/>
      <c r="B729" s="41"/>
      <c r="C729" s="44"/>
      <c r="D729" s="44"/>
      <c r="E729" s="44"/>
      <c r="F729" s="44"/>
      <c r="G729" s="44"/>
      <c r="H729" s="44"/>
      <c r="I729" s="44"/>
      <c r="J729" s="44"/>
    </row>
    <row r="730" spans="1:11" ht="15.75">
      <c r="A730" s="70"/>
      <c r="B730" s="44"/>
      <c r="C730" s="44"/>
      <c r="D730" s="44"/>
      <c r="E730" s="44"/>
      <c r="F730" s="44"/>
      <c r="G730" s="44"/>
      <c r="H730" s="44"/>
      <c r="I730" s="44"/>
      <c r="J730" s="44"/>
    </row>
    <row r="731" spans="1:11">
      <c r="A731" s="687"/>
      <c r="B731" s="687"/>
      <c r="C731" s="687"/>
      <c r="D731" s="687"/>
      <c r="E731" s="687"/>
      <c r="F731" s="687"/>
      <c r="G731" s="687"/>
      <c r="H731" s="687"/>
      <c r="I731" s="687"/>
      <c r="J731" s="687"/>
    </row>
    <row r="732" spans="1:11">
      <c r="A732" s="136"/>
      <c r="B732" s="136"/>
      <c r="C732" s="136"/>
      <c r="D732" s="136"/>
      <c r="E732" s="136"/>
      <c r="F732" s="136"/>
      <c r="G732" s="136"/>
      <c r="H732" s="136"/>
      <c r="I732" s="136"/>
      <c r="J732" s="136"/>
    </row>
    <row r="733" spans="1:11" ht="15.75" thickBot="1">
      <c r="A733" s="42"/>
      <c r="B733" s="46"/>
      <c r="C733" s="71"/>
      <c r="D733" s="71"/>
      <c r="E733" s="71"/>
      <c r="F733" s="33"/>
      <c r="G733" s="47"/>
      <c r="H733" s="48"/>
      <c r="I733" s="49"/>
      <c r="J733" s="50"/>
    </row>
    <row r="734" spans="1:11" ht="15.75" customHeight="1" thickBot="1">
      <c r="A734" s="688"/>
      <c r="B734" s="688"/>
      <c r="C734" s="688"/>
      <c r="D734" s="688"/>
      <c r="E734" s="688"/>
      <c r="F734" s="689"/>
      <c r="G734" s="689"/>
      <c r="H734" s="24"/>
      <c r="I734" s="689"/>
      <c r="J734" s="689"/>
    </row>
    <row r="735" spans="1:11" ht="15.75" thickBot="1">
      <c r="A735" s="688"/>
      <c r="B735" s="688"/>
      <c r="C735" s="688"/>
      <c r="D735" s="688"/>
      <c r="E735" s="688"/>
      <c r="F735" s="51"/>
      <c r="G735" s="51"/>
      <c r="H735" s="51"/>
      <c r="I735" s="51"/>
      <c r="J735" s="51"/>
    </row>
    <row r="736" spans="1:11" ht="15.75" thickBot="1">
      <c r="A736" s="3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5.75" customHeight="1" thickBot="1">
      <c r="A737" s="683"/>
      <c r="B737" s="684"/>
      <c r="C737" s="684"/>
      <c r="D737" s="684"/>
      <c r="E737" s="684"/>
      <c r="F737" s="72"/>
      <c r="G737" s="72"/>
      <c r="H737" s="72"/>
      <c r="I737" s="72"/>
      <c r="J737" s="73"/>
    </row>
    <row r="738" spans="1:10" ht="15" customHeight="1">
      <c r="A738" s="691"/>
      <c r="B738" s="692"/>
      <c r="C738" s="692"/>
      <c r="D738" s="692"/>
      <c r="E738" s="692"/>
      <c r="F738" s="137"/>
      <c r="G738" s="137"/>
      <c r="H738" s="137"/>
      <c r="I738" s="137"/>
      <c r="J738" s="138"/>
    </row>
    <row r="739" spans="1:10">
      <c r="A739" s="74"/>
      <c r="B739" s="75"/>
      <c r="C739" s="76"/>
      <c r="D739" s="77"/>
      <c r="E739" s="78"/>
      <c r="F739" s="77"/>
      <c r="G739" s="77"/>
      <c r="H739" s="77"/>
      <c r="I739" s="77"/>
      <c r="J739" s="79"/>
    </row>
    <row r="740" spans="1:10">
      <c r="A740" s="74"/>
      <c r="B740" s="75"/>
      <c r="C740" s="76"/>
      <c r="D740" s="77"/>
      <c r="E740" s="78"/>
      <c r="F740" s="77"/>
      <c r="G740" s="77"/>
      <c r="H740" s="77"/>
      <c r="I740" s="77"/>
      <c r="J740" s="79"/>
    </row>
    <row r="741" spans="1:10" ht="15" customHeight="1">
      <c r="A741" s="693"/>
      <c r="B741" s="694"/>
      <c r="C741" s="694"/>
      <c r="D741" s="694"/>
      <c r="E741" s="694"/>
      <c r="F741" s="56"/>
      <c r="G741" s="56"/>
      <c r="H741" s="56"/>
      <c r="I741" s="56"/>
      <c r="J741" s="57"/>
    </row>
    <row r="742" spans="1:10">
      <c r="A742" s="80"/>
      <c r="B742" s="81"/>
      <c r="C742" s="76"/>
      <c r="D742" s="77"/>
      <c r="E742" s="78"/>
      <c r="F742" s="77"/>
      <c r="G742" s="77"/>
      <c r="H742" s="77"/>
      <c r="I742" s="77"/>
      <c r="J742" s="79"/>
    </row>
    <row r="743" spans="1:10">
      <c r="A743" s="80"/>
      <c r="B743" s="81"/>
      <c r="C743" s="76"/>
      <c r="D743" s="77"/>
      <c r="E743" s="78"/>
      <c r="F743" s="77"/>
      <c r="G743" s="77"/>
      <c r="H743" s="77"/>
      <c r="I743" s="77"/>
      <c r="J743" s="79"/>
    </row>
    <row r="744" spans="1:10">
      <c r="A744" s="693"/>
      <c r="B744" s="694"/>
      <c r="C744" s="694"/>
      <c r="D744" s="694"/>
      <c r="E744" s="694"/>
      <c r="F744" s="56"/>
      <c r="G744" s="56"/>
      <c r="H744" s="56"/>
      <c r="I744" s="56"/>
      <c r="J744" s="57"/>
    </row>
    <row r="745" spans="1:10">
      <c r="A745" s="80"/>
      <c r="B745" s="81"/>
      <c r="C745" s="76"/>
      <c r="D745" s="77"/>
      <c r="E745" s="78"/>
      <c r="F745" s="77"/>
      <c r="G745" s="77"/>
      <c r="H745" s="77"/>
      <c r="I745" s="77"/>
      <c r="J745" s="79"/>
    </row>
    <row r="746" spans="1:10">
      <c r="A746" s="80"/>
      <c r="B746" s="81"/>
      <c r="C746" s="76"/>
      <c r="D746" s="77"/>
      <c r="E746" s="78"/>
      <c r="F746" s="77"/>
      <c r="G746" s="77"/>
      <c r="H746" s="77"/>
      <c r="I746" s="77"/>
      <c r="J746" s="79"/>
    </row>
    <row r="747" spans="1:10" ht="15" customHeight="1">
      <c r="A747" s="693"/>
      <c r="B747" s="694"/>
      <c r="C747" s="694"/>
      <c r="D747" s="694"/>
      <c r="E747" s="694"/>
      <c r="F747" s="56"/>
      <c r="G747" s="56"/>
      <c r="H747" s="56"/>
      <c r="I747" s="56"/>
      <c r="J747" s="57"/>
    </row>
    <row r="748" spans="1:10">
      <c r="A748" s="80"/>
      <c r="B748" s="81"/>
      <c r="C748" s="76"/>
      <c r="D748" s="77"/>
      <c r="E748" s="78"/>
      <c r="F748" s="77"/>
      <c r="G748" s="77"/>
      <c r="H748" s="77"/>
      <c r="I748" s="77"/>
      <c r="J748" s="79"/>
    </row>
    <row r="749" spans="1:10">
      <c r="A749" s="80"/>
      <c r="B749" s="81"/>
      <c r="C749" s="76"/>
      <c r="D749" s="77"/>
      <c r="E749" s="78"/>
      <c r="F749" s="77"/>
      <c r="G749" s="77"/>
      <c r="H749" s="77"/>
      <c r="I749" s="77"/>
      <c r="J749" s="79"/>
    </row>
    <row r="750" spans="1:10">
      <c r="A750" s="80"/>
      <c r="B750" s="81"/>
      <c r="C750" s="76"/>
      <c r="D750" s="77"/>
      <c r="E750" s="78"/>
      <c r="F750" s="77"/>
      <c r="G750" s="77"/>
      <c r="H750" s="77"/>
      <c r="I750" s="77"/>
      <c r="J750" s="79"/>
    </row>
    <row r="751" spans="1:10">
      <c r="A751" s="80"/>
      <c r="B751" s="81"/>
      <c r="C751" s="76"/>
      <c r="D751" s="77"/>
      <c r="E751" s="78"/>
      <c r="F751" s="77"/>
      <c r="G751" s="77"/>
      <c r="H751" s="77"/>
      <c r="I751" s="77"/>
      <c r="J751" s="79"/>
    </row>
    <row r="752" spans="1:10">
      <c r="A752" s="80"/>
      <c r="B752" s="81"/>
      <c r="C752" s="76"/>
      <c r="D752" s="77"/>
      <c r="E752" s="78"/>
      <c r="F752" s="77"/>
      <c r="G752" s="77"/>
      <c r="H752" s="77"/>
      <c r="I752" s="77"/>
      <c r="J752" s="79"/>
    </row>
    <row r="753" spans="1:10">
      <c r="A753" s="80"/>
      <c r="B753" s="81"/>
      <c r="C753" s="76"/>
      <c r="D753" s="77"/>
      <c r="E753" s="78"/>
      <c r="F753" s="77"/>
      <c r="G753" s="77"/>
      <c r="H753" s="77"/>
      <c r="I753" s="77"/>
      <c r="J753" s="79"/>
    </row>
    <row r="754" spans="1:10">
      <c r="A754" s="80"/>
      <c r="B754" s="81"/>
      <c r="C754" s="76"/>
      <c r="D754" s="77"/>
      <c r="E754" s="78"/>
      <c r="F754" s="77"/>
      <c r="G754" s="77"/>
      <c r="H754" s="77"/>
      <c r="I754" s="77"/>
      <c r="J754" s="79"/>
    </row>
    <row r="755" spans="1:10">
      <c r="A755" s="80"/>
      <c r="B755" s="81"/>
      <c r="C755" s="76"/>
      <c r="D755" s="77"/>
      <c r="E755" s="78"/>
      <c r="F755" s="77"/>
      <c r="G755" s="77"/>
      <c r="H755" s="77"/>
      <c r="I755" s="77"/>
      <c r="J755" s="79"/>
    </row>
    <row r="756" spans="1:10">
      <c r="A756" s="80"/>
      <c r="B756" s="81"/>
      <c r="C756" s="76"/>
      <c r="D756" s="77"/>
      <c r="E756" s="78"/>
      <c r="F756" s="77"/>
      <c r="G756" s="77"/>
      <c r="H756" s="77"/>
      <c r="I756" s="77"/>
      <c r="J756" s="79"/>
    </row>
    <row r="757" spans="1:10">
      <c r="A757" s="80"/>
      <c r="B757" s="81"/>
      <c r="C757" s="76"/>
      <c r="D757" s="77"/>
      <c r="E757" s="78"/>
      <c r="F757" s="77"/>
      <c r="G757" s="77"/>
      <c r="H757" s="77"/>
      <c r="I757" s="77"/>
      <c r="J757" s="79"/>
    </row>
    <row r="758" spans="1:10">
      <c r="A758" s="80"/>
      <c r="B758" s="81"/>
      <c r="C758" s="76"/>
      <c r="D758" s="77"/>
      <c r="E758" s="78"/>
      <c r="F758" s="77"/>
      <c r="G758" s="77"/>
      <c r="H758" s="77"/>
      <c r="I758" s="77"/>
      <c r="J758" s="79"/>
    </row>
    <row r="759" spans="1:10">
      <c r="A759" s="80"/>
      <c r="B759" s="81"/>
      <c r="C759" s="76"/>
      <c r="D759" s="77"/>
      <c r="E759" s="78"/>
      <c r="F759" s="77"/>
      <c r="G759" s="77"/>
      <c r="H759" s="77"/>
      <c r="I759" s="77"/>
      <c r="J759" s="79"/>
    </row>
    <row r="760" spans="1:10">
      <c r="A760" s="80"/>
      <c r="B760" s="81"/>
      <c r="C760" s="76"/>
      <c r="D760" s="77"/>
      <c r="E760" s="78"/>
      <c r="F760" s="77"/>
      <c r="G760" s="77"/>
      <c r="H760" s="77"/>
      <c r="I760" s="77"/>
      <c r="J760" s="79"/>
    </row>
    <row r="761" spans="1:10">
      <c r="A761" s="80"/>
      <c r="B761" s="81"/>
      <c r="C761" s="76"/>
      <c r="D761" s="77"/>
      <c r="E761" s="78"/>
      <c r="F761" s="77"/>
      <c r="G761" s="77"/>
      <c r="H761" s="77"/>
      <c r="I761" s="77"/>
      <c r="J761" s="79"/>
    </row>
    <row r="762" spans="1:10" ht="15" customHeight="1">
      <c r="A762" s="693"/>
      <c r="B762" s="694"/>
      <c r="C762" s="694"/>
      <c r="D762" s="694"/>
      <c r="E762" s="694"/>
      <c r="F762" s="56"/>
      <c r="G762" s="56"/>
      <c r="H762" s="56"/>
      <c r="I762" s="56"/>
      <c r="J762" s="57"/>
    </row>
    <row r="763" spans="1:10">
      <c r="A763" s="80"/>
      <c r="B763" s="81"/>
      <c r="C763" s="76"/>
      <c r="D763" s="77"/>
      <c r="E763" s="78"/>
      <c r="F763" s="77"/>
      <c r="G763" s="77"/>
      <c r="H763" s="77"/>
      <c r="I763" s="77"/>
      <c r="J763" s="79"/>
    </row>
    <row r="764" spans="1:10">
      <c r="A764" s="74"/>
      <c r="B764" s="75"/>
      <c r="C764" s="76"/>
      <c r="D764" s="77"/>
      <c r="E764" s="78"/>
      <c r="F764" s="77"/>
      <c r="G764" s="77"/>
      <c r="H764" s="77"/>
      <c r="I764" s="77"/>
      <c r="J764" s="79"/>
    </row>
    <row r="765" spans="1:10" ht="15" customHeight="1">
      <c r="A765" s="693"/>
      <c r="B765" s="694"/>
      <c r="C765" s="694"/>
      <c r="D765" s="694"/>
      <c r="E765" s="694"/>
      <c r="F765" s="56"/>
      <c r="G765" s="56"/>
      <c r="H765" s="56"/>
      <c r="I765" s="56"/>
      <c r="J765" s="57"/>
    </row>
    <row r="766" spans="1:10">
      <c r="A766" s="80"/>
      <c r="B766" s="81"/>
      <c r="C766" s="76"/>
      <c r="D766" s="77"/>
      <c r="E766" s="78"/>
      <c r="F766" s="77"/>
      <c r="G766" s="77"/>
      <c r="H766" s="77"/>
      <c r="I766" s="77"/>
      <c r="J766" s="79"/>
    </row>
    <row r="767" spans="1:10">
      <c r="A767" s="74"/>
      <c r="B767" s="75"/>
      <c r="C767" s="76"/>
      <c r="D767" s="77"/>
      <c r="E767" s="78"/>
      <c r="F767" s="77"/>
      <c r="G767" s="77"/>
      <c r="H767" s="77"/>
      <c r="I767" s="77"/>
      <c r="J767" s="79"/>
    </row>
    <row r="768" spans="1:10" ht="15" customHeight="1">
      <c r="A768" s="693"/>
      <c r="B768" s="694"/>
      <c r="C768" s="694"/>
      <c r="D768" s="694"/>
      <c r="E768" s="694"/>
      <c r="F768" s="56"/>
      <c r="G768" s="56"/>
      <c r="H768" s="56"/>
      <c r="I768" s="56"/>
      <c r="J768" s="57"/>
    </row>
    <row r="769" spans="1:10">
      <c r="A769" s="80"/>
      <c r="B769" s="81"/>
      <c r="C769" s="76"/>
      <c r="D769" s="77"/>
      <c r="E769" s="78"/>
      <c r="F769" s="77"/>
      <c r="G769" s="77"/>
      <c r="H769" s="77"/>
      <c r="I769" s="77"/>
      <c r="J769" s="79"/>
    </row>
    <row r="770" spans="1:10">
      <c r="A770" s="74"/>
      <c r="B770" s="75"/>
      <c r="C770" s="76"/>
      <c r="D770" s="77"/>
      <c r="E770" s="78"/>
      <c r="F770" s="77"/>
      <c r="G770" s="77"/>
      <c r="H770" s="77"/>
      <c r="I770" s="77"/>
      <c r="J770" s="79"/>
    </row>
    <row r="771" spans="1:10" ht="15" customHeight="1">
      <c r="A771" s="693"/>
      <c r="B771" s="694"/>
      <c r="C771" s="694"/>
      <c r="D771" s="694"/>
      <c r="E771" s="694"/>
      <c r="F771" s="56"/>
      <c r="G771" s="56"/>
      <c r="H771" s="56"/>
      <c r="I771" s="56"/>
      <c r="J771" s="57"/>
    </row>
    <row r="772" spans="1:10">
      <c r="A772" s="80"/>
      <c r="B772" s="81"/>
      <c r="C772" s="76"/>
      <c r="D772" s="77"/>
      <c r="E772" s="78"/>
      <c r="F772" s="77"/>
      <c r="G772" s="77"/>
      <c r="H772" s="77"/>
      <c r="I772" s="77"/>
      <c r="J772" s="79"/>
    </row>
    <row r="773" spans="1:10" ht="15.75" thickBot="1">
      <c r="A773" s="139"/>
      <c r="B773" s="140"/>
      <c r="C773" s="141"/>
      <c r="D773" s="142"/>
      <c r="E773" s="143"/>
      <c r="F773" s="142"/>
      <c r="G773" s="142"/>
      <c r="H773" s="142"/>
      <c r="I773" s="142"/>
      <c r="J773" s="144"/>
    </row>
    <row r="774" spans="1:10" ht="15.75" thickBot="1">
      <c r="A774" s="685"/>
      <c r="B774" s="686"/>
      <c r="C774" s="686"/>
      <c r="D774" s="686"/>
      <c r="E774" s="686"/>
      <c r="F774" s="82"/>
      <c r="G774" s="82"/>
      <c r="H774" s="82"/>
      <c r="I774" s="82"/>
      <c r="J774" s="83"/>
    </row>
    <row r="775" spans="1:10" ht="15.75" customHeight="1" thickBot="1">
      <c r="A775" s="683"/>
      <c r="B775" s="684"/>
      <c r="C775" s="684"/>
      <c r="D775" s="684"/>
      <c r="E775" s="684"/>
      <c r="F775" s="72"/>
      <c r="G775" s="72"/>
      <c r="H775" s="72"/>
      <c r="I775" s="72"/>
      <c r="J775" s="73"/>
    </row>
    <row r="776" spans="1:10">
      <c r="A776" s="145"/>
      <c r="B776" s="695"/>
      <c r="C776" s="695"/>
      <c r="D776" s="695"/>
      <c r="E776" s="695"/>
      <c r="F776" s="146"/>
      <c r="G776" s="146"/>
      <c r="H776" s="146"/>
      <c r="I776" s="146"/>
      <c r="J776" s="147"/>
    </row>
    <row r="777" spans="1:10">
      <c r="A777" s="80"/>
      <c r="B777" s="81"/>
      <c r="C777" s="76"/>
      <c r="D777" s="77"/>
      <c r="E777" s="78"/>
      <c r="F777" s="77"/>
      <c r="G777" s="77"/>
      <c r="H777" s="77"/>
      <c r="I777" s="77"/>
      <c r="J777" s="79"/>
    </row>
    <row r="778" spans="1:10" ht="15.75" thickBot="1">
      <c r="A778" s="139"/>
      <c r="B778" s="140"/>
      <c r="C778" s="141"/>
      <c r="D778" s="142"/>
      <c r="E778" s="143"/>
      <c r="F778" s="142"/>
      <c r="G778" s="142"/>
      <c r="H778" s="142"/>
      <c r="I778" s="142"/>
      <c r="J778" s="144"/>
    </row>
    <row r="779" spans="1:10" ht="15.75" thickBot="1">
      <c r="A779" s="685"/>
      <c r="B779" s="686"/>
      <c r="C779" s="686"/>
      <c r="D779" s="686"/>
      <c r="E779" s="686"/>
      <c r="F779" s="85"/>
      <c r="G779" s="85"/>
      <c r="H779" s="85"/>
      <c r="I779" s="85"/>
      <c r="J779" s="86"/>
    </row>
    <row r="780" spans="1:10" ht="15.75" customHeight="1" thickBot="1">
      <c r="A780" s="683"/>
      <c r="B780" s="684"/>
      <c r="C780" s="684"/>
      <c r="D780" s="684"/>
      <c r="E780" s="684"/>
      <c r="F780" s="72"/>
      <c r="G780" s="72"/>
      <c r="H780" s="72"/>
      <c r="I780" s="72"/>
      <c r="J780" s="73"/>
    </row>
    <row r="781" spans="1:10">
      <c r="A781" s="145"/>
      <c r="B781" s="695"/>
      <c r="C781" s="695"/>
      <c r="D781" s="695"/>
      <c r="E781" s="695"/>
      <c r="F781" s="148"/>
      <c r="G781" s="148"/>
      <c r="H781" s="148"/>
      <c r="I781" s="148"/>
      <c r="J781" s="149"/>
    </row>
    <row r="782" spans="1:10">
      <c r="A782" s="80"/>
      <c r="B782" s="81"/>
      <c r="C782" s="76"/>
      <c r="D782" s="77"/>
      <c r="E782" s="78"/>
      <c r="F782" s="77"/>
      <c r="G782" s="77"/>
      <c r="H782" s="77"/>
      <c r="I782" s="77"/>
      <c r="J782" s="79"/>
    </row>
    <row r="783" spans="1:10">
      <c r="A783" s="74"/>
      <c r="B783" s="75"/>
      <c r="C783" s="76"/>
      <c r="D783" s="77"/>
      <c r="E783" s="78"/>
      <c r="F783" s="77"/>
      <c r="G783" s="77"/>
      <c r="H783" s="77"/>
      <c r="I783" s="77"/>
      <c r="J783" s="79"/>
    </row>
    <row r="784" spans="1:10">
      <c r="A784" s="87"/>
      <c r="B784" s="696"/>
      <c r="C784" s="696"/>
      <c r="D784" s="696"/>
      <c r="E784" s="696"/>
      <c r="F784" s="88"/>
      <c r="G784" s="88"/>
      <c r="H784" s="88"/>
      <c r="I784" s="88"/>
      <c r="J784" s="89"/>
    </row>
    <row r="785" spans="1:11">
      <c r="A785" s="80"/>
      <c r="B785" s="81"/>
      <c r="C785" s="76"/>
      <c r="D785" s="77"/>
      <c r="E785" s="78"/>
      <c r="F785" s="77"/>
      <c r="G785" s="77"/>
      <c r="H785" s="77"/>
      <c r="I785" s="77"/>
      <c r="J785" s="79"/>
    </row>
    <row r="786" spans="1:11">
      <c r="A786" s="74"/>
      <c r="B786" s="75"/>
      <c r="C786" s="76"/>
      <c r="D786" s="77"/>
      <c r="E786" s="78"/>
      <c r="F786" s="77"/>
      <c r="G786" s="77"/>
      <c r="H786" s="77"/>
      <c r="I786" s="77"/>
      <c r="J786" s="79"/>
    </row>
    <row r="787" spans="1:11">
      <c r="A787" s="87"/>
      <c r="B787" s="696"/>
      <c r="C787" s="696"/>
      <c r="D787" s="696"/>
      <c r="E787" s="696"/>
      <c r="F787" s="88"/>
      <c r="G787" s="88"/>
      <c r="H787" s="88"/>
      <c r="I787" s="88"/>
      <c r="J787" s="89"/>
    </row>
    <row r="788" spans="1:11">
      <c r="A788" s="80"/>
      <c r="B788" s="81"/>
      <c r="C788" s="76"/>
      <c r="D788" s="77"/>
      <c r="E788" s="78"/>
      <c r="F788" s="77"/>
      <c r="G788" s="77"/>
      <c r="H788" s="77"/>
      <c r="I788" s="77"/>
      <c r="J788" s="79"/>
    </row>
    <row r="789" spans="1:11" ht="15.75" thickBot="1">
      <c r="A789" s="139"/>
      <c r="B789" s="140"/>
      <c r="C789" s="141"/>
      <c r="D789" s="142"/>
      <c r="E789" s="143"/>
      <c r="F789" s="142"/>
      <c r="G789" s="142"/>
      <c r="H789" s="142"/>
      <c r="I789" s="142"/>
      <c r="J789" s="144"/>
    </row>
    <row r="790" spans="1:11" ht="15.75" thickBot="1">
      <c r="A790" s="685"/>
      <c r="B790" s="686"/>
      <c r="C790" s="686"/>
      <c r="D790" s="686"/>
      <c r="E790" s="686"/>
      <c r="F790" s="62"/>
      <c r="G790" s="62"/>
      <c r="H790" s="62"/>
      <c r="I790" s="62"/>
      <c r="J790" s="63"/>
    </row>
    <row r="791" spans="1:11">
      <c r="A791" s="38"/>
      <c r="B791" s="39"/>
      <c r="C791" s="39"/>
      <c r="D791" s="39"/>
      <c r="E791" s="39"/>
      <c r="F791" s="39"/>
      <c r="G791" s="39"/>
      <c r="H791" s="39"/>
      <c r="I791" s="39"/>
      <c r="J791" s="39"/>
    </row>
    <row r="792" spans="1:11">
      <c r="A792" s="38"/>
      <c r="C792" s="42"/>
      <c r="D792" s="42"/>
      <c r="E792" s="42"/>
      <c r="F792" s="42"/>
      <c r="G792" s="42"/>
      <c r="H792" s="42"/>
      <c r="I792" s="42"/>
      <c r="J792" s="42"/>
    </row>
    <row r="793" spans="1:11" ht="18.75">
      <c r="A793" s="42"/>
      <c r="B793" s="90"/>
      <c r="C793" s="42"/>
      <c r="D793" s="42"/>
      <c r="E793" s="42"/>
      <c r="F793" s="42"/>
      <c r="G793" s="42"/>
      <c r="H793" s="42"/>
      <c r="I793" s="42"/>
      <c r="J793" s="42"/>
    </row>
    <row r="794" spans="1:11" ht="18.75">
      <c r="A794" s="38"/>
      <c r="B794" s="90"/>
      <c r="C794" s="39"/>
      <c r="D794" s="39"/>
      <c r="E794" s="39"/>
      <c r="F794" s="39"/>
      <c r="G794" s="39"/>
      <c r="H794" s="39"/>
      <c r="I794" s="39"/>
      <c r="J794" s="39"/>
    </row>
    <row r="795" spans="1:11">
      <c r="A795" s="35"/>
      <c r="B795" s="93"/>
      <c r="C795" s="94"/>
      <c r="D795" s="95"/>
      <c r="E795" s="96"/>
      <c r="F795" s="96"/>
      <c r="G795" s="95"/>
      <c r="H795" s="95"/>
      <c r="I795" s="95"/>
      <c r="J795" s="95"/>
    </row>
    <row r="796" spans="1:11">
      <c r="A796" s="35"/>
      <c r="B796" s="93"/>
      <c r="C796" s="94"/>
      <c r="D796" s="95"/>
      <c r="E796" s="96"/>
      <c r="F796" s="96"/>
      <c r="G796" s="95"/>
      <c r="H796" s="95"/>
      <c r="I796" s="95"/>
      <c r="J796" s="95"/>
    </row>
    <row r="797" spans="1:11">
      <c r="A797" s="35"/>
      <c r="B797" s="98"/>
      <c r="C797" s="94"/>
      <c r="D797" s="95"/>
      <c r="E797" s="96"/>
      <c r="F797" s="96"/>
      <c r="G797" s="95"/>
      <c r="H797" s="95"/>
      <c r="I797" s="95"/>
      <c r="J797" s="95"/>
      <c r="K797" s="67"/>
    </row>
    <row r="798" spans="1:11" ht="15.75">
      <c r="A798" s="41"/>
      <c r="B798" s="41"/>
      <c r="C798" s="42"/>
      <c r="D798" s="42"/>
      <c r="E798" s="69"/>
      <c r="F798" s="42"/>
      <c r="G798" s="42"/>
      <c r="H798" s="42"/>
      <c r="I798" s="42"/>
      <c r="J798" s="42"/>
    </row>
    <row r="799" spans="1:11" ht="15.75">
      <c r="A799" s="41"/>
      <c r="B799" s="41"/>
      <c r="C799" s="44"/>
      <c r="D799" s="44"/>
      <c r="E799" s="44"/>
      <c r="F799" s="44"/>
      <c r="G799" s="44"/>
      <c r="H799" s="44"/>
      <c r="I799" s="44"/>
      <c r="J799" s="44"/>
    </row>
    <row r="800" spans="1:11" ht="15.75">
      <c r="A800" s="41"/>
      <c r="B800" s="41"/>
      <c r="C800" s="44"/>
      <c r="D800" s="44"/>
      <c r="E800" s="44"/>
      <c r="F800" s="44"/>
      <c r="G800" s="44"/>
      <c r="H800" s="44"/>
      <c r="I800" s="44"/>
      <c r="J800" s="44"/>
    </row>
    <row r="801" spans="1:10" ht="15.75">
      <c r="A801" s="41"/>
      <c r="B801" s="41"/>
      <c r="C801" s="44"/>
      <c r="D801" s="44"/>
      <c r="E801" s="44"/>
      <c r="F801" s="44"/>
      <c r="G801" s="44"/>
      <c r="H801" s="44"/>
      <c r="I801" s="44"/>
      <c r="J801" s="44"/>
    </row>
    <row r="802" spans="1:10" ht="15.75">
      <c r="A802" s="70"/>
      <c r="B802" s="44"/>
      <c r="C802" s="44"/>
      <c r="D802" s="44"/>
      <c r="E802" s="44"/>
      <c r="F802" s="44"/>
      <c r="G802" s="44"/>
      <c r="H802" s="44"/>
      <c r="I802" s="44"/>
      <c r="J802" s="44"/>
    </row>
    <row r="803" spans="1:10">
      <c r="A803" s="687"/>
      <c r="B803" s="687"/>
      <c r="C803" s="687"/>
      <c r="D803" s="687"/>
      <c r="E803" s="687"/>
      <c r="F803" s="687"/>
      <c r="G803" s="687"/>
      <c r="H803" s="687"/>
      <c r="I803" s="687"/>
      <c r="J803" s="687"/>
    </row>
    <row r="804" spans="1:10">
      <c r="A804" s="136"/>
      <c r="B804" s="136"/>
      <c r="C804" s="136"/>
      <c r="D804" s="136"/>
      <c r="E804" s="136"/>
      <c r="F804" s="136"/>
      <c r="G804" s="136"/>
      <c r="H804" s="136"/>
      <c r="I804" s="136"/>
      <c r="J804" s="136"/>
    </row>
    <row r="805" spans="1:10" ht="15.75" thickBot="1">
      <c r="A805" s="42"/>
      <c r="B805" s="46"/>
      <c r="C805" s="71"/>
      <c r="D805" s="71"/>
      <c r="E805" s="71"/>
      <c r="F805" s="33"/>
      <c r="G805" s="47"/>
      <c r="H805" s="48"/>
      <c r="I805" s="49"/>
      <c r="J805" s="50"/>
    </row>
    <row r="806" spans="1:10" ht="15.75" customHeight="1" thickBot="1">
      <c r="A806" s="688"/>
      <c r="B806" s="688"/>
      <c r="C806" s="688"/>
      <c r="D806" s="688"/>
      <c r="E806" s="688"/>
      <c r="F806" s="689"/>
      <c r="G806" s="689"/>
      <c r="H806" s="24"/>
      <c r="I806" s="689"/>
      <c r="J806" s="689"/>
    </row>
    <row r="807" spans="1:10" ht="15.75" thickBot="1">
      <c r="A807" s="688"/>
      <c r="B807" s="688"/>
      <c r="C807" s="688"/>
      <c r="D807" s="688"/>
      <c r="E807" s="688"/>
      <c r="F807" s="51"/>
      <c r="G807" s="51"/>
      <c r="H807" s="51"/>
      <c r="I807" s="51"/>
      <c r="J807" s="51"/>
    </row>
    <row r="808" spans="1:10" ht="15.75" thickBot="1">
      <c r="A808" s="3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5.75" customHeight="1" thickBot="1">
      <c r="A809" s="683"/>
      <c r="B809" s="684"/>
      <c r="C809" s="684"/>
      <c r="D809" s="684"/>
      <c r="E809" s="684"/>
      <c r="F809" s="72"/>
      <c r="G809" s="72"/>
      <c r="H809" s="72"/>
      <c r="I809" s="72"/>
      <c r="J809" s="73"/>
    </row>
    <row r="810" spans="1:10" ht="15" customHeight="1">
      <c r="A810" s="691"/>
      <c r="B810" s="692"/>
      <c r="C810" s="692"/>
      <c r="D810" s="692"/>
      <c r="E810" s="692"/>
      <c r="F810" s="137"/>
      <c r="G810" s="137"/>
      <c r="H810" s="137"/>
      <c r="I810" s="137"/>
      <c r="J810" s="138"/>
    </row>
    <row r="811" spans="1:10">
      <c r="A811" s="74"/>
      <c r="B811" s="75"/>
      <c r="C811" s="76"/>
      <c r="D811" s="77"/>
      <c r="E811" s="78"/>
      <c r="F811" s="77"/>
      <c r="G811" s="77"/>
      <c r="H811" s="77"/>
      <c r="I811" s="77"/>
      <c r="J811" s="79"/>
    </row>
    <row r="812" spans="1:10">
      <c r="A812" s="74"/>
      <c r="B812" s="75"/>
      <c r="C812" s="76"/>
      <c r="D812" s="77"/>
      <c r="E812" s="78"/>
      <c r="F812" s="77"/>
      <c r="G812" s="77"/>
      <c r="H812" s="77"/>
      <c r="I812" s="77"/>
      <c r="J812" s="79"/>
    </row>
    <row r="813" spans="1:10" ht="15" customHeight="1">
      <c r="A813" s="693"/>
      <c r="B813" s="694"/>
      <c r="C813" s="694"/>
      <c r="D813" s="694"/>
      <c r="E813" s="694"/>
      <c r="F813" s="56"/>
      <c r="G813" s="56"/>
      <c r="H813" s="56"/>
      <c r="I813" s="56"/>
      <c r="J813" s="57"/>
    </row>
    <row r="814" spans="1:10">
      <c r="A814" s="80"/>
      <c r="B814" s="81"/>
      <c r="C814" s="76"/>
      <c r="D814" s="77"/>
      <c r="E814" s="78"/>
      <c r="F814" s="77"/>
      <c r="G814" s="77"/>
      <c r="H814" s="77"/>
      <c r="I814" s="77"/>
      <c r="J814" s="79"/>
    </row>
    <row r="815" spans="1:10">
      <c r="A815" s="80"/>
      <c r="B815" s="81"/>
      <c r="C815" s="76"/>
      <c r="D815" s="77"/>
      <c r="E815" s="78"/>
      <c r="F815" s="77"/>
      <c r="G815" s="77"/>
      <c r="H815" s="77"/>
      <c r="I815" s="77"/>
      <c r="J815" s="79"/>
    </row>
    <row r="816" spans="1:10">
      <c r="A816" s="693"/>
      <c r="B816" s="694"/>
      <c r="C816" s="694"/>
      <c r="D816" s="694"/>
      <c r="E816" s="694"/>
      <c r="F816" s="56"/>
      <c r="G816" s="56"/>
      <c r="H816" s="56"/>
      <c r="I816" s="56"/>
      <c r="J816" s="57"/>
    </row>
    <row r="817" spans="1:10">
      <c r="A817" s="80"/>
      <c r="B817" s="81"/>
      <c r="C817" s="76"/>
      <c r="D817" s="77"/>
      <c r="E817" s="78"/>
      <c r="F817" s="77"/>
      <c r="G817" s="77"/>
      <c r="H817" s="77"/>
      <c r="I817" s="77"/>
      <c r="J817" s="79"/>
    </row>
    <row r="818" spans="1:10">
      <c r="A818" s="80"/>
      <c r="B818" s="81"/>
      <c r="C818" s="76"/>
      <c r="D818" s="77"/>
      <c r="E818" s="78"/>
      <c r="F818" s="77"/>
      <c r="G818" s="77"/>
      <c r="H818" s="77"/>
      <c r="I818" s="77"/>
      <c r="J818" s="79"/>
    </row>
    <row r="819" spans="1:10" ht="15" customHeight="1">
      <c r="A819" s="693"/>
      <c r="B819" s="694"/>
      <c r="C819" s="694"/>
      <c r="D819" s="694"/>
      <c r="E819" s="694"/>
      <c r="F819" s="56"/>
      <c r="G819" s="56"/>
      <c r="H819" s="56"/>
      <c r="I819" s="56"/>
      <c r="J819" s="57"/>
    </row>
    <row r="820" spans="1:10">
      <c r="A820" s="80"/>
      <c r="B820" s="81"/>
      <c r="C820" s="76"/>
      <c r="D820" s="77"/>
      <c r="E820" s="78"/>
      <c r="F820" s="77"/>
      <c r="G820" s="77"/>
      <c r="H820" s="77"/>
      <c r="I820" s="77"/>
      <c r="J820" s="79"/>
    </row>
    <row r="821" spans="1:10">
      <c r="A821" s="80"/>
      <c r="B821" s="81"/>
      <c r="C821" s="76"/>
      <c r="D821" s="77"/>
      <c r="E821" s="78"/>
      <c r="F821" s="77"/>
      <c r="G821" s="77"/>
      <c r="H821" s="77"/>
      <c r="I821" s="77"/>
      <c r="J821" s="79"/>
    </row>
    <row r="822" spans="1:10">
      <c r="A822" s="80"/>
      <c r="B822" s="81"/>
      <c r="C822" s="76"/>
      <c r="D822" s="77"/>
      <c r="E822" s="78"/>
      <c r="F822" s="77"/>
      <c r="G822" s="77"/>
      <c r="H822" s="77"/>
      <c r="I822" s="77"/>
      <c r="J822" s="79"/>
    </row>
    <row r="823" spans="1:10">
      <c r="A823" s="80"/>
      <c r="B823" s="81"/>
      <c r="C823" s="76"/>
      <c r="D823" s="77"/>
      <c r="E823" s="78"/>
      <c r="F823" s="77"/>
      <c r="G823" s="77"/>
      <c r="H823" s="77"/>
      <c r="I823" s="77"/>
      <c r="J823" s="79"/>
    </row>
    <row r="824" spans="1:10">
      <c r="A824" s="80"/>
      <c r="B824" s="81"/>
      <c r="C824" s="76"/>
      <c r="D824" s="77"/>
      <c r="E824" s="78"/>
      <c r="F824" s="77"/>
      <c r="G824" s="77"/>
      <c r="H824" s="77"/>
      <c r="I824" s="77"/>
      <c r="J824" s="79"/>
    </row>
    <row r="825" spans="1:10">
      <c r="A825" s="80"/>
      <c r="B825" s="81"/>
      <c r="C825" s="76"/>
      <c r="D825" s="77"/>
      <c r="E825" s="78"/>
      <c r="F825" s="77"/>
      <c r="G825" s="77"/>
      <c r="H825" s="77"/>
      <c r="I825" s="77"/>
      <c r="J825" s="79"/>
    </row>
    <row r="826" spans="1:10">
      <c r="A826" s="80"/>
      <c r="B826" s="81"/>
      <c r="C826" s="76"/>
      <c r="D826" s="77"/>
      <c r="E826" s="78"/>
      <c r="F826" s="77"/>
      <c r="G826" s="77"/>
      <c r="H826" s="77"/>
      <c r="I826" s="77"/>
      <c r="J826" s="79"/>
    </row>
    <row r="827" spans="1:10">
      <c r="A827" s="80"/>
      <c r="B827" s="81"/>
      <c r="C827" s="76"/>
      <c r="D827" s="77"/>
      <c r="E827" s="78"/>
      <c r="F827" s="77"/>
      <c r="G827" s="77"/>
      <c r="H827" s="77"/>
      <c r="I827" s="77"/>
      <c r="J827" s="79"/>
    </row>
    <row r="828" spans="1:10">
      <c r="A828" s="80"/>
      <c r="B828" s="81"/>
      <c r="C828" s="76"/>
      <c r="D828" s="77"/>
      <c r="E828" s="78"/>
      <c r="F828" s="77"/>
      <c r="G828" s="77"/>
      <c r="H828" s="77"/>
      <c r="I828" s="77"/>
      <c r="J828" s="79"/>
    </row>
    <row r="829" spans="1:10">
      <c r="A829" s="80"/>
      <c r="B829" s="81"/>
      <c r="C829" s="76"/>
      <c r="D829" s="77"/>
      <c r="E829" s="78"/>
      <c r="F829" s="77"/>
      <c r="G829" s="77"/>
      <c r="H829" s="77"/>
      <c r="I829" s="77"/>
      <c r="J829" s="79"/>
    </row>
    <row r="830" spans="1:10">
      <c r="A830" s="80"/>
      <c r="B830" s="81"/>
      <c r="C830" s="76"/>
      <c r="D830" s="77"/>
      <c r="E830" s="78"/>
      <c r="F830" s="77"/>
      <c r="G830" s="77"/>
      <c r="H830" s="77"/>
      <c r="I830" s="77"/>
      <c r="J830" s="79"/>
    </row>
    <row r="831" spans="1:10">
      <c r="A831" s="80"/>
      <c r="B831" s="81"/>
      <c r="C831" s="76"/>
      <c r="D831" s="77"/>
      <c r="E831" s="78"/>
      <c r="F831" s="77"/>
      <c r="G831" s="77"/>
      <c r="H831" s="77"/>
      <c r="I831" s="77"/>
      <c r="J831" s="79"/>
    </row>
    <row r="832" spans="1:10">
      <c r="A832" s="80"/>
      <c r="B832" s="81"/>
      <c r="C832" s="76"/>
      <c r="D832" s="77"/>
      <c r="E832" s="78"/>
      <c r="F832" s="77"/>
      <c r="G832" s="77"/>
      <c r="H832" s="77"/>
      <c r="I832" s="77"/>
      <c r="J832" s="79"/>
    </row>
    <row r="833" spans="1:10">
      <c r="A833" s="80"/>
      <c r="B833" s="81"/>
      <c r="C833" s="76"/>
      <c r="D833" s="77"/>
      <c r="E833" s="78"/>
      <c r="F833" s="77"/>
      <c r="G833" s="77"/>
      <c r="H833" s="77"/>
      <c r="I833" s="77"/>
      <c r="J833" s="79"/>
    </row>
    <row r="834" spans="1:10" ht="15" customHeight="1">
      <c r="A834" s="693"/>
      <c r="B834" s="694"/>
      <c r="C834" s="694"/>
      <c r="D834" s="694"/>
      <c r="E834" s="694"/>
      <c r="F834" s="56"/>
      <c r="G834" s="56"/>
      <c r="H834" s="56"/>
      <c r="I834" s="56"/>
      <c r="J834" s="57"/>
    </row>
    <row r="835" spans="1:10">
      <c r="A835" s="80"/>
      <c r="B835" s="81"/>
      <c r="C835" s="76"/>
      <c r="D835" s="77"/>
      <c r="E835" s="78"/>
      <c r="F835" s="77"/>
      <c r="G835" s="77"/>
      <c r="H835" s="77"/>
      <c r="I835" s="77"/>
      <c r="J835" s="79"/>
    </row>
    <row r="836" spans="1:10">
      <c r="A836" s="74"/>
      <c r="B836" s="75"/>
      <c r="C836" s="76"/>
      <c r="D836" s="77"/>
      <c r="E836" s="78"/>
      <c r="F836" s="77"/>
      <c r="G836" s="77"/>
      <c r="H836" s="77"/>
      <c r="I836" s="77"/>
      <c r="J836" s="79"/>
    </row>
    <row r="837" spans="1:10" ht="15" customHeight="1">
      <c r="A837" s="693"/>
      <c r="B837" s="694"/>
      <c r="C837" s="694"/>
      <c r="D837" s="694"/>
      <c r="E837" s="694"/>
      <c r="F837" s="56"/>
      <c r="G837" s="56"/>
      <c r="H837" s="56"/>
      <c r="I837" s="56"/>
      <c r="J837" s="57"/>
    </row>
    <row r="838" spans="1:10">
      <c r="A838" s="80"/>
      <c r="B838" s="81"/>
      <c r="C838" s="76"/>
      <c r="D838" s="77"/>
      <c r="E838" s="78"/>
      <c r="F838" s="77"/>
      <c r="G838" s="77"/>
      <c r="H838" s="77"/>
      <c r="I838" s="77"/>
      <c r="J838" s="79"/>
    </row>
    <row r="839" spans="1:10">
      <c r="A839" s="74"/>
      <c r="B839" s="75"/>
      <c r="C839" s="76"/>
      <c r="D839" s="77"/>
      <c r="E839" s="78"/>
      <c r="F839" s="77"/>
      <c r="G839" s="77"/>
      <c r="H839" s="77"/>
      <c r="I839" s="77"/>
      <c r="J839" s="79"/>
    </row>
    <row r="840" spans="1:10" ht="15" customHeight="1">
      <c r="A840" s="693"/>
      <c r="B840" s="694"/>
      <c r="C840" s="694"/>
      <c r="D840" s="694"/>
      <c r="E840" s="694"/>
      <c r="F840" s="56"/>
      <c r="G840" s="56"/>
      <c r="H840" s="56"/>
      <c r="I840" s="56"/>
      <c r="J840" s="57"/>
    </row>
    <row r="841" spans="1:10">
      <c r="A841" s="80"/>
      <c r="B841" s="81"/>
      <c r="C841" s="76"/>
      <c r="D841" s="77"/>
      <c r="E841" s="78"/>
      <c r="F841" s="77"/>
      <c r="G841" s="77"/>
      <c r="H841" s="77"/>
      <c r="I841" s="77"/>
      <c r="J841" s="79"/>
    </row>
    <row r="842" spans="1:10">
      <c r="A842" s="74"/>
      <c r="B842" s="75"/>
      <c r="C842" s="76"/>
      <c r="D842" s="77"/>
      <c r="E842" s="78"/>
      <c r="F842" s="77"/>
      <c r="G842" s="77"/>
      <c r="H842" s="77"/>
      <c r="I842" s="77"/>
      <c r="J842" s="79"/>
    </row>
    <row r="843" spans="1:10" ht="15" customHeight="1">
      <c r="A843" s="693"/>
      <c r="B843" s="694"/>
      <c r="C843" s="694"/>
      <c r="D843" s="694"/>
      <c r="E843" s="694"/>
      <c r="F843" s="56"/>
      <c r="G843" s="56"/>
      <c r="H843" s="56"/>
      <c r="I843" s="56"/>
      <c r="J843" s="57"/>
    </row>
    <row r="844" spans="1:10">
      <c r="A844" s="80"/>
      <c r="B844" s="81"/>
      <c r="C844" s="76"/>
      <c r="D844" s="77"/>
      <c r="E844" s="78"/>
      <c r="F844" s="77"/>
      <c r="G844" s="77"/>
      <c r="H844" s="77"/>
      <c r="I844" s="77"/>
      <c r="J844" s="79"/>
    </row>
    <row r="845" spans="1:10" ht="15.75" thickBot="1">
      <c r="A845" s="139"/>
      <c r="B845" s="140"/>
      <c r="C845" s="141"/>
      <c r="D845" s="142"/>
      <c r="E845" s="143"/>
      <c r="F845" s="142"/>
      <c r="G845" s="142"/>
      <c r="H845" s="142"/>
      <c r="I845" s="142"/>
      <c r="J845" s="144"/>
    </row>
    <row r="846" spans="1:10" ht="15.75" thickBot="1">
      <c r="A846" s="685"/>
      <c r="B846" s="686"/>
      <c r="C846" s="686"/>
      <c r="D846" s="686"/>
      <c r="E846" s="686"/>
      <c r="F846" s="82"/>
      <c r="G846" s="82"/>
      <c r="H846" s="82"/>
      <c r="I846" s="82"/>
      <c r="J846" s="83"/>
    </row>
    <row r="847" spans="1:10" ht="15.75" customHeight="1" thickBot="1">
      <c r="A847" s="683"/>
      <c r="B847" s="684"/>
      <c r="C847" s="684"/>
      <c r="D847" s="684"/>
      <c r="E847" s="684"/>
      <c r="F847" s="72"/>
      <c r="G847" s="72"/>
      <c r="H847" s="72"/>
      <c r="I847" s="72"/>
      <c r="J847" s="73"/>
    </row>
    <row r="848" spans="1:10">
      <c r="A848" s="145"/>
      <c r="B848" s="695"/>
      <c r="C848" s="695"/>
      <c r="D848" s="695"/>
      <c r="E848" s="695"/>
      <c r="F848" s="146"/>
      <c r="G848" s="146"/>
      <c r="H848" s="146"/>
      <c r="I848" s="146"/>
      <c r="J848" s="147"/>
    </row>
    <row r="849" spans="1:10">
      <c r="A849" s="80"/>
      <c r="B849" s="81"/>
      <c r="C849" s="76"/>
      <c r="D849" s="77"/>
      <c r="E849" s="78"/>
      <c r="F849" s="77"/>
      <c r="G849" s="77"/>
      <c r="H849" s="77"/>
      <c r="I849" s="77"/>
      <c r="J849" s="79"/>
    </row>
    <row r="850" spans="1:10" ht="15.75" thickBot="1">
      <c r="A850" s="139"/>
      <c r="B850" s="140"/>
      <c r="C850" s="141"/>
      <c r="D850" s="142"/>
      <c r="E850" s="143"/>
      <c r="F850" s="142"/>
      <c r="G850" s="142"/>
      <c r="H850" s="142"/>
      <c r="I850" s="142"/>
      <c r="J850" s="144"/>
    </row>
    <row r="851" spans="1:10" ht="15.75" thickBot="1">
      <c r="A851" s="685"/>
      <c r="B851" s="686"/>
      <c r="C851" s="686"/>
      <c r="D851" s="686"/>
      <c r="E851" s="686"/>
      <c r="F851" s="85"/>
      <c r="G851" s="85"/>
      <c r="H851" s="85"/>
      <c r="I851" s="85"/>
      <c r="J851" s="86"/>
    </row>
    <row r="852" spans="1:10" ht="15.75" customHeight="1" thickBot="1">
      <c r="A852" s="683"/>
      <c r="B852" s="684"/>
      <c r="C852" s="684"/>
      <c r="D852" s="684"/>
      <c r="E852" s="684"/>
      <c r="F852" s="72"/>
      <c r="G852" s="72"/>
      <c r="H852" s="72"/>
      <c r="I852" s="72"/>
      <c r="J852" s="73"/>
    </row>
    <row r="853" spans="1:10">
      <c r="A853" s="145"/>
      <c r="B853" s="695"/>
      <c r="C853" s="695"/>
      <c r="D853" s="695"/>
      <c r="E853" s="695"/>
      <c r="F853" s="148"/>
      <c r="G853" s="148"/>
      <c r="H853" s="148"/>
      <c r="I853" s="148"/>
      <c r="J853" s="149"/>
    </row>
    <row r="854" spans="1:10">
      <c r="A854" s="80"/>
      <c r="B854" s="81"/>
      <c r="C854" s="76"/>
      <c r="D854" s="77"/>
      <c r="E854" s="78"/>
      <c r="F854" s="77"/>
      <c r="G854" s="77"/>
      <c r="H854" s="77"/>
      <c r="I854" s="77"/>
      <c r="J854" s="79"/>
    </row>
    <row r="855" spans="1:10">
      <c r="A855" s="74"/>
      <c r="B855" s="75"/>
      <c r="C855" s="76"/>
      <c r="D855" s="77"/>
      <c r="E855" s="78"/>
      <c r="F855" s="77"/>
      <c r="G855" s="77"/>
      <c r="H855" s="77"/>
      <c r="I855" s="77"/>
      <c r="J855" s="79"/>
    </row>
    <row r="856" spans="1:10">
      <c r="A856" s="87"/>
      <c r="B856" s="696"/>
      <c r="C856" s="696"/>
      <c r="D856" s="696"/>
      <c r="E856" s="696"/>
      <c r="F856" s="88"/>
      <c r="G856" s="88"/>
      <c r="H856" s="88"/>
      <c r="I856" s="88"/>
      <c r="J856" s="89"/>
    </row>
    <row r="857" spans="1:10">
      <c r="A857" s="80"/>
      <c r="B857" s="81"/>
      <c r="C857" s="76"/>
      <c r="D857" s="77"/>
      <c r="E857" s="78"/>
      <c r="F857" s="77"/>
      <c r="G857" s="77"/>
      <c r="H857" s="77"/>
      <c r="I857" s="77"/>
      <c r="J857" s="79"/>
    </row>
    <row r="858" spans="1:10">
      <c r="A858" s="74"/>
      <c r="B858" s="75"/>
      <c r="C858" s="76"/>
      <c r="D858" s="77"/>
      <c r="E858" s="78"/>
      <c r="F858" s="77"/>
      <c r="G858" s="77"/>
      <c r="H858" s="77"/>
      <c r="I858" s="77"/>
      <c r="J858" s="79"/>
    </row>
    <row r="859" spans="1:10">
      <c r="A859" s="87"/>
      <c r="B859" s="696"/>
      <c r="C859" s="696"/>
      <c r="D859" s="696"/>
      <c r="E859" s="696"/>
      <c r="F859" s="88"/>
      <c r="G859" s="88"/>
      <c r="H859" s="88"/>
      <c r="I859" s="88"/>
      <c r="J859" s="89"/>
    </row>
    <row r="860" spans="1:10">
      <c r="A860" s="80"/>
      <c r="B860" s="81"/>
      <c r="C860" s="76"/>
      <c r="D860" s="77"/>
      <c r="E860" s="78"/>
      <c r="F860" s="77"/>
      <c r="G860" s="77"/>
      <c r="H860" s="77"/>
      <c r="I860" s="77"/>
      <c r="J860" s="79"/>
    </row>
    <row r="861" spans="1:10" ht="15.75" thickBot="1">
      <c r="A861" s="139"/>
      <c r="B861" s="140"/>
      <c r="C861" s="141"/>
      <c r="D861" s="142"/>
      <c r="E861" s="143"/>
      <c r="F861" s="142"/>
      <c r="G861" s="142"/>
      <c r="H861" s="142"/>
      <c r="I861" s="142"/>
      <c r="J861" s="144"/>
    </row>
    <row r="862" spans="1:10" ht="15.75" thickBot="1">
      <c r="A862" s="685"/>
      <c r="B862" s="686"/>
      <c r="C862" s="686"/>
      <c r="D862" s="686"/>
      <c r="E862" s="686"/>
      <c r="F862" s="62"/>
      <c r="G862" s="62"/>
      <c r="H862" s="62"/>
      <c r="I862" s="62"/>
      <c r="J862" s="63"/>
    </row>
    <row r="863" spans="1:10">
      <c r="A863" s="38"/>
      <c r="B863" s="39"/>
      <c r="C863" s="39"/>
      <c r="D863" s="39"/>
      <c r="E863" s="39"/>
      <c r="F863" s="39"/>
      <c r="G863" s="39"/>
      <c r="H863" s="39"/>
      <c r="I863" s="39"/>
      <c r="J863" s="39"/>
    </row>
    <row r="864" spans="1:10">
      <c r="A864" s="38"/>
      <c r="C864" s="42"/>
      <c r="D864" s="42"/>
      <c r="E864" s="42"/>
      <c r="F864" s="42"/>
      <c r="G864" s="42"/>
      <c r="H864" s="42"/>
      <c r="I864" s="42"/>
      <c r="J864" s="42"/>
    </row>
    <row r="865" spans="1:11" ht="18.75">
      <c r="A865" s="42"/>
      <c r="B865" s="90"/>
      <c r="C865" s="42"/>
      <c r="D865" s="42"/>
      <c r="E865" s="42"/>
      <c r="F865" s="42"/>
      <c r="G865" s="42"/>
      <c r="H865" s="42"/>
      <c r="I865" s="42"/>
      <c r="J865" s="42"/>
    </row>
    <row r="866" spans="1:11" ht="18.75">
      <c r="A866" s="38"/>
      <c r="B866" s="90"/>
      <c r="C866" s="39"/>
      <c r="D866" s="39"/>
      <c r="E866" s="39"/>
      <c r="F866" s="39"/>
      <c r="G866" s="39"/>
      <c r="H866" s="39"/>
      <c r="I866" s="39"/>
      <c r="J866" s="39"/>
    </row>
    <row r="867" spans="1:11">
      <c r="A867" s="35"/>
      <c r="B867" s="93"/>
      <c r="C867" s="94"/>
      <c r="D867" s="95"/>
      <c r="E867" s="96"/>
      <c r="F867" s="96"/>
      <c r="G867" s="95"/>
      <c r="H867" s="95"/>
      <c r="I867" s="95"/>
      <c r="J867" s="95"/>
    </row>
    <row r="868" spans="1:11">
      <c r="A868" s="35"/>
      <c r="B868" s="93"/>
      <c r="C868" s="94"/>
      <c r="D868" s="95"/>
      <c r="E868" s="96"/>
      <c r="F868" s="96"/>
      <c r="G868" s="95"/>
      <c r="H868" s="95"/>
      <c r="I868" s="95"/>
      <c r="J868" s="95"/>
    </row>
    <row r="869" spans="1:11">
      <c r="A869" s="35"/>
      <c r="B869" s="98"/>
      <c r="C869" s="94"/>
      <c r="D869" s="95"/>
      <c r="E869" s="96"/>
      <c r="F869" s="96"/>
      <c r="G869" s="95"/>
      <c r="H869" s="95"/>
      <c r="I869" s="95"/>
      <c r="J869" s="95"/>
      <c r="K869" s="67"/>
    </row>
    <row r="870" spans="1:11" ht="15.75">
      <c r="A870" s="41"/>
      <c r="B870" s="41"/>
      <c r="C870" s="42"/>
      <c r="D870" s="42"/>
      <c r="E870" s="69"/>
      <c r="F870" s="42"/>
      <c r="G870" s="42"/>
      <c r="H870" s="42"/>
      <c r="I870" s="42"/>
      <c r="J870" s="42"/>
    </row>
    <row r="871" spans="1:11" ht="15.75">
      <c r="A871" s="41"/>
      <c r="B871" s="41"/>
      <c r="C871" s="44"/>
      <c r="D871" s="44"/>
      <c r="E871" s="44"/>
      <c r="F871" s="44"/>
      <c r="G871" s="44"/>
      <c r="H871" s="44"/>
      <c r="I871" s="44"/>
      <c r="J871" s="44"/>
    </row>
    <row r="872" spans="1:11" ht="15.75">
      <c r="A872" s="41"/>
      <c r="B872" s="41"/>
      <c r="C872" s="44"/>
      <c r="D872" s="44"/>
      <c r="E872" s="44"/>
      <c r="F872" s="44"/>
      <c r="G872" s="44"/>
      <c r="H872" s="44"/>
      <c r="I872" s="44"/>
      <c r="J872" s="44"/>
    </row>
    <row r="873" spans="1:11" ht="15.75">
      <c r="A873" s="41"/>
      <c r="B873" s="41"/>
      <c r="C873" s="44"/>
      <c r="D873" s="44"/>
      <c r="E873" s="44"/>
      <c r="F873" s="44"/>
      <c r="G873" s="44"/>
      <c r="H873" s="44"/>
      <c r="I873" s="44"/>
      <c r="J873" s="44"/>
    </row>
    <row r="874" spans="1:11" ht="15.75">
      <c r="A874" s="70"/>
      <c r="B874" s="44"/>
      <c r="C874" s="44"/>
      <c r="D874" s="44"/>
      <c r="E874" s="44"/>
      <c r="F874" s="44"/>
      <c r="G874" s="44"/>
      <c r="H874" s="44"/>
      <c r="I874" s="44"/>
      <c r="J874" s="44"/>
    </row>
    <row r="875" spans="1:11">
      <c r="A875" s="687"/>
      <c r="B875" s="687"/>
      <c r="C875" s="687"/>
      <c r="D875" s="687"/>
      <c r="E875" s="687"/>
      <c r="F875" s="687"/>
      <c r="G875" s="687"/>
      <c r="H875" s="687"/>
      <c r="I875" s="687"/>
      <c r="J875" s="687"/>
    </row>
    <row r="876" spans="1:11">
      <c r="A876" s="371"/>
      <c r="B876" s="371"/>
      <c r="C876" s="371"/>
      <c r="D876" s="371"/>
      <c r="E876" s="371"/>
      <c r="F876" s="371"/>
      <c r="G876" s="371"/>
      <c r="H876" s="371"/>
      <c r="I876" s="371"/>
      <c r="J876" s="371"/>
    </row>
    <row r="877" spans="1:11" ht="15.75" thickBot="1">
      <c r="A877" s="42"/>
      <c r="B877" s="46"/>
      <c r="C877" s="71"/>
      <c r="D877" s="71"/>
      <c r="E877" s="71"/>
      <c r="F877" s="33"/>
      <c r="G877" s="47"/>
      <c r="H877" s="48"/>
      <c r="I877" s="49"/>
      <c r="J877" s="50"/>
    </row>
    <row r="878" spans="1:11" ht="15.75" thickBot="1">
      <c r="A878" s="688"/>
      <c r="B878" s="688"/>
      <c r="C878" s="688"/>
      <c r="D878" s="688"/>
      <c r="E878" s="688"/>
      <c r="F878" s="689"/>
      <c r="G878" s="689"/>
      <c r="H878" s="372"/>
      <c r="I878" s="689"/>
      <c r="J878" s="689"/>
    </row>
    <row r="879" spans="1:11" ht="15.75" thickBot="1">
      <c r="A879" s="688"/>
      <c r="B879" s="688"/>
      <c r="C879" s="688"/>
      <c r="D879" s="688"/>
      <c r="E879" s="688"/>
      <c r="F879" s="51"/>
      <c r="G879" s="51"/>
      <c r="H879" s="51"/>
      <c r="I879" s="51"/>
      <c r="J879" s="51"/>
    </row>
    <row r="880" spans="1:11" ht="15.75" thickBot="1">
      <c r="A880" s="3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5.75" thickBot="1">
      <c r="A881" s="683"/>
      <c r="B881" s="684"/>
      <c r="C881" s="684"/>
      <c r="D881" s="684"/>
      <c r="E881" s="684"/>
      <c r="F881" s="72"/>
      <c r="G881" s="72"/>
      <c r="H881" s="72"/>
      <c r="I881" s="72"/>
      <c r="J881" s="73"/>
    </row>
    <row r="882" spans="1:10">
      <c r="A882" s="691"/>
      <c r="B882" s="692"/>
      <c r="C882" s="692"/>
      <c r="D882" s="692"/>
      <c r="E882" s="692"/>
      <c r="F882" s="137"/>
      <c r="G882" s="137"/>
      <c r="H882" s="137"/>
      <c r="I882" s="137"/>
      <c r="J882" s="138"/>
    </row>
    <row r="883" spans="1:10">
      <c r="A883" s="74"/>
      <c r="B883" s="75"/>
      <c r="C883" s="76"/>
      <c r="D883" s="77"/>
      <c r="E883" s="78"/>
      <c r="F883" s="77"/>
      <c r="G883" s="77"/>
      <c r="H883" s="77"/>
      <c r="I883" s="77"/>
      <c r="J883" s="79"/>
    </row>
    <row r="884" spans="1:10">
      <c r="A884" s="74"/>
      <c r="B884" s="75"/>
      <c r="C884" s="76"/>
      <c r="D884" s="77"/>
      <c r="E884" s="78"/>
      <c r="F884" s="77"/>
      <c r="G884" s="77"/>
      <c r="H884" s="77"/>
      <c r="I884" s="77"/>
      <c r="J884" s="79"/>
    </row>
    <row r="885" spans="1:10">
      <c r="A885" s="693"/>
      <c r="B885" s="694"/>
      <c r="C885" s="694"/>
      <c r="D885" s="694"/>
      <c r="E885" s="694"/>
      <c r="F885" s="56"/>
      <c r="G885" s="56"/>
      <c r="H885" s="56"/>
      <c r="I885" s="56"/>
      <c r="J885" s="57"/>
    </row>
    <row r="886" spans="1:10">
      <c r="A886" s="80"/>
      <c r="B886" s="81"/>
      <c r="C886" s="76"/>
      <c r="D886" s="77"/>
      <c r="E886" s="78"/>
      <c r="F886" s="77"/>
      <c r="G886" s="77"/>
      <c r="H886" s="77"/>
      <c r="I886" s="77"/>
      <c r="J886" s="79"/>
    </row>
    <row r="887" spans="1:10">
      <c r="A887" s="80"/>
      <c r="B887" s="81"/>
      <c r="C887" s="76"/>
      <c r="D887" s="77"/>
      <c r="E887" s="78"/>
      <c r="F887" s="77"/>
      <c r="G887" s="77"/>
      <c r="H887" s="77"/>
      <c r="I887" s="77"/>
      <c r="J887" s="79"/>
    </row>
    <row r="888" spans="1:10">
      <c r="A888" s="693"/>
      <c r="B888" s="694"/>
      <c r="C888" s="694"/>
      <c r="D888" s="694"/>
      <c r="E888" s="694"/>
      <c r="F888" s="56"/>
      <c r="G888" s="56"/>
      <c r="H888" s="56"/>
      <c r="I888" s="56"/>
      <c r="J888" s="57"/>
    </row>
    <row r="889" spans="1:10">
      <c r="A889" s="80"/>
      <c r="B889" s="81"/>
      <c r="C889" s="76"/>
      <c r="D889" s="77"/>
      <c r="E889" s="78"/>
      <c r="F889" s="77"/>
      <c r="G889" s="77"/>
      <c r="H889" s="77"/>
      <c r="I889" s="77"/>
      <c r="J889" s="79"/>
    </row>
    <row r="890" spans="1:10">
      <c r="A890" s="80"/>
      <c r="B890" s="81"/>
      <c r="C890" s="76"/>
      <c r="D890" s="77"/>
      <c r="E890" s="78"/>
      <c r="F890" s="77"/>
      <c r="G890" s="77"/>
      <c r="H890" s="77"/>
      <c r="I890" s="77"/>
      <c r="J890" s="79"/>
    </row>
    <row r="891" spans="1:10">
      <c r="A891" s="693"/>
      <c r="B891" s="694"/>
      <c r="C891" s="694"/>
      <c r="D891" s="694"/>
      <c r="E891" s="694"/>
      <c r="F891" s="56"/>
      <c r="G891" s="56"/>
      <c r="H891" s="56"/>
      <c r="I891" s="56"/>
      <c r="J891" s="57"/>
    </row>
    <row r="892" spans="1:10">
      <c r="A892" s="80"/>
      <c r="B892" s="81"/>
      <c r="C892" s="76"/>
      <c r="D892" s="77"/>
      <c r="E892" s="78"/>
      <c r="F892" s="77"/>
      <c r="G892" s="77"/>
      <c r="H892" s="77"/>
      <c r="I892" s="77"/>
      <c r="J892" s="79"/>
    </row>
    <row r="893" spans="1:10">
      <c r="A893" s="80"/>
      <c r="B893" s="81"/>
      <c r="C893" s="76"/>
      <c r="D893" s="77"/>
      <c r="E893" s="78"/>
      <c r="F893" s="77"/>
      <c r="G893" s="77"/>
      <c r="H893" s="77"/>
      <c r="I893" s="77"/>
      <c r="J893" s="79"/>
    </row>
    <row r="894" spans="1:10">
      <c r="A894" s="80">
        <v>3</v>
      </c>
      <c r="B894" s="81"/>
      <c r="C894" s="76" t="str">
        <f>IF(B894="","",VLOOKUP(B894,'Lista articole'!$D$4:$E$2255,2,FALSE))</f>
        <v/>
      </c>
      <c r="D894" s="77">
        <v>0</v>
      </c>
      <c r="E894" s="78">
        <f>IF(B894="",0,VLOOKUP(B894,'Lista articole'!$D$4:$F$2163,3,FALSE))</f>
        <v>0</v>
      </c>
      <c r="F894" s="77">
        <f t="shared" ref="F894:F905" si="278">D894*E894</f>
        <v>0</v>
      </c>
      <c r="G894" s="77">
        <f t="shared" ref="G894:G905" si="279">F894/$H$9</f>
        <v>0</v>
      </c>
      <c r="H894" s="77">
        <f>F894*'Date Generale'!$D$58</f>
        <v>0</v>
      </c>
      <c r="I894" s="77">
        <f t="shared" ref="I894:I905" si="280">H894+F894</f>
        <v>0</v>
      </c>
      <c r="J894" s="79">
        <f t="shared" ref="J894:J905" si="281">I894/$H$9</f>
        <v>0</v>
      </c>
    </row>
    <row r="895" spans="1:10">
      <c r="A895" s="80">
        <v>4</v>
      </c>
      <c r="B895" s="81"/>
      <c r="C895" s="76" t="str">
        <f>IF(B895="","",VLOOKUP(B895,'Lista articole'!$D$4:$E$2255,2,FALSE))</f>
        <v/>
      </c>
      <c r="D895" s="77">
        <v>0</v>
      </c>
      <c r="E895" s="78">
        <f>IF(B895="",0,VLOOKUP(B895,'Lista articole'!$D$4:$F$2163,3,FALSE))</f>
        <v>0</v>
      </c>
      <c r="F895" s="77">
        <f t="shared" si="278"/>
        <v>0</v>
      </c>
      <c r="G895" s="77">
        <f t="shared" si="279"/>
        <v>0</v>
      </c>
      <c r="H895" s="77">
        <f>F895*'Date Generale'!$D$58</f>
        <v>0</v>
      </c>
      <c r="I895" s="77">
        <f t="shared" si="280"/>
        <v>0</v>
      </c>
      <c r="J895" s="79">
        <f t="shared" si="281"/>
        <v>0</v>
      </c>
    </row>
    <row r="896" spans="1:10">
      <c r="A896" s="80">
        <v>5</v>
      </c>
      <c r="B896" s="81"/>
      <c r="C896" s="76" t="str">
        <f>IF(B896="","",VLOOKUP(B896,'Lista articole'!$D$4:$E$2255,2,FALSE))</f>
        <v/>
      </c>
      <c r="D896" s="77">
        <v>0</v>
      </c>
      <c r="E896" s="78">
        <f>IF(B896="",0,VLOOKUP(B896,'Lista articole'!$D$4:$F$2163,3,FALSE))</f>
        <v>0</v>
      </c>
      <c r="F896" s="77">
        <f t="shared" si="278"/>
        <v>0</v>
      </c>
      <c r="G896" s="77">
        <f t="shared" si="279"/>
        <v>0</v>
      </c>
      <c r="H896" s="77">
        <f>F896*'Date Generale'!$D$58</f>
        <v>0</v>
      </c>
      <c r="I896" s="77">
        <f t="shared" si="280"/>
        <v>0</v>
      </c>
      <c r="J896" s="79">
        <f t="shared" si="281"/>
        <v>0</v>
      </c>
    </row>
    <row r="897" spans="1:10">
      <c r="A897" s="80">
        <v>6</v>
      </c>
      <c r="B897" s="81"/>
      <c r="C897" s="76" t="str">
        <f>IF(B897="","",VLOOKUP(B897,'Lista articole'!$D$4:$E$2255,2,FALSE))</f>
        <v/>
      </c>
      <c r="D897" s="77">
        <v>0</v>
      </c>
      <c r="E897" s="78">
        <f>IF(B897="",0,VLOOKUP(B897,'Lista articole'!$D$4:$F$2163,3,FALSE))</f>
        <v>0</v>
      </c>
      <c r="F897" s="77">
        <f t="shared" si="278"/>
        <v>0</v>
      </c>
      <c r="G897" s="77">
        <f t="shared" si="279"/>
        <v>0</v>
      </c>
      <c r="H897" s="77">
        <f>F897*'Date Generale'!$D$58</f>
        <v>0</v>
      </c>
      <c r="I897" s="77">
        <f t="shared" si="280"/>
        <v>0</v>
      </c>
      <c r="J897" s="79">
        <f t="shared" si="281"/>
        <v>0</v>
      </c>
    </row>
    <row r="898" spans="1:10">
      <c r="A898" s="80">
        <v>7</v>
      </c>
      <c r="B898" s="81"/>
      <c r="C898" s="76" t="str">
        <f>IF(B898="","",VLOOKUP(B898,'Lista articole'!$D$4:$E$2255,2,FALSE))</f>
        <v/>
      </c>
      <c r="D898" s="77">
        <v>0</v>
      </c>
      <c r="E898" s="78">
        <f>IF(B898="",0,VLOOKUP(B898,'Lista articole'!$D$4:$F$2163,3,FALSE))</f>
        <v>0</v>
      </c>
      <c r="F898" s="77">
        <f t="shared" si="278"/>
        <v>0</v>
      </c>
      <c r="G898" s="77">
        <f t="shared" si="279"/>
        <v>0</v>
      </c>
      <c r="H898" s="77">
        <f>F898*'Date Generale'!$D$58</f>
        <v>0</v>
      </c>
      <c r="I898" s="77">
        <f t="shared" si="280"/>
        <v>0</v>
      </c>
      <c r="J898" s="79">
        <f t="shared" si="281"/>
        <v>0</v>
      </c>
    </row>
    <row r="899" spans="1:10">
      <c r="A899" s="80">
        <v>8</v>
      </c>
      <c r="B899" s="81"/>
      <c r="C899" s="76" t="str">
        <f>IF(B899="","",VLOOKUP(B899,'Lista articole'!$D$4:$E$2255,2,FALSE))</f>
        <v/>
      </c>
      <c r="D899" s="77">
        <v>0</v>
      </c>
      <c r="E899" s="78">
        <f>IF(B899="",0,VLOOKUP(B899,'Lista articole'!$D$4:$F$2163,3,FALSE))</f>
        <v>0</v>
      </c>
      <c r="F899" s="77">
        <f t="shared" si="278"/>
        <v>0</v>
      </c>
      <c r="G899" s="77">
        <f t="shared" si="279"/>
        <v>0</v>
      </c>
      <c r="H899" s="77">
        <f>F899*'Date Generale'!$D$58</f>
        <v>0</v>
      </c>
      <c r="I899" s="77">
        <f t="shared" si="280"/>
        <v>0</v>
      </c>
      <c r="J899" s="79">
        <f t="shared" si="281"/>
        <v>0</v>
      </c>
    </row>
    <row r="900" spans="1:10">
      <c r="A900" s="80">
        <v>9</v>
      </c>
      <c r="B900" s="81"/>
      <c r="C900" s="76" t="str">
        <f>IF(B900="","",VLOOKUP(B900,'Lista articole'!$D$4:$E$2255,2,FALSE))</f>
        <v/>
      </c>
      <c r="D900" s="77">
        <v>0</v>
      </c>
      <c r="E900" s="78">
        <f>IF(B900="",0,VLOOKUP(B900,'Lista articole'!$D$4:$F$2163,3,FALSE))</f>
        <v>0</v>
      </c>
      <c r="F900" s="77">
        <f t="shared" si="278"/>
        <v>0</v>
      </c>
      <c r="G900" s="77">
        <f t="shared" si="279"/>
        <v>0</v>
      </c>
      <c r="H900" s="77">
        <f>F900*'Date Generale'!$D$58</f>
        <v>0</v>
      </c>
      <c r="I900" s="77">
        <f t="shared" si="280"/>
        <v>0</v>
      </c>
      <c r="J900" s="79">
        <f t="shared" si="281"/>
        <v>0</v>
      </c>
    </row>
    <row r="901" spans="1:10">
      <c r="A901" s="80">
        <v>10</v>
      </c>
      <c r="B901" s="81"/>
      <c r="C901" s="76" t="str">
        <f>IF(B901="","",VLOOKUP(B901,'Lista articole'!$D$4:$E$2255,2,FALSE))</f>
        <v/>
      </c>
      <c r="D901" s="77">
        <v>0</v>
      </c>
      <c r="E901" s="78">
        <f>IF(B901="",0,VLOOKUP(B901,'Lista articole'!$D$4:$F$2163,3,FALSE))</f>
        <v>0</v>
      </c>
      <c r="F901" s="77">
        <f t="shared" si="278"/>
        <v>0</v>
      </c>
      <c r="G901" s="77">
        <f t="shared" si="279"/>
        <v>0</v>
      </c>
      <c r="H901" s="77">
        <f>F901*'Date Generale'!$D$58</f>
        <v>0</v>
      </c>
      <c r="I901" s="77">
        <f t="shared" si="280"/>
        <v>0</v>
      </c>
      <c r="J901" s="79">
        <f t="shared" si="281"/>
        <v>0</v>
      </c>
    </row>
    <row r="902" spans="1:10">
      <c r="A902" s="80">
        <v>11</v>
      </c>
      <c r="B902" s="81"/>
      <c r="C902" s="76" t="str">
        <f>IF(B902="","",VLOOKUP(B902,'Lista articole'!$D$4:$E$2255,2,FALSE))</f>
        <v/>
      </c>
      <c r="D902" s="77">
        <v>0</v>
      </c>
      <c r="E902" s="78">
        <f>IF(B902="",0,VLOOKUP(B902,'Lista articole'!$D$4:$F$2163,3,FALSE))</f>
        <v>0</v>
      </c>
      <c r="F902" s="77">
        <f t="shared" si="278"/>
        <v>0</v>
      </c>
      <c r="G902" s="77">
        <f t="shared" si="279"/>
        <v>0</v>
      </c>
      <c r="H902" s="77">
        <f>F902*'Date Generale'!$D$58</f>
        <v>0</v>
      </c>
      <c r="I902" s="77">
        <f t="shared" si="280"/>
        <v>0</v>
      </c>
      <c r="J902" s="79">
        <f t="shared" si="281"/>
        <v>0</v>
      </c>
    </row>
    <row r="903" spans="1:10">
      <c r="A903" s="80">
        <v>12</v>
      </c>
      <c r="B903" s="81"/>
      <c r="C903" s="76" t="str">
        <f>IF(B903="","",VLOOKUP(B903,'Lista articole'!$D$4:$E$2255,2,FALSE))</f>
        <v/>
      </c>
      <c r="D903" s="77">
        <v>0</v>
      </c>
      <c r="E903" s="78">
        <f>IF(B903="",0,VLOOKUP(B903,'Lista articole'!$D$4:$F$2163,3,FALSE))</f>
        <v>0</v>
      </c>
      <c r="F903" s="77">
        <f t="shared" si="278"/>
        <v>0</v>
      </c>
      <c r="G903" s="77">
        <f t="shared" si="279"/>
        <v>0</v>
      </c>
      <c r="H903" s="77">
        <f>F903*'Date Generale'!$D$58</f>
        <v>0</v>
      </c>
      <c r="I903" s="77">
        <f t="shared" si="280"/>
        <v>0</v>
      </c>
      <c r="J903" s="79">
        <f t="shared" si="281"/>
        <v>0</v>
      </c>
    </row>
    <row r="904" spans="1:10">
      <c r="A904" s="80">
        <v>13</v>
      </c>
      <c r="B904" s="81"/>
      <c r="C904" s="76" t="str">
        <f>IF(B904="","",VLOOKUP(B904,'Lista articole'!$D$4:$E$2255,2,FALSE))</f>
        <v/>
      </c>
      <c r="D904" s="77">
        <v>0</v>
      </c>
      <c r="E904" s="78">
        <f>IF(B904="",0,VLOOKUP(B904,'Lista articole'!$D$4:$F$2163,3,FALSE))</f>
        <v>0</v>
      </c>
      <c r="F904" s="77">
        <f t="shared" si="278"/>
        <v>0</v>
      </c>
      <c r="G904" s="77">
        <f t="shared" si="279"/>
        <v>0</v>
      </c>
      <c r="H904" s="77">
        <f>F904*'Date Generale'!$D$58</f>
        <v>0</v>
      </c>
      <c r="I904" s="77">
        <f t="shared" si="280"/>
        <v>0</v>
      </c>
      <c r="J904" s="79">
        <f t="shared" si="281"/>
        <v>0</v>
      </c>
    </row>
    <row r="905" spans="1:10">
      <c r="A905" s="80">
        <v>14</v>
      </c>
      <c r="B905" s="81"/>
      <c r="C905" s="76" t="str">
        <f>IF(B905="","",VLOOKUP(B905,'Lista articole'!$D$4:$E$2255,2,FALSE))</f>
        <v/>
      </c>
      <c r="D905" s="77">
        <v>0</v>
      </c>
      <c r="E905" s="78">
        <f>IF(B905="",0,VLOOKUP(B905,'Lista articole'!$D$4:$F$2163,3,FALSE))</f>
        <v>0</v>
      </c>
      <c r="F905" s="77">
        <f t="shared" si="278"/>
        <v>0</v>
      </c>
      <c r="G905" s="77">
        <f t="shared" si="279"/>
        <v>0</v>
      </c>
      <c r="H905" s="77">
        <f>F905*'Date Generale'!$D$58</f>
        <v>0</v>
      </c>
      <c r="I905" s="77">
        <f t="shared" si="280"/>
        <v>0</v>
      </c>
      <c r="J905" s="79">
        <f t="shared" si="281"/>
        <v>0</v>
      </c>
    </row>
    <row r="906" spans="1:10">
      <c r="A906" s="693" t="s">
        <v>50</v>
      </c>
      <c r="B906" s="694"/>
      <c r="C906" s="694"/>
      <c r="D906" s="694"/>
      <c r="E906" s="694"/>
      <c r="F906" s="56">
        <f>SUM(F907:F908)</f>
        <v>0</v>
      </c>
      <c r="G906" s="56">
        <f>SUM(G907:G908)</f>
        <v>0</v>
      </c>
      <c r="H906" s="56">
        <f>SUM(H907:H908)</f>
        <v>0</v>
      </c>
      <c r="I906" s="56">
        <f>SUM(I907:I908)</f>
        <v>0</v>
      </c>
      <c r="J906" s="57">
        <f>SUM(J907:J908)</f>
        <v>0</v>
      </c>
    </row>
    <row r="907" spans="1:10">
      <c r="A907" s="80">
        <v>1</v>
      </c>
      <c r="B907" s="81"/>
      <c r="C907" s="76" t="str">
        <f>IF(B907="","",VLOOKUP(B907,'Lista articole'!$D$4:$E$2255,2,FALSE))</f>
        <v/>
      </c>
      <c r="D907" s="77">
        <v>0</v>
      </c>
      <c r="E907" s="78">
        <f>IF(B907="",0,VLOOKUP(B907,'Lista articole'!$D$4:$F$2163,3,FALSE))</f>
        <v>0</v>
      </c>
      <c r="F907" s="77">
        <f t="shared" ref="F907:F908" si="282">D907*E907</f>
        <v>0</v>
      </c>
      <c r="G907" s="77">
        <f t="shared" ref="G907:G908" si="283">F907/$H$9</f>
        <v>0</v>
      </c>
      <c r="H907" s="77">
        <f>F907*'Date Generale'!$D$58</f>
        <v>0</v>
      </c>
      <c r="I907" s="77">
        <f t="shared" ref="I907:I908" si="284">H907+F907</f>
        <v>0</v>
      </c>
      <c r="J907" s="79">
        <f t="shared" ref="J907:J908" si="285">I907/$H$9</f>
        <v>0</v>
      </c>
    </row>
    <row r="908" spans="1:10">
      <c r="A908" s="74">
        <f>A907+1</f>
        <v>2</v>
      </c>
      <c r="B908" s="75"/>
      <c r="C908" s="76" t="str">
        <f>IF(B908="","",VLOOKUP(B908,'Lista articole'!$D$4:$E$2255,2,FALSE))</f>
        <v/>
      </c>
      <c r="D908" s="77">
        <v>0</v>
      </c>
      <c r="E908" s="78">
        <f>IF(B908="",0,VLOOKUP(B908,'Lista articole'!$D$4:$F$2163,3,FALSE))</f>
        <v>0</v>
      </c>
      <c r="F908" s="77">
        <f t="shared" si="282"/>
        <v>0</v>
      </c>
      <c r="G908" s="77">
        <f t="shared" si="283"/>
        <v>0</v>
      </c>
      <c r="H908" s="77">
        <f>F908*'Date Generale'!$D$58</f>
        <v>0</v>
      </c>
      <c r="I908" s="77">
        <f t="shared" si="284"/>
        <v>0</v>
      </c>
      <c r="J908" s="79">
        <f t="shared" si="285"/>
        <v>0</v>
      </c>
    </row>
    <row r="909" spans="1:10">
      <c r="A909" s="693" t="s">
        <v>51</v>
      </c>
      <c r="B909" s="694"/>
      <c r="C909" s="694"/>
      <c r="D909" s="694"/>
      <c r="E909" s="694"/>
      <c r="F909" s="56">
        <f>SUM(F910:F911)</f>
        <v>0</v>
      </c>
      <c r="G909" s="56">
        <f>SUM(G910:G911)</f>
        <v>0</v>
      </c>
      <c r="H909" s="56">
        <f>SUM(H910:H911)</f>
        <v>0</v>
      </c>
      <c r="I909" s="56">
        <f>SUM(I910:I911)</f>
        <v>0</v>
      </c>
      <c r="J909" s="57">
        <f>SUM(J910:J911)</f>
        <v>0</v>
      </c>
    </row>
    <row r="910" spans="1:10">
      <c r="A910" s="80">
        <v>1</v>
      </c>
      <c r="B910" s="81"/>
      <c r="C910" s="76" t="str">
        <f>IF(B910="","",VLOOKUP(B910,'Lista articole'!$D$4:$E$2255,2,FALSE))</f>
        <v/>
      </c>
      <c r="D910" s="77">
        <v>0</v>
      </c>
      <c r="E910" s="78">
        <f>IF(B910="",0,VLOOKUP(B910,'Lista articole'!$D$4:$F$2163,3,FALSE))</f>
        <v>0</v>
      </c>
      <c r="F910" s="77">
        <f t="shared" ref="F910:F911" si="286">D910*E910</f>
        <v>0</v>
      </c>
      <c r="G910" s="77">
        <f t="shared" ref="G910:G911" si="287">F910/$H$9</f>
        <v>0</v>
      </c>
      <c r="H910" s="77">
        <f>F910*'Date Generale'!$D$58</f>
        <v>0</v>
      </c>
      <c r="I910" s="77">
        <f t="shared" ref="I910:I911" si="288">H910+F910</f>
        <v>0</v>
      </c>
      <c r="J910" s="79">
        <f t="shared" ref="J910:J911" si="289">I910/$H$9</f>
        <v>0</v>
      </c>
    </row>
    <row r="911" spans="1:10">
      <c r="A911" s="74">
        <f>A910+1</f>
        <v>2</v>
      </c>
      <c r="B911" s="75"/>
      <c r="C911" s="76" t="str">
        <f>IF(B911="","",VLOOKUP(B911,'Lista articole'!$D$4:$E$2255,2,FALSE))</f>
        <v/>
      </c>
      <c r="D911" s="77">
        <v>0</v>
      </c>
      <c r="E911" s="78">
        <f>IF(B911="",0,VLOOKUP(B911,'Lista articole'!$D$4:$F$2163,3,FALSE))</f>
        <v>0</v>
      </c>
      <c r="F911" s="77">
        <f t="shared" si="286"/>
        <v>0</v>
      </c>
      <c r="G911" s="77">
        <f t="shared" si="287"/>
        <v>0</v>
      </c>
      <c r="H911" s="77">
        <f>F911*'Date Generale'!$D$58</f>
        <v>0</v>
      </c>
      <c r="I911" s="77">
        <f t="shared" si="288"/>
        <v>0</v>
      </c>
      <c r="J911" s="79">
        <f t="shared" si="289"/>
        <v>0</v>
      </c>
    </row>
    <row r="912" spans="1:10">
      <c r="A912" s="693" t="s">
        <v>52</v>
      </c>
      <c r="B912" s="694"/>
      <c r="C912" s="694"/>
      <c r="D912" s="694"/>
      <c r="E912" s="694"/>
      <c r="F912" s="56">
        <f>SUM(F913:F914)</f>
        <v>0</v>
      </c>
      <c r="G912" s="56">
        <f>SUM(G913:G914)</f>
        <v>0</v>
      </c>
      <c r="H912" s="56">
        <f>SUM(H913:H914)</f>
        <v>0</v>
      </c>
      <c r="I912" s="56">
        <f>SUM(I913:I914)</f>
        <v>0</v>
      </c>
      <c r="J912" s="57">
        <f>SUM(J913:J914)</f>
        <v>0</v>
      </c>
    </row>
    <row r="913" spans="1:10">
      <c r="A913" s="80">
        <v>1</v>
      </c>
      <c r="B913" s="81"/>
      <c r="C913" s="76" t="str">
        <f>IF(B913="","",VLOOKUP(B913,'Lista articole'!$D$4:$E$2255,2,FALSE))</f>
        <v/>
      </c>
      <c r="D913" s="77">
        <v>0</v>
      </c>
      <c r="E913" s="78">
        <f>IF(B913="",0,VLOOKUP(B913,'Lista articole'!$D$4:$F$2163,3,FALSE))</f>
        <v>0</v>
      </c>
      <c r="F913" s="77">
        <f>D913*E913</f>
        <v>0</v>
      </c>
      <c r="G913" s="77">
        <f>F913/$H$9</f>
        <v>0</v>
      </c>
      <c r="H913" s="77">
        <f>F913*'Date Generale'!$D$58</f>
        <v>0</v>
      </c>
      <c r="I913" s="77">
        <f t="shared" ref="I913:I914" si="290">H913+F913</f>
        <v>0</v>
      </c>
      <c r="J913" s="79">
        <f t="shared" ref="J913:J914" si="291">I913/$H$9</f>
        <v>0</v>
      </c>
    </row>
    <row r="914" spans="1:10">
      <c r="A914" s="74">
        <f>A913+1</f>
        <v>2</v>
      </c>
      <c r="B914" s="75"/>
      <c r="C914" s="76" t="str">
        <f>IF(B914="","",VLOOKUP(B914,'Lista articole'!$D$4:$E$2255,2,FALSE))</f>
        <v/>
      </c>
      <c r="D914" s="77">
        <v>0</v>
      </c>
      <c r="E914" s="78">
        <f>IF(B914="",0,VLOOKUP(B914,'Lista articole'!$D$4:$F$2163,3,FALSE))</f>
        <v>0</v>
      </c>
      <c r="F914" s="77">
        <f t="shared" ref="F914" si="292">D914*E914</f>
        <v>0</v>
      </c>
      <c r="G914" s="77">
        <f t="shared" ref="G914" si="293">F914/$H$9</f>
        <v>0</v>
      </c>
      <c r="H914" s="77">
        <f>F914*'Date Generale'!$D$58</f>
        <v>0</v>
      </c>
      <c r="I914" s="77">
        <f t="shared" si="290"/>
        <v>0</v>
      </c>
      <c r="J914" s="79">
        <f t="shared" si="291"/>
        <v>0</v>
      </c>
    </row>
    <row r="915" spans="1:10">
      <c r="A915" s="693" t="s">
        <v>53</v>
      </c>
      <c r="B915" s="694"/>
      <c r="C915" s="694"/>
      <c r="D915" s="694"/>
      <c r="E915" s="694"/>
      <c r="F915" s="56">
        <f>SUM(F916:F917)</f>
        <v>0</v>
      </c>
      <c r="G915" s="56">
        <f>SUM(G916:G917)</f>
        <v>0</v>
      </c>
      <c r="H915" s="56">
        <f>SUM(H916:H917)</f>
        <v>0</v>
      </c>
      <c r="I915" s="56">
        <f>SUM(I916:I917)</f>
        <v>0</v>
      </c>
      <c r="J915" s="57">
        <f>SUM(J916:J917)</f>
        <v>0</v>
      </c>
    </row>
    <row r="916" spans="1:10">
      <c r="A916" s="80">
        <v>1</v>
      </c>
      <c r="B916" s="81"/>
      <c r="C916" s="76" t="str">
        <f>IF(B916="","",VLOOKUP(B916,'Lista articole'!$D$4:$E$2255,2,FALSE))</f>
        <v/>
      </c>
      <c r="D916" s="77">
        <v>0</v>
      </c>
      <c r="E916" s="78">
        <f>IF(B916="",0,VLOOKUP(B916,'Lista articole'!$D$4:$F$2163,3,FALSE))</f>
        <v>0</v>
      </c>
      <c r="F916" s="77">
        <f>D916*E916</f>
        <v>0</v>
      </c>
      <c r="G916" s="77">
        <f>F916/$H$9</f>
        <v>0</v>
      </c>
      <c r="H916" s="77">
        <f>F916*'Date Generale'!$D$58</f>
        <v>0</v>
      </c>
      <c r="I916" s="77">
        <f t="shared" ref="I916:I917" si="294">H916+F916</f>
        <v>0</v>
      </c>
      <c r="J916" s="79">
        <f t="shared" ref="J916:J917" si="295">I916/$H$9</f>
        <v>0</v>
      </c>
    </row>
    <row r="917" spans="1:10" ht="15.75" thickBot="1">
      <c r="A917" s="139">
        <f>A916+1</f>
        <v>2</v>
      </c>
      <c r="B917" s="140"/>
      <c r="C917" s="141" t="str">
        <f>IF(B917="","",VLOOKUP(B917,'Lista articole'!$D$4:$E$2255,2,FALSE))</f>
        <v/>
      </c>
      <c r="D917" s="142">
        <v>0</v>
      </c>
      <c r="E917" s="143">
        <f>IF(B917="",0,VLOOKUP(B917,'Lista articole'!$D$4:$F$2163,3,FALSE))</f>
        <v>0</v>
      </c>
      <c r="F917" s="142">
        <f t="shared" ref="F917" si="296">D917*E917</f>
        <v>0</v>
      </c>
      <c r="G917" s="142">
        <f t="shared" ref="G917" si="297">F917/$H$9</f>
        <v>0</v>
      </c>
      <c r="H917" s="142">
        <f>F917*'Date Generale'!$D$58</f>
        <v>0</v>
      </c>
      <c r="I917" s="142">
        <f t="shared" si="294"/>
        <v>0</v>
      </c>
      <c r="J917" s="144">
        <f t="shared" si="295"/>
        <v>0</v>
      </c>
    </row>
    <row r="918" spans="1:10" ht="15.75" thickBot="1">
      <c r="A918" s="685" t="s">
        <v>27</v>
      </c>
      <c r="B918" s="686"/>
      <c r="C918" s="686"/>
      <c r="D918" s="686"/>
      <c r="E918" s="686"/>
      <c r="F918" s="82">
        <f>SUM(F882,F885,F888,F891,F906,F909,F912,F915)</f>
        <v>0</v>
      </c>
      <c r="G918" s="82">
        <f>SUM(G882,G885,G888,G891,G906,G909,G912,G915)</f>
        <v>0</v>
      </c>
      <c r="H918" s="82">
        <f>SUM(H882,H885,H888,H891,H906,H909,H912,H915)</f>
        <v>0</v>
      </c>
      <c r="I918" s="82">
        <f>SUM(I882,I885,I888,I891,I906,I909,I912,I915)</f>
        <v>0</v>
      </c>
      <c r="J918" s="83">
        <f>SUM(J882,J885,J888,J891,J906,J909,J912,J915)</f>
        <v>0</v>
      </c>
    </row>
    <row r="919" spans="1:10" ht="15.75" thickBot="1">
      <c r="A919" s="683" t="s">
        <v>28</v>
      </c>
      <c r="B919" s="684"/>
      <c r="C919" s="684"/>
      <c r="D919" s="684"/>
      <c r="E919" s="684"/>
      <c r="F919" s="72"/>
      <c r="G919" s="72"/>
      <c r="H919" s="72"/>
      <c r="I919" s="72"/>
      <c r="J919" s="73"/>
    </row>
    <row r="920" spans="1:10">
      <c r="A920" s="145"/>
      <c r="B920" s="695" t="s">
        <v>29</v>
      </c>
      <c r="C920" s="695"/>
      <c r="D920" s="695"/>
      <c r="E920" s="695"/>
      <c r="F920" s="146">
        <f>SUM(F921:F922)</f>
        <v>0</v>
      </c>
      <c r="G920" s="146">
        <f>SUM(G921:G922)</f>
        <v>0</v>
      </c>
      <c r="H920" s="146">
        <f>SUM(H921:H922)</f>
        <v>0</v>
      </c>
      <c r="I920" s="146">
        <f>SUM(I921:I922)</f>
        <v>0</v>
      </c>
      <c r="J920" s="147">
        <f>SUM(J921:J922)</f>
        <v>0</v>
      </c>
    </row>
    <row r="921" spans="1:10">
      <c r="A921" s="80">
        <v>1</v>
      </c>
      <c r="B921" s="81"/>
      <c r="C921" s="76" t="str">
        <f>IF(B921="","",VLOOKUP(B921,'Lista articole'!$D$4:$E$2255,2,FALSE))</f>
        <v/>
      </c>
      <c r="D921" s="77">
        <v>0</v>
      </c>
      <c r="E921" s="78">
        <f>IF(B921="",0,VLOOKUP(B921,'Lista articole'!$D$4:$F$2163,3,FALSE))</f>
        <v>0</v>
      </c>
      <c r="F921" s="77">
        <f>D921*E921</f>
        <v>0</v>
      </c>
      <c r="G921" s="77">
        <f>F921/$H$9</f>
        <v>0</v>
      </c>
      <c r="H921" s="77">
        <f>F921*'Date Generale'!$D$58</f>
        <v>0</v>
      </c>
      <c r="I921" s="77">
        <f t="shared" ref="I921:I922" si="298">H921+F921</f>
        <v>0</v>
      </c>
      <c r="J921" s="79">
        <f t="shared" ref="J921:J922" si="299">I921/$H$9</f>
        <v>0</v>
      </c>
    </row>
    <row r="922" spans="1:10" ht="15.75" thickBot="1">
      <c r="A922" s="139">
        <f>A921+1</f>
        <v>2</v>
      </c>
      <c r="B922" s="140"/>
      <c r="C922" s="141" t="str">
        <f>IF(B922="","",VLOOKUP(B922,'Lista articole'!$D$4:$E$2255,2,FALSE))</f>
        <v/>
      </c>
      <c r="D922" s="142">
        <v>0</v>
      </c>
      <c r="E922" s="143">
        <f>IF(B922="",0,VLOOKUP(B922,'Lista articole'!$D$4:$F$2163,3,FALSE))</f>
        <v>0</v>
      </c>
      <c r="F922" s="142">
        <f t="shared" ref="F922" si="300">D922*E922</f>
        <v>0</v>
      </c>
      <c r="G922" s="142">
        <f t="shared" ref="G922" si="301">F922/$H$9</f>
        <v>0</v>
      </c>
      <c r="H922" s="142">
        <f>F922*'Date Generale'!$D$58</f>
        <v>0</v>
      </c>
      <c r="I922" s="142">
        <f t="shared" si="298"/>
        <v>0</v>
      </c>
      <c r="J922" s="144">
        <f t="shared" si="299"/>
        <v>0</v>
      </c>
    </row>
    <row r="923" spans="1:10" ht="15.75" thickBot="1">
      <c r="A923" s="685" t="s">
        <v>30</v>
      </c>
      <c r="B923" s="686"/>
      <c r="C923" s="686"/>
      <c r="D923" s="686"/>
      <c r="E923" s="686"/>
      <c r="F923" s="85">
        <f>F920</f>
        <v>0</v>
      </c>
      <c r="G923" s="85">
        <f>G920</f>
        <v>0</v>
      </c>
      <c r="H923" s="85">
        <f>H920</f>
        <v>0</v>
      </c>
      <c r="I923" s="85">
        <f>I920</f>
        <v>0</v>
      </c>
      <c r="J923" s="86">
        <f>J920</f>
        <v>0</v>
      </c>
    </row>
    <row r="924" spans="1:10" ht="15.75" thickBot="1">
      <c r="A924" s="683" t="s">
        <v>31</v>
      </c>
      <c r="B924" s="684"/>
      <c r="C924" s="684"/>
      <c r="D924" s="684"/>
      <c r="E924" s="684"/>
      <c r="F924" s="72"/>
      <c r="G924" s="72"/>
      <c r="H924" s="72"/>
      <c r="I924" s="72"/>
      <c r="J924" s="73"/>
    </row>
    <row r="925" spans="1:10">
      <c r="A925" s="145"/>
      <c r="B925" s="695" t="s">
        <v>32</v>
      </c>
      <c r="C925" s="695"/>
      <c r="D925" s="695"/>
      <c r="E925" s="695"/>
      <c r="F925" s="148">
        <f>SUM(F926:F927)</f>
        <v>0</v>
      </c>
      <c r="G925" s="148">
        <f>SUM(G926:G927)</f>
        <v>0</v>
      </c>
      <c r="H925" s="148">
        <f>SUM(H926:H927)</f>
        <v>0</v>
      </c>
      <c r="I925" s="148">
        <f>SUM(I926:I927)</f>
        <v>0</v>
      </c>
      <c r="J925" s="149">
        <f>SUM(J926:J927)</f>
        <v>0</v>
      </c>
    </row>
    <row r="926" spans="1:10">
      <c r="A926" s="80">
        <v>1</v>
      </c>
      <c r="B926" s="81"/>
      <c r="C926" s="76" t="str">
        <f>IF(B926="","",VLOOKUP(B926,'Lista articole'!$D$4:$E$2255,2,FALSE))</f>
        <v/>
      </c>
      <c r="D926" s="77">
        <v>0</v>
      </c>
      <c r="E926" s="78">
        <f>IF(B926="",0,VLOOKUP(B926,'Lista articole'!$D$4:$F$2163,3,FALSE))</f>
        <v>0</v>
      </c>
      <c r="F926" s="77">
        <f>D926*E926</f>
        <v>0</v>
      </c>
      <c r="G926" s="77">
        <f>F926/$H$9</f>
        <v>0</v>
      </c>
      <c r="H926" s="77">
        <f>F926*'Date Generale'!$D$58</f>
        <v>0</v>
      </c>
      <c r="I926" s="77">
        <f t="shared" ref="I926:I927" si="302">H926+F926</f>
        <v>0</v>
      </c>
      <c r="J926" s="79">
        <f t="shared" ref="J926:J927" si="303">I926/$H$9</f>
        <v>0</v>
      </c>
    </row>
    <row r="927" spans="1:10">
      <c r="A927" s="74">
        <f>A926+1</f>
        <v>2</v>
      </c>
      <c r="B927" s="75"/>
      <c r="C927" s="76" t="str">
        <f>IF(B927="","",VLOOKUP(B927,'Lista articole'!$D$4:$E$2255,2,FALSE))</f>
        <v/>
      </c>
      <c r="D927" s="77">
        <v>0</v>
      </c>
      <c r="E927" s="78">
        <f>IF(B927="",0,VLOOKUP(B927,'Lista articole'!$D$4:$F$2163,3,FALSE))</f>
        <v>0</v>
      </c>
      <c r="F927" s="77">
        <f t="shared" ref="F927" si="304">D927*E927</f>
        <v>0</v>
      </c>
      <c r="G927" s="77">
        <f t="shared" ref="G927" si="305">F927/$H$9</f>
        <v>0</v>
      </c>
      <c r="H927" s="77">
        <f>F927*'Date Generale'!$D$58</f>
        <v>0</v>
      </c>
      <c r="I927" s="77">
        <f t="shared" si="302"/>
        <v>0</v>
      </c>
      <c r="J927" s="79">
        <f t="shared" si="303"/>
        <v>0</v>
      </c>
    </row>
    <row r="928" spans="1:10">
      <c r="A928" s="87"/>
      <c r="B928" s="696" t="s">
        <v>33</v>
      </c>
      <c r="C928" s="696"/>
      <c r="D928" s="696"/>
      <c r="E928" s="696"/>
      <c r="F928" s="88">
        <f>SUM(F929:F930)</f>
        <v>0</v>
      </c>
      <c r="G928" s="88">
        <f>SUM(G929:G930)</f>
        <v>0</v>
      </c>
      <c r="H928" s="88">
        <f>SUM(H929:H930)</f>
        <v>0</v>
      </c>
      <c r="I928" s="88">
        <f>SUM(I929:I930)</f>
        <v>0</v>
      </c>
      <c r="J928" s="89">
        <f>SUM(J929:J930)</f>
        <v>0</v>
      </c>
    </row>
    <row r="929" spans="1:11">
      <c r="A929" s="80">
        <v>1</v>
      </c>
      <c r="B929" s="81"/>
      <c r="C929" s="76" t="str">
        <f>IF(B929="","",VLOOKUP(B929,'Lista articole'!$D$4:$E$2255,2,FALSE))</f>
        <v/>
      </c>
      <c r="D929" s="77">
        <v>0</v>
      </c>
      <c r="E929" s="78">
        <f>IF(B929="",0,VLOOKUP(B929,'Lista articole'!$D$4:$F$2163,3,FALSE))</f>
        <v>0</v>
      </c>
      <c r="F929" s="77">
        <f>D929*E929</f>
        <v>0</v>
      </c>
      <c r="G929" s="77">
        <f>F929/$H$9</f>
        <v>0</v>
      </c>
      <c r="H929" s="77">
        <f>F929*'Date Generale'!$D$58</f>
        <v>0</v>
      </c>
      <c r="I929" s="77">
        <f t="shared" ref="I929:I930" si="306">H929+F929</f>
        <v>0</v>
      </c>
      <c r="J929" s="79">
        <f t="shared" ref="J929:J930" si="307">I929/$H$9</f>
        <v>0</v>
      </c>
    </row>
    <row r="930" spans="1:11">
      <c r="A930" s="74">
        <f>A929+1</f>
        <v>2</v>
      </c>
      <c r="B930" s="75"/>
      <c r="C930" s="76" t="str">
        <f>IF(B930="","",VLOOKUP(B930,'Lista articole'!$D$4:$E$2255,2,FALSE))</f>
        <v/>
      </c>
      <c r="D930" s="77">
        <v>0</v>
      </c>
      <c r="E930" s="78">
        <f>IF(B930="",0,VLOOKUP(B930,'Lista articole'!$D$4:$F$2163,3,FALSE))</f>
        <v>0</v>
      </c>
      <c r="F930" s="77">
        <f t="shared" ref="F930" si="308">D930*E930</f>
        <v>0</v>
      </c>
      <c r="G930" s="77">
        <f t="shared" ref="G930" si="309">F930/$H$9</f>
        <v>0</v>
      </c>
      <c r="H930" s="77">
        <f>F930*'Date Generale'!$D$58</f>
        <v>0</v>
      </c>
      <c r="I930" s="77">
        <f t="shared" si="306"/>
        <v>0</v>
      </c>
      <c r="J930" s="79">
        <f t="shared" si="307"/>
        <v>0</v>
      </c>
    </row>
    <row r="931" spans="1:11">
      <c r="A931" s="87"/>
      <c r="B931" s="696" t="s">
        <v>34</v>
      </c>
      <c r="C931" s="696"/>
      <c r="D931" s="696"/>
      <c r="E931" s="696"/>
      <c r="F931" s="88">
        <f>SUM(F932:F933)</f>
        <v>0</v>
      </c>
      <c r="G931" s="88">
        <f>SUM(G932:G933)</f>
        <v>0</v>
      </c>
      <c r="H931" s="88">
        <f>SUM(H932:H933)</f>
        <v>0</v>
      </c>
      <c r="I931" s="88">
        <f>SUM(I932:I933)</f>
        <v>0</v>
      </c>
      <c r="J931" s="89">
        <f>SUM(J932:J933)</f>
        <v>0</v>
      </c>
    </row>
    <row r="932" spans="1:11">
      <c r="A932" s="80">
        <v>1</v>
      </c>
      <c r="B932" s="81"/>
      <c r="C932" s="76" t="str">
        <f>IF(B932="","",VLOOKUP(B932,'Lista articole'!$D$4:$E$2255,2,FALSE))</f>
        <v/>
      </c>
      <c r="D932" s="77">
        <v>0</v>
      </c>
      <c r="E932" s="78">
        <f>IF(B932="",0,VLOOKUP(B932,'Lista articole'!$D$4:$F$2163,3,FALSE))</f>
        <v>0</v>
      </c>
      <c r="F932" s="77">
        <f>D932*E932</f>
        <v>0</v>
      </c>
      <c r="G932" s="77">
        <f>F932/$H$9</f>
        <v>0</v>
      </c>
      <c r="H932" s="77">
        <f>F932*'Date Generale'!$D$58</f>
        <v>0</v>
      </c>
      <c r="I932" s="77">
        <f t="shared" ref="I932:I933" si="310">H932+F932</f>
        <v>0</v>
      </c>
      <c r="J932" s="79">
        <f t="shared" ref="J932:J933" si="311">I932/$H$9</f>
        <v>0</v>
      </c>
    </row>
    <row r="933" spans="1:11" ht="15.75" thickBot="1">
      <c r="A933" s="139">
        <f>A932+1</f>
        <v>2</v>
      </c>
      <c r="B933" s="140"/>
      <c r="C933" s="141" t="str">
        <f>IF(B933="","",VLOOKUP(B933,'Lista articole'!$D$4:$E$2255,2,FALSE))</f>
        <v/>
      </c>
      <c r="D933" s="142">
        <v>0</v>
      </c>
      <c r="E933" s="143">
        <f>IF(B933="",0,VLOOKUP(B933,'Lista articole'!$D$4:$F$2163,3,FALSE))</f>
        <v>0</v>
      </c>
      <c r="F933" s="142">
        <f t="shared" ref="F933" si="312">D933*E933</f>
        <v>0</v>
      </c>
      <c r="G933" s="142">
        <f t="shared" ref="G933" si="313">F933/$H$9</f>
        <v>0</v>
      </c>
      <c r="H933" s="142">
        <f>F933*'Date Generale'!$D$58</f>
        <v>0</v>
      </c>
      <c r="I933" s="142">
        <f t="shared" si="310"/>
        <v>0</v>
      </c>
      <c r="J933" s="144">
        <f t="shared" si="311"/>
        <v>0</v>
      </c>
    </row>
    <row r="934" spans="1:11" ht="15.75" thickBot="1">
      <c r="A934" s="685" t="s">
        <v>35</v>
      </c>
      <c r="B934" s="686"/>
      <c r="C934" s="686"/>
      <c r="D934" s="686"/>
      <c r="E934" s="686"/>
      <c r="F934" s="62">
        <f>SUM(F931,F928,F925)</f>
        <v>0</v>
      </c>
      <c r="G934" s="62">
        <f>SUM(G931,G928,G925)</f>
        <v>0</v>
      </c>
      <c r="H934" s="62">
        <f>SUM(H931,H928,H925)</f>
        <v>0</v>
      </c>
      <c r="I934" s="62">
        <f>SUM(I931,I928,I925)</f>
        <v>0</v>
      </c>
      <c r="J934" s="63">
        <f>SUM(J931,J928,J925)</f>
        <v>0</v>
      </c>
    </row>
    <row r="935" spans="1:11">
      <c r="A935" s="38"/>
      <c r="B935" s="39"/>
      <c r="C935" s="39"/>
      <c r="D935" s="39"/>
      <c r="E935" s="39"/>
      <c r="F935" s="39"/>
      <c r="G935" s="39"/>
      <c r="H935" s="39"/>
      <c r="I935" s="39"/>
      <c r="J935" s="39"/>
    </row>
    <row r="936" spans="1:11">
      <c r="A936" s="38"/>
      <c r="C936" s="42"/>
      <c r="D936" s="42"/>
      <c r="E936" s="42"/>
      <c r="F936" s="42"/>
      <c r="G936" s="42"/>
      <c r="H936" s="42"/>
      <c r="I936" s="42"/>
      <c r="J936" s="42"/>
    </row>
    <row r="937" spans="1:11" ht="18.75">
      <c r="A937" s="42"/>
      <c r="B937" s="90" t="s">
        <v>37</v>
      </c>
      <c r="C937" s="42"/>
      <c r="D937" s="42"/>
      <c r="E937" s="42"/>
      <c r="F937" s="42"/>
      <c r="G937" s="42"/>
      <c r="H937" s="42"/>
      <c r="I937" s="42"/>
      <c r="J937" s="42"/>
    </row>
    <row r="938" spans="1:11" ht="18.75">
      <c r="A938" s="38"/>
      <c r="B938" s="90" t="str">
        <f>'Date Generale'!$C$7</f>
        <v>S.C. Tehno Consoulting Solutions S.R.L.</v>
      </c>
      <c r="C938" s="39"/>
      <c r="D938" s="39"/>
      <c r="E938" s="39"/>
      <c r="F938" s="39"/>
      <c r="G938" s="39"/>
      <c r="H938" s="39"/>
      <c r="I938" s="39"/>
      <c r="J938" s="39"/>
    </row>
    <row r="939" spans="1:11">
      <c r="A939" s="35"/>
      <c r="B939" s="93"/>
      <c r="C939" s="94"/>
      <c r="D939" s="95"/>
      <c r="E939" s="96"/>
      <c r="F939" s="96"/>
      <c r="G939" s="95"/>
      <c r="H939" s="95"/>
      <c r="I939" s="95"/>
      <c r="J939" s="95"/>
    </row>
    <row r="940" spans="1:11">
      <c r="A940" s="35"/>
      <c r="B940" s="93"/>
      <c r="C940" s="94"/>
      <c r="D940" s="95"/>
      <c r="E940" s="96"/>
      <c r="F940" s="96"/>
      <c r="G940" s="95"/>
      <c r="H940" s="95"/>
      <c r="I940" s="95"/>
      <c r="J940" s="95"/>
    </row>
    <row r="941" spans="1:11">
      <c r="A941" s="35"/>
      <c r="B941" s="98"/>
      <c r="C941" s="94"/>
      <c r="D941" s="95"/>
      <c r="E941" s="96"/>
      <c r="F941" s="96"/>
      <c r="G941" s="95"/>
      <c r="H941" s="95"/>
      <c r="I941" s="95"/>
      <c r="J941" s="95"/>
      <c r="K941" s="67"/>
    </row>
    <row r="942" spans="1:11" ht="15.75">
      <c r="A942" s="41" t="str">
        <f>"Beneficiar: " &amp;'Date Generale'!$C$6</f>
        <v xml:space="preserve">Beneficiar: Judetul Arges </v>
      </c>
      <c r="B942" s="41"/>
      <c r="C942" s="42"/>
      <c r="D942" s="42"/>
      <c r="E942" s="69"/>
      <c r="F942" s="42"/>
      <c r="G942" s="42"/>
      <c r="H942" s="42"/>
      <c r="I942" s="42"/>
      <c r="J942" s="42"/>
    </row>
    <row r="943" spans="1:11" ht="15.75">
      <c r="A943" s="41" t="str">
        <f>"Denumire proiect: " &amp; 'Date Generale'!$C$3</f>
        <v>Denumire proiect: Modernizare DJ 703B Serbanesti (DJ659) - Silistea, km 70+410 - 77+826, 7.416km, in comunele Rociu si Cateasca</v>
      </c>
      <c r="B943" s="41"/>
      <c r="C943" s="44"/>
      <c r="D943" s="44"/>
      <c r="E943" s="44"/>
      <c r="F943" s="44"/>
      <c r="G943" s="44"/>
      <c r="H943" s="44"/>
      <c r="I943" s="44"/>
      <c r="J943" s="44"/>
    </row>
    <row r="944" spans="1:11" ht="15.75">
      <c r="A944" s="41"/>
      <c r="B944" s="41"/>
      <c r="C944" s="44"/>
      <c r="D944" s="44"/>
      <c r="E944" s="44"/>
      <c r="F944" s="44"/>
      <c r="G944" s="44"/>
      <c r="H944" s="44"/>
      <c r="I944" s="44"/>
      <c r="J944" s="44"/>
    </row>
    <row r="945" spans="1:10" ht="15.75">
      <c r="A945" s="41" t="str">
        <f>'Date Generale'!$E$72</f>
        <v>Obiect 012: 0</v>
      </c>
      <c r="B945" s="41"/>
      <c r="C945" s="44"/>
      <c r="D945" s="44"/>
      <c r="E945" s="44"/>
      <c r="F945" s="44"/>
      <c r="G945" s="44"/>
      <c r="H945" s="44"/>
      <c r="I945" s="44"/>
      <c r="J945" s="44"/>
    </row>
    <row r="946" spans="1:10" ht="15.75">
      <c r="A946" s="70"/>
      <c r="B946" s="44"/>
      <c r="C946" s="44"/>
      <c r="D946" s="44"/>
      <c r="E946" s="44"/>
      <c r="F946" s="44"/>
      <c r="G946" s="44"/>
      <c r="H946" s="44"/>
      <c r="I946" s="44"/>
      <c r="J946" s="44"/>
    </row>
    <row r="947" spans="1:10">
      <c r="A947" s="687" t="s">
        <v>38</v>
      </c>
      <c r="B947" s="687"/>
      <c r="C947" s="687"/>
      <c r="D947" s="687"/>
      <c r="E947" s="687"/>
      <c r="F947" s="687"/>
      <c r="G947" s="687"/>
      <c r="H947" s="687"/>
      <c r="I947" s="687"/>
      <c r="J947" s="687"/>
    </row>
    <row r="948" spans="1:10">
      <c r="A948" s="371"/>
      <c r="B948" s="371"/>
      <c r="C948" s="371"/>
      <c r="D948" s="371"/>
      <c r="E948" s="371"/>
      <c r="F948" s="371"/>
      <c r="G948" s="371"/>
      <c r="H948" s="371"/>
      <c r="I948" s="371"/>
      <c r="J948" s="371"/>
    </row>
    <row r="949" spans="1:10" ht="15.75" thickBot="1">
      <c r="A949" s="42"/>
      <c r="B949" s="46"/>
      <c r="C949" s="71"/>
      <c r="D949" s="71"/>
      <c r="E949" s="71"/>
      <c r="F949" s="33"/>
      <c r="G949" s="47" t="s">
        <v>2</v>
      </c>
      <c r="H949" s="48">
        <f>'Date Generale'!$C$54</f>
        <v>4.7233000000000001</v>
      </c>
      <c r="I949" s="49" t="s">
        <v>3</v>
      </c>
      <c r="J949" s="50" t="str">
        <f>'Date Generale'!$D$54</f>
        <v>21,06,2019</v>
      </c>
    </row>
    <row r="950" spans="1:10" ht="15.75" thickBot="1">
      <c r="A950" s="688" t="s">
        <v>4</v>
      </c>
      <c r="B950" s="688" t="s">
        <v>5</v>
      </c>
      <c r="C950" s="688" t="s">
        <v>39</v>
      </c>
      <c r="D950" s="688" t="s">
        <v>40</v>
      </c>
      <c r="E950" s="688" t="s">
        <v>228</v>
      </c>
      <c r="F950" s="689" t="s">
        <v>160</v>
      </c>
      <c r="G950" s="689"/>
      <c r="H950" s="372" t="s">
        <v>7</v>
      </c>
      <c r="I950" s="689" t="s">
        <v>159</v>
      </c>
      <c r="J950" s="689"/>
    </row>
    <row r="951" spans="1:10" ht="15.75" thickBot="1">
      <c r="A951" s="688"/>
      <c r="B951" s="688"/>
      <c r="C951" s="688"/>
      <c r="D951" s="688"/>
      <c r="E951" s="688"/>
      <c r="F951" s="51" t="s">
        <v>9</v>
      </c>
      <c r="G951" s="51" t="s">
        <v>10</v>
      </c>
      <c r="H951" s="51" t="s">
        <v>9</v>
      </c>
      <c r="I951" s="51" t="s">
        <v>9</v>
      </c>
      <c r="J951" s="51" t="s">
        <v>10</v>
      </c>
    </row>
    <row r="952" spans="1:10" ht="15.75" thickBot="1">
      <c r="A952" s="3">
        <v>1</v>
      </c>
      <c r="B952" s="1">
        <v>2</v>
      </c>
      <c r="C952" s="1">
        <v>3</v>
      </c>
      <c r="D952" s="1">
        <v>4</v>
      </c>
      <c r="E952" s="1">
        <v>5</v>
      </c>
      <c r="F952" s="1">
        <v>6</v>
      </c>
      <c r="G952" s="1">
        <v>7</v>
      </c>
      <c r="H952" s="1">
        <v>8</v>
      </c>
      <c r="I952" s="1">
        <v>9</v>
      </c>
      <c r="J952" s="1">
        <v>10</v>
      </c>
    </row>
    <row r="953" spans="1:10" ht="15.75" thickBot="1">
      <c r="A953" s="683" t="s">
        <v>11</v>
      </c>
      <c r="B953" s="684"/>
      <c r="C953" s="684"/>
      <c r="D953" s="684"/>
      <c r="E953" s="684"/>
      <c r="F953" s="72"/>
      <c r="G953" s="72"/>
      <c r="H953" s="72"/>
      <c r="I953" s="72"/>
      <c r="J953" s="73"/>
    </row>
    <row r="954" spans="1:10">
      <c r="A954" s="691" t="s">
        <v>41</v>
      </c>
      <c r="B954" s="692"/>
      <c r="C954" s="692"/>
      <c r="D954" s="692"/>
      <c r="E954" s="692"/>
      <c r="F954" s="137">
        <f>SUM(F955:F956)</f>
        <v>0</v>
      </c>
      <c r="G954" s="137">
        <f>SUM(G955:G956)</f>
        <v>0</v>
      </c>
      <c r="H954" s="137">
        <f>SUM(H955:H956)</f>
        <v>0</v>
      </c>
      <c r="I954" s="137">
        <f>SUM(I955:I956)</f>
        <v>0</v>
      </c>
      <c r="J954" s="138">
        <f>SUM(J955:J956)</f>
        <v>0</v>
      </c>
    </row>
    <row r="955" spans="1:10">
      <c r="A955" s="74">
        <v>1</v>
      </c>
      <c r="B955" s="75"/>
      <c r="C955" s="76" t="str">
        <f>IF(B955="","",VLOOKUP(B955,'Lista articole'!$D$4:$E$2255,2,FALSE))</f>
        <v/>
      </c>
      <c r="D955" s="77">
        <v>0</v>
      </c>
      <c r="E955" s="78">
        <f>IF(B955="",0,VLOOKUP(B955,'Lista articole'!$D$4:$F$2163,3,FALSE))</f>
        <v>0</v>
      </c>
      <c r="F955" s="77">
        <f>D955*E955</f>
        <v>0</v>
      </c>
      <c r="G955" s="77">
        <f t="shared" ref="G955:G956" si="314">F955/$H$9</f>
        <v>0</v>
      </c>
      <c r="H955" s="77">
        <f>F955*'Date Generale'!$D$58</f>
        <v>0</v>
      </c>
      <c r="I955" s="77">
        <f>H955+F955</f>
        <v>0</v>
      </c>
      <c r="J955" s="79">
        <f>I955/$H$9</f>
        <v>0</v>
      </c>
    </row>
    <row r="956" spans="1:10">
      <c r="A956" s="74">
        <v>2</v>
      </c>
      <c r="B956" s="75"/>
      <c r="C956" s="76" t="str">
        <f>IF(B956="","",VLOOKUP(B956,'Lista articole'!$D$4:$E$2255,2,FALSE))</f>
        <v/>
      </c>
      <c r="D956" s="77">
        <v>0</v>
      </c>
      <c r="E956" s="78">
        <f>IF(B956="",0,VLOOKUP(B956,'Lista articole'!$D$4:$F$2163,3,FALSE))</f>
        <v>0</v>
      </c>
      <c r="F956" s="77">
        <f>D956*E956</f>
        <v>0</v>
      </c>
      <c r="G956" s="77">
        <f t="shared" si="314"/>
        <v>0</v>
      </c>
      <c r="H956" s="77">
        <f>F956*'Date Generale'!$D$58</f>
        <v>0</v>
      </c>
      <c r="I956" s="77">
        <f>H956+F956</f>
        <v>0</v>
      </c>
      <c r="J956" s="79">
        <f>I956/$H$9</f>
        <v>0</v>
      </c>
    </row>
    <row r="957" spans="1:10">
      <c r="A957" s="693" t="s">
        <v>44</v>
      </c>
      <c r="B957" s="694"/>
      <c r="C957" s="694"/>
      <c r="D957" s="694"/>
      <c r="E957" s="694"/>
      <c r="F957" s="56">
        <f>SUM(F958:F959)</f>
        <v>0</v>
      </c>
      <c r="G957" s="56">
        <f>SUM(G958:G959)</f>
        <v>0</v>
      </c>
      <c r="H957" s="56">
        <f>SUM(H958:H959)</f>
        <v>0</v>
      </c>
      <c r="I957" s="56">
        <f>SUM(I958:I959)</f>
        <v>0</v>
      </c>
      <c r="J957" s="57">
        <f>SUM(J958:J959)</f>
        <v>0</v>
      </c>
    </row>
    <row r="958" spans="1:10">
      <c r="A958" s="80">
        <v>1</v>
      </c>
      <c r="B958" s="81"/>
      <c r="C958" s="76" t="str">
        <f>IF(B958="","",VLOOKUP(B958,'Lista articole'!$D$4:$E$2255,2,FALSE))</f>
        <v/>
      </c>
      <c r="D958" s="77">
        <v>0</v>
      </c>
      <c r="E958" s="78">
        <f>IF(B958="",0,VLOOKUP(B958,'Lista articole'!$D$4:$F$2163,3,FALSE))</f>
        <v>0</v>
      </c>
      <c r="F958" s="77">
        <f t="shared" ref="F958:F959" si="315">D958*E958</f>
        <v>0</v>
      </c>
      <c r="G958" s="77">
        <f t="shared" ref="G958:G959" si="316">F958/$H$9</f>
        <v>0</v>
      </c>
      <c r="H958" s="77">
        <f>F958*'Date Generale'!$D$58</f>
        <v>0</v>
      </c>
      <c r="I958" s="77">
        <f t="shared" ref="I958:I959" si="317">H958+F958</f>
        <v>0</v>
      </c>
      <c r="J958" s="79">
        <f t="shared" ref="J958:J959" si="318">I958/$H$9</f>
        <v>0</v>
      </c>
    </row>
    <row r="959" spans="1:10">
      <c r="A959" s="80">
        <f t="shared" ref="A959" si="319">A958+1</f>
        <v>2</v>
      </c>
      <c r="B959" s="81"/>
      <c r="C959" s="76" t="str">
        <f>IF(B959="","",VLOOKUP(B959,'Lista articole'!$D$4:$E$2255,2,FALSE))</f>
        <v/>
      </c>
      <c r="D959" s="77">
        <v>0</v>
      </c>
      <c r="E959" s="78">
        <f>IF(B959="",0,VLOOKUP(B959,'Lista articole'!$D$4:$F$2163,3,FALSE))</f>
        <v>0</v>
      </c>
      <c r="F959" s="77">
        <f t="shared" si="315"/>
        <v>0</v>
      </c>
      <c r="G959" s="77">
        <f t="shared" si="316"/>
        <v>0</v>
      </c>
      <c r="H959" s="77">
        <f>F959*'Date Generale'!$D$58</f>
        <v>0</v>
      </c>
      <c r="I959" s="77">
        <f t="shared" si="317"/>
        <v>0</v>
      </c>
      <c r="J959" s="79">
        <f t="shared" si="318"/>
        <v>0</v>
      </c>
    </row>
    <row r="960" spans="1:10">
      <c r="A960" s="693" t="s">
        <v>45</v>
      </c>
      <c r="B960" s="694"/>
      <c r="C960" s="694"/>
      <c r="D960" s="694"/>
      <c r="E960" s="694"/>
      <c r="F960" s="56">
        <f>SUM(F961:F962)</f>
        <v>0</v>
      </c>
      <c r="G960" s="56">
        <f>SUM(G961:G962)</f>
        <v>0</v>
      </c>
      <c r="H960" s="56">
        <f>SUM(H961:H962)</f>
        <v>0</v>
      </c>
      <c r="I960" s="56">
        <f>SUM(I961:I962)</f>
        <v>0</v>
      </c>
      <c r="J960" s="57">
        <f>SUM(J961:J962)</f>
        <v>0</v>
      </c>
    </row>
    <row r="961" spans="1:10">
      <c r="A961" s="80">
        <v>1</v>
      </c>
      <c r="B961" s="81"/>
      <c r="C961" s="76" t="str">
        <f>IF(B961="","",VLOOKUP(B961,'Lista articole'!$D$4:$E$2255,2,FALSE))</f>
        <v/>
      </c>
      <c r="D961" s="77">
        <v>0</v>
      </c>
      <c r="E961" s="78">
        <f>IF(B961="",0,VLOOKUP(B961,'Lista articole'!$D$4:$F$2163,3,FALSE))</f>
        <v>0</v>
      </c>
      <c r="F961" s="77">
        <f t="shared" ref="F961:F962" si="320">D961*E961</f>
        <v>0</v>
      </c>
      <c r="G961" s="77">
        <f t="shared" ref="G961:G962" si="321">F961/$H$9</f>
        <v>0</v>
      </c>
      <c r="H961" s="77">
        <f>F961*'Date Generale'!$D$58</f>
        <v>0</v>
      </c>
      <c r="I961" s="77">
        <f t="shared" ref="I961:I962" si="322">H961+F961</f>
        <v>0</v>
      </c>
      <c r="J961" s="79">
        <f t="shared" ref="J961:J962" si="323">I961/$H$9</f>
        <v>0</v>
      </c>
    </row>
    <row r="962" spans="1:10">
      <c r="A962" s="80">
        <v>2</v>
      </c>
      <c r="B962" s="81"/>
      <c r="C962" s="76" t="str">
        <f>IF(B962="","",VLOOKUP(B962,'Lista articole'!$D$4:$E$2255,2,FALSE))</f>
        <v/>
      </c>
      <c r="D962" s="77">
        <v>0</v>
      </c>
      <c r="E962" s="78">
        <f>IF(B962="",0,VLOOKUP(B962,'Lista articole'!$D$4:$F$2163,3,FALSE))</f>
        <v>0</v>
      </c>
      <c r="F962" s="77">
        <f t="shared" si="320"/>
        <v>0</v>
      </c>
      <c r="G962" s="77">
        <f t="shared" si="321"/>
        <v>0</v>
      </c>
      <c r="H962" s="77">
        <f>F962*'Date Generale'!$D$58</f>
        <v>0</v>
      </c>
      <c r="I962" s="77">
        <f t="shared" si="322"/>
        <v>0</v>
      </c>
      <c r="J962" s="79">
        <f t="shared" si="323"/>
        <v>0</v>
      </c>
    </row>
    <row r="963" spans="1:10">
      <c r="A963" s="693" t="s">
        <v>46</v>
      </c>
      <c r="B963" s="694"/>
      <c r="C963" s="694"/>
      <c r="D963" s="694"/>
      <c r="E963" s="694"/>
      <c r="F963" s="56">
        <f>SUM(F964:F977)</f>
        <v>0</v>
      </c>
      <c r="G963" s="56">
        <f>SUM(G964:G977)</f>
        <v>0</v>
      </c>
      <c r="H963" s="56">
        <f>SUM(H964:H977)</f>
        <v>0</v>
      </c>
      <c r="I963" s="56">
        <f>SUM(I964:I977)</f>
        <v>0</v>
      </c>
      <c r="J963" s="57">
        <f>SUM(J964:J977)</f>
        <v>0</v>
      </c>
    </row>
    <row r="964" spans="1:10">
      <c r="A964" s="80">
        <v>1</v>
      </c>
      <c r="B964" s="81"/>
      <c r="C964" s="76" t="str">
        <f>IF(B964="","",VLOOKUP(B964,'Lista articole'!$D$4:$E$2255,2,FALSE))</f>
        <v/>
      </c>
      <c r="D964" s="77">
        <v>0</v>
      </c>
      <c r="E964" s="78">
        <f>IF(B964="",0,VLOOKUP(B964,'Lista articole'!$D$4:$F$2163,3,FALSE))</f>
        <v>0</v>
      </c>
      <c r="F964" s="77">
        <f t="shared" ref="F964:F977" si="324">D964*E964</f>
        <v>0</v>
      </c>
      <c r="G964" s="77">
        <f t="shared" ref="G964:G977" si="325">F964/$H$9</f>
        <v>0</v>
      </c>
      <c r="H964" s="77">
        <f>F964*'Date Generale'!$D$58</f>
        <v>0</v>
      </c>
      <c r="I964" s="77">
        <f t="shared" ref="I964:I977" si="326">H964+F964</f>
        <v>0</v>
      </c>
      <c r="J964" s="79">
        <f t="shared" ref="J964:J977" si="327">I964/$H$9</f>
        <v>0</v>
      </c>
    </row>
    <row r="965" spans="1:10">
      <c r="A965" s="80">
        <v>2</v>
      </c>
      <c r="B965" s="81"/>
      <c r="C965" s="76" t="str">
        <f>IF(B965="","",VLOOKUP(B965,'Lista articole'!$D$4:$E$2255,2,FALSE))</f>
        <v/>
      </c>
      <c r="D965" s="77">
        <v>0</v>
      </c>
      <c r="E965" s="78">
        <f>IF(B965="",0,VLOOKUP(B965,'Lista articole'!$D$4:$F$2163,3,FALSE))</f>
        <v>0</v>
      </c>
      <c r="F965" s="77">
        <f t="shared" si="324"/>
        <v>0</v>
      </c>
      <c r="G965" s="77">
        <f t="shared" si="325"/>
        <v>0</v>
      </c>
      <c r="H965" s="77">
        <f>F965*'Date Generale'!$D$58</f>
        <v>0</v>
      </c>
      <c r="I965" s="77">
        <f t="shared" si="326"/>
        <v>0</v>
      </c>
      <c r="J965" s="79">
        <f t="shared" si="327"/>
        <v>0</v>
      </c>
    </row>
    <row r="966" spans="1:10">
      <c r="A966" s="80">
        <v>3</v>
      </c>
      <c r="B966" s="81"/>
      <c r="C966" s="76" t="str">
        <f>IF(B966="","",VLOOKUP(B966,'Lista articole'!$D$4:$E$2255,2,FALSE))</f>
        <v/>
      </c>
      <c r="D966" s="77">
        <v>0</v>
      </c>
      <c r="E966" s="78">
        <f>IF(B966="",0,VLOOKUP(B966,'Lista articole'!$D$4:$F$2163,3,FALSE))</f>
        <v>0</v>
      </c>
      <c r="F966" s="77">
        <f t="shared" si="324"/>
        <v>0</v>
      </c>
      <c r="G966" s="77">
        <f t="shared" si="325"/>
        <v>0</v>
      </c>
      <c r="H966" s="77">
        <f>F966*'Date Generale'!$D$58</f>
        <v>0</v>
      </c>
      <c r="I966" s="77">
        <f t="shared" si="326"/>
        <v>0</v>
      </c>
      <c r="J966" s="79">
        <f t="shared" si="327"/>
        <v>0</v>
      </c>
    </row>
    <row r="967" spans="1:10">
      <c r="A967" s="80">
        <v>4</v>
      </c>
      <c r="B967" s="81"/>
      <c r="C967" s="76" t="str">
        <f>IF(B967="","",VLOOKUP(B967,'Lista articole'!$D$4:$E$2255,2,FALSE))</f>
        <v/>
      </c>
      <c r="D967" s="77">
        <v>0</v>
      </c>
      <c r="E967" s="78">
        <f>IF(B967="",0,VLOOKUP(B967,'Lista articole'!$D$4:$F$2163,3,FALSE))</f>
        <v>0</v>
      </c>
      <c r="F967" s="77">
        <f t="shared" si="324"/>
        <v>0</v>
      </c>
      <c r="G967" s="77">
        <f t="shared" si="325"/>
        <v>0</v>
      </c>
      <c r="H967" s="77">
        <f>F967*'Date Generale'!$D$58</f>
        <v>0</v>
      </c>
      <c r="I967" s="77">
        <f t="shared" si="326"/>
        <v>0</v>
      </c>
      <c r="J967" s="79">
        <f t="shared" si="327"/>
        <v>0</v>
      </c>
    </row>
    <row r="968" spans="1:10">
      <c r="A968" s="80">
        <v>5</v>
      </c>
      <c r="B968" s="81"/>
      <c r="C968" s="76" t="str">
        <f>IF(B968="","",VLOOKUP(B968,'Lista articole'!$D$4:$E$2255,2,FALSE))</f>
        <v/>
      </c>
      <c r="D968" s="77">
        <v>0</v>
      </c>
      <c r="E968" s="78">
        <f>IF(B968="",0,VLOOKUP(B968,'Lista articole'!$D$4:$F$2163,3,FALSE))</f>
        <v>0</v>
      </c>
      <c r="F968" s="77">
        <f t="shared" si="324"/>
        <v>0</v>
      </c>
      <c r="G968" s="77">
        <f t="shared" si="325"/>
        <v>0</v>
      </c>
      <c r="H968" s="77">
        <f>F968*'Date Generale'!$D$58</f>
        <v>0</v>
      </c>
      <c r="I968" s="77">
        <f t="shared" si="326"/>
        <v>0</v>
      </c>
      <c r="J968" s="79">
        <f t="shared" si="327"/>
        <v>0</v>
      </c>
    </row>
    <row r="969" spans="1:10">
      <c r="A969" s="80">
        <v>6</v>
      </c>
      <c r="B969" s="81"/>
      <c r="C969" s="76" t="str">
        <f>IF(B969="","",VLOOKUP(B969,'Lista articole'!$D$4:$E$2255,2,FALSE))</f>
        <v/>
      </c>
      <c r="D969" s="77">
        <v>0</v>
      </c>
      <c r="E969" s="78">
        <f>IF(B969="",0,VLOOKUP(B969,'Lista articole'!$D$4:$F$2163,3,FALSE))</f>
        <v>0</v>
      </c>
      <c r="F969" s="77">
        <f t="shared" si="324"/>
        <v>0</v>
      </c>
      <c r="G969" s="77">
        <f t="shared" si="325"/>
        <v>0</v>
      </c>
      <c r="H969" s="77">
        <f>F969*'Date Generale'!$D$58</f>
        <v>0</v>
      </c>
      <c r="I969" s="77">
        <f t="shared" si="326"/>
        <v>0</v>
      </c>
      <c r="J969" s="79">
        <f t="shared" si="327"/>
        <v>0</v>
      </c>
    </row>
    <row r="970" spans="1:10">
      <c r="A970" s="80">
        <v>7</v>
      </c>
      <c r="B970" s="81"/>
      <c r="C970" s="76" t="str">
        <f>IF(B970="","",VLOOKUP(B970,'Lista articole'!$D$4:$E$2255,2,FALSE))</f>
        <v/>
      </c>
      <c r="D970" s="77">
        <v>0</v>
      </c>
      <c r="E970" s="78">
        <f>IF(B970="",0,VLOOKUP(B970,'Lista articole'!$D$4:$F$2163,3,FALSE))</f>
        <v>0</v>
      </c>
      <c r="F970" s="77">
        <f t="shared" si="324"/>
        <v>0</v>
      </c>
      <c r="G970" s="77">
        <f t="shared" si="325"/>
        <v>0</v>
      </c>
      <c r="H970" s="77">
        <f>F970*'Date Generale'!$D$58</f>
        <v>0</v>
      </c>
      <c r="I970" s="77">
        <f t="shared" si="326"/>
        <v>0</v>
      </c>
      <c r="J970" s="79">
        <f t="shared" si="327"/>
        <v>0</v>
      </c>
    </row>
    <row r="971" spans="1:10">
      <c r="A971" s="80">
        <v>8</v>
      </c>
      <c r="B971" s="81"/>
      <c r="C971" s="76" t="str">
        <f>IF(B971="","",VLOOKUP(B971,'Lista articole'!$D$4:$E$2255,2,FALSE))</f>
        <v/>
      </c>
      <c r="D971" s="77">
        <v>0</v>
      </c>
      <c r="E971" s="78">
        <f>IF(B971="",0,VLOOKUP(B971,'Lista articole'!$D$4:$F$2163,3,FALSE))</f>
        <v>0</v>
      </c>
      <c r="F971" s="77">
        <f t="shared" si="324"/>
        <v>0</v>
      </c>
      <c r="G971" s="77">
        <f t="shared" si="325"/>
        <v>0</v>
      </c>
      <c r="H971" s="77">
        <f>F971*'Date Generale'!$D$58</f>
        <v>0</v>
      </c>
      <c r="I971" s="77">
        <f t="shared" si="326"/>
        <v>0</v>
      </c>
      <c r="J971" s="79">
        <f t="shared" si="327"/>
        <v>0</v>
      </c>
    </row>
    <row r="972" spans="1:10">
      <c r="A972" s="80">
        <v>9</v>
      </c>
      <c r="B972" s="81"/>
      <c r="C972" s="76" t="str">
        <f>IF(B972="","",VLOOKUP(B972,'Lista articole'!$D$4:$E$2255,2,FALSE))</f>
        <v/>
      </c>
      <c r="D972" s="77">
        <v>0</v>
      </c>
      <c r="E972" s="78">
        <f>IF(B972="",0,VLOOKUP(B972,'Lista articole'!$D$4:$F$2163,3,FALSE))</f>
        <v>0</v>
      </c>
      <c r="F972" s="77">
        <f t="shared" si="324"/>
        <v>0</v>
      </c>
      <c r="G972" s="77">
        <f t="shared" si="325"/>
        <v>0</v>
      </c>
      <c r="H972" s="77">
        <f>F972*'Date Generale'!$D$58</f>
        <v>0</v>
      </c>
      <c r="I972" s="77">
        <f t="shared" si="326"/>
        <v>0</v>
      </c>
      <c r="J972" s="79">
        <f t="shared" si="327"/>
        <v>0</v>
      </c>
    </row>
    <row r="973" spans="1:10">
      <c r="A973" s="80">
        <v>10</v>
      </c>
      <c r="B973" s="81"/>
      <c r="C973" s="76" t="str">
        <f>IF(B973="","",VLOOKUP(B973,'Lista articole'!$D$4:$E$2255,2,FALSE))</f>
        <v/>
      </c>
      <c r="D973" s="77">
        <v>0</v>
      </c>
      <c r="E973" s="78">
        <f>IF(B973="",0,VLOOKUP(B973,'Lista articole'!$D$4:$F$2163,3,FALSE))</f>
        <v>0</v>
      </c>
      <c r="F973" s="77">
        <f t="shared" si="324"/>
        <v>0</v>
      </c>
      <c r="G973" s="77">
        <f t="shared" si="325"/>
        <v>0</v>
      </c>
      <c r="H973" s="77">
        <f>F973*'Date Generale'!$D$58</f>
        <v>0</v>
      </c>
      <c r="I973" s="77">
        <f t="shared" si="326"/>
        <v>0</v>
      </c>
      <c r="J973" s="79">
        <f t="shared" si="327"/>
        <v>0</v>
      </c>
    </row>
    <row r="974" spans="1:10">
      <c r="A974" s="80">
        <v>11</v>
      </c>
      <c r="B974" s="81"/>
      <c r="C974" s="76" t="str">
        <f>IF(B974="","",VLOOKUP(B974,'Lista articole'!$D$4:$E$2255,2,FALSE))</f>
        <v/>
      </c>
      <c r="D974" s="77">
        <v>0</v>
      </c>
      <c r="E974" s="78">
        <f>IF(B974="",0,VLOOKUP(B974,'Lista articole'!$D$4:$F$2163,3,FALSE))</f>
        <v>0</v>
      </c>
      <c r="F974" s="77">
        <f t="shared" si="324"/>
        <v>0</v>
      </c>
      <c r="G974" s="77">
        <f t="shared" si="325"/>
        <v>0</v>
      </c>
      <c r="H974" s="77">
        <f>F974*'Date Generale'!$D$58</f>
        <v>0</v>
      </c>
      <c r="I974" s="77">
        <f t="shared" si="326"/>
        <v>0</v>
      </c>
      <c r="J974" s="79">
        <f t="shared" si="327"/>
        <v>0</v>
      </c>
    </row>
    <row r="975" spans="1:10">
      <c r="A975" s="80">
        <v>12</v>
      </c>
      <c r="B975" s="81"/>
      <c r="C975" s="76" t="str">
        <f>IF(B975="","",VLOOKUP(B975,'Lista articole'!$D$4:$E$2255,2,FALSE))</f>
        <v/>
      </c>
      <c r="D975" s="77">
        <v>0</v>
      </c>
      <c r="E975" s="78">
        <f>IF(B975="",0,VLOOKUP(B975,'Lista articole'!$D$4:$F$2163,3,FALSE))</f>
        <v>0</v>
      </c>
      <c r="F975" s="77">
        <f t="shared" si="324"/>
        <v>0</v>
      </c>
      <c r="G975" s="77">
        <f t="shared" si="325"/>
        <v>0</v>
      </c>
      <c r="H975" s="77">
        <f>F975*'Date Generale'!$D$58</f>
        <v>0</v>
      </c>
      <c r="I975" s="77">
        <f t="shared" si="326"/>
        <v>0</v>
      </c>
      <c r="J975" s="79">
        <f t="shared" si="327"/>
        <v>0</v>
      </c>
    </row>
    <row r="976" spans="1:10">
      <c r="A976" s="80">
        <v>13</v>
      </c>
      <c r="B976" s="81"/>
      <c r="C976" s="76" t="str">
        <f>IF(B976="","",VLOOKUP(B976,'Lista articole'!$D$4:$E$2255,2,FALSE))</f>
        <v/>
      </c>
      <c r="D976" s="77">
        <v>0</v>
      </c>
      <c r="E976" s="78">
        <f>IF(B976="",0,VLOOKUP(B976,'Lista articole'!$D$4:$F$2163,3,FALSE))</f>
        <v>0</v>
      </c>
      <c r="F976" s="77">
        <f t="shared" si="324"/>
        <v>0</v>
      </c>
      <c r="G976" s="77">
        <f t="shared" si="325"/>
        <v>0</v>
      </c>
      <c r="H976" s="77">
        <f>F976*'Date Generale'!$D$58</f>
        <v>0</v>
      </c>
      <c r="I976" s="77">
        <f t="shared" si="326"/>
        <v>0</v>
      </c>
      <c r="J976" s="79">
        <f t="shared" si="327"/>
        <v>0</v>
      </c>
    </row>
    <row r="977" spans="1:10">
      <c r="A977" s="80">
        <v>14</v>
      </c>
      <c r="B977" s="81"/>
      <c r="C977" s="76" t="str">
        <f>IF(B977="","",VLOOKUP(B977,'Lista articole'!$D$4:$E$2255,2,FALSE))</f>
        <v/>
      </c>
      <c r="D977" s="77">
        <v>0</v>
      </c>
      <c r="E977" s="78">
        <f>IF(B977="",0,VLOOKUP(B977,'Lista articole'!$D$4:$F$2163,3,FALSE))</f>
        <v>0</v>
      </c>
      <c r="F977" s="77">
        <f t="shared" si="324"/>
        <v>0</v>
      </c>
      <c r="G977" s="77">
        <f t="shared" si="325"/>
        <v>0</v>
      </c>
      <c r="H977" s="77">
        <f>F977*'Date Generale'!$D$58</f>
        <v>0</v>
      </c>
      <c r="I977" s="77">
        <f t="shared" si="326"/>
        <v>0</v>
      </c>
      <c r="J977" s="79">
        <f t="shared" si="327"/>
        <v>0</v>
      </c>
    </row>
    <row r="978" spans="1:10">
      <c r="A978" s="693" t="s">
        <v>50</v>
      </c>
      <c r="B978" s="694"/>
      <c r="C978" s="694"/>
      <c r="D978" s="694"/>
      <c r="E978" s="694"/>
      <c r="F978" s="56">
        <f>SUM(F979:F980)</f>
        <v>0</v>
      </c>
      <c r="G978" s="56">
        <f>SUM(G979:G980)</f>
        <v>0</v>
      </c>
      <c r="H978" s="56">
        <f>SUM(H979:H980)</f>
        <v>0</v>
      </c>
      <c r="I978" s="56">
        <f>SUM(I979:I980)</f>
        <v>0</v>
      </c>
      <c r="J978" s="57">
        <f>SUM(J979:J980)</f>
        <v>0</v>
      </c>
    </row>
    <row r="979" spans="1:10">
      <c r="A979" s="80">
        <v>1</v>
      </c>
      <c r="B979" s="81"/>
      <c r="C979" s="76" t="str">
        <f>IF(B979="","",VLOOKUP(B979,'Lista articole'!$D$4:$E$2255,2,FALSE))</f>
        <v/>
      </c>
      <c r="D979" s="77">
        <v>0</v>
      </c>
      <c r="E979" s="78">
        <f>IF(B979="",0,VLOOKUP(B979,'Lista articole'!$D$4:$F$2163,3,FALSE))</f>
        <v>0</v>
      </c>
      <c r="F979" s="77">
        <f t="shared" ref="F979:F980" si="328">D979*E979</f>
        <v>0</v>
      </c>
      <c r="G979" s="77">
        <f t="shared" ref="G979:G980" si="329">F979/$H$9</f>
        <v>0</v>
      </c>
      <c r="H979" s="77">
        <f>F979*'Date Generale'!$D$58</f>
        <v>0</v>
      </c>
      <c r="I979" s="77">
        <f t="shared" ref="I979:I980" si="330">H979+F979</f>
        <v>0</v>
      </c>
      <c r="J979" s="79">
        <f t="shared" ref="J979:J980" si="331">I979/$H$9</f>
        <v>0</v>
      </c>
    </row>
    <row r="980" spans="1:10">
      <c r="A980" s="74">
        <f>A979+1</f>
        <v>2</v>
      </c>
      <c r="B980" s="75"/>
      <c r="C980" s="76" t="str">
        <f>IF(B980="","",VLOOKUP(B980,'Lista articole'!$D$4:$E$2255,2,FALSE))</f>
        <v/>
      </c>
      <c r="D980" s="77">
        <v>0</v>
      </c>
      <c r="E980" s="78">
        <f>IF(B980="",0,VLOOKUP(B980,'Lista articole'!$D$4:$F$2163,3,FALSE))</f>
        <v>0</v>
      </c>
      <c r="F980" s="77">
        <f t="shared" si="328"/>
        <v>0</v>
      </c>
      <c r="G980" s="77">
        <f t="shared" si="329"/>
        <v>0</v>
      </c>
      <c r="H980" s="77">
        <f>F980*'Date Generale'!$D$58</f>
        <v>0</v>
      </c>
      <c r="I980" s="77">
        <f t="shared" si="330"/>
        <v>0</v>
      </c>
      <c r="J980" s="79">
        <f t="shared" si="331"/>
        <v>0</v>
      </c>
    </row>
    <row r="981" spans="1:10">
      <c r="A981" s="693" t="s">
        <v>51</v>
      </c>
      <c r="B981" s="694"/>
      <c r="C981" s="694"/>
      <c r="D981" s="694"/>
      <c r="E981" s="694"/>
      <c r="F981" s="56">
        <f>SUM(F982:F983)</f>
        <v>0</v>
      </c>
      <c r="G981" s="56">
        <f>SUM(G982:G983)</f>
        <v>0</v>
      </c>
      <c r="H981" s="56">
        <f>SUM(H982:H983)</f>
        <v>0</v>
      </c>
      <c r="I981" s="56">
        <f>SUM(I982:I983)</f>
        <v>0</v>
      </c>
      <c r="J981" s="57">
        <f>SUM(J982:J983)</f>
        <v>0</v>
      </c>
    </row>
    <row r="982" spans="1:10">
      <c r="A982" s="80">
        <v>1</v>
      </c>
      <c r="B982" s="81"/>
      <c r="C982" s="76" t="str">
        <f>IF(B982="","",VLOOKUP(B982,'Lista articole'!$D$4:$E$2255,2,FALSE))</f>
        <v/>
      </c>
      <c r="D982" s="77">
        <v>0</v>
      </c>
      <c r="E982" s="78">
        <f>IF(B982="",0,VLOOKUP(B982,'Lista articole'!$D$4:$F$2163,3,FALSE))</f>
        <v>0</v>
      </c>
      <c r="F982" s="77">
        <f t="shared" ref="F982:F983" si="332">D982*E982</f>
        <v>0</v>
      </c>
      <c r="G982" s="77">
        <f t="shared" ref="G982:G983" si="333">F982/$H$9</f>
        <v>0</v>
      </c>
      <c r="H982" s="77">
        <f>F982*'Date Generale'!$D$58</f>
        <v>0</v>
      </c>
      <c r="I982" s="77">
        <f t="shared" ref="I982:I983" si="334">H982+F982</f>
        <v>0</v>
      </c>
      <c r="J982" s="79">
        <f t="shared" ref="J982:J983" si="335">I982/$H$9</f>
        <v>0</v>
      </c>
    </row>
    <row r="983" spans="1:10">
      <c r="A983" s="74">
        <f>A982+1</f>
        <v>2</v>
      </c>
      <c r="B983" s="75"/>
      <c r="C983" s="76" t="str">
        <f>IF(B983="","",VLOOKUP(B983,'Lista articole'!$D$4:$E$2255,2,FALSE))</f>
        <v/>
      </c>
      <c r="D983" s="77">
        <v>0</v>
      </c>
      <c r="E983" s="78">
        <f>IF(B983="",0,VLOOKUP(B983,'Lista articole'!$D$4:$F$2163,3,FALSE))</f>
        <v>0</v>
      </c>
      <c r="F983" s="77">
        <f t="shared" si="332"/>
        <v>0</v>
      </c>
      <c r="G983" s="77">
        <f t="shared" si="333"/>
        <v>0</v>
      </c>
      <c r="H983" s="77">
        <f>F983*'Date Generale'!$D$58</f>
        <v>0</v>
      </c>
      <c r="I983" s="77">
        <f t="shared" si="334"/>
        <v>0</v>
      </c>
      <c r="J983" s="79">
        <f t="shared" si="335"/>
        <v>0</v>
      </c>
    </row>
    <row r="984" spans="1:10">
      <c r="A984" s="693" t="s">
        <v>52</v>
      </c>
      <c r="B984" s="694"/>
      <c r="C984" s="694"/>
      <c r="D984" s="694"/>
      <c r="E984" s="694"/>
      <c r="F984" s="56">
        <f>SUM(F985:F986)</f>
        <v>0</v>
      </c>
      <c r="G984" s="56">
        <f>SUM(G985:G986)</f>
        <v>0</v>
      </c>
      <c r="H984" s="56">
        <f>SUM(H985:H986)</f>
        <v>0</v>
      </c>
      <c r="I984" s="56">
        <f>SUM(I985:I986)</f>
        <v>0</v>
      </c>
      <c r="J984" s="57">
        <f>SUM(J985:J986)</f>
        <v>0</v>
      </c>
    </row>
    <row r="985" spans="1:10">
      <c r="A985" s="80">
        <v>1</v>
      </c>
      <c r="B985" s="81"/>
      <c r="C985" s="76" t="str">
        <f>IF(B985="","",VLOOKUP(B985,'Lista articole'!$D$4:$E$2255,2,FALSE))</f>
        <v/>
      </c>
      <c r="D985" s="77">
        <v>0</v>
      </c>
      <c r="E985" s="78">
        <f>IF(B985="",0,VLOOKUP(B985,'Lista articole'!$D$4:$F$2163,3,FALSE))</f>
        <v>0</v>
      </c>
      <c r="F985" s="77">
        <f>D985*E985</f>
        <v>0</v>
      </c>
      <c r="G985" s="77">
        <f>F985/$H$9</f>
        <v>0</v>
      </c>
      <c r="H985" s="77">
        <f>F985*'Date Generale'!$D$58</f>
        <v>0</v>
      </c>
      <c r="I985" s="77">
        <f t="shared" ref="I985:I986" si="336">H985+F985</f>
        <v>0</v>
      </c>
      <c r="J985" s="79">
        <f t="shared" ref="J985:J986" si="337">I985/$H$9</f>
        <v>0</v>
      </c>
    </row>
    <row r="986" spans="1:10">
      <c r="A986" s="74">
        <f>A985+1</f>
        <v>2</v>
      </c>
      <c r="B986" s="75"/>
      <c r="C986" s="76" t="str">
        <f>IF(B986="","",VLOOKUP(B986,'Lista articole'!$D$4:$E$2255,2,FALSE))</f>
        <v/>
      </c>
      <c r="D986" s="77">
        <v>0</v>
      </c>
      <c r="E986" s="78">
        <f>IF(B986="",0,VLOOKUP(B986,'Lista articole'!$D$4:$F$2163,3,FALSE))</f>
        <v>0</v>
      </c>
      <c r="F986" s="77">
        <f t="shared" ref="F986" si="338">D986*E986</f>
        <v>0</v>
      </c>
      <c r="G986" s="77">
        <f t="shared" ref="G986" si="339">F986/$H$9</f>
        <v>0</v>
      </c>
      <c r="H986" s="77">
        <f>F986*'Date Generale'!$D$58</f>
        <v>0</v>
      </c>
      <c r="I986" s="77">
        <f t="shared" si="336"/>
        <v>0</v>
      </c>
      <c r="J986" s="79">
        <f t="shared" si="337"/>
        <v>0</v>
      </c>
    </row>
    <row r="987" spans="1:10">
      <c r="A987" s="693" t="s">
        <v>53</v>
      </c>
      <c r="B987" s="694"/>
      <c r="C987" s="694"/>
      <c r="D987" s="694"/>
      <c r="E987" s="694"/>
      <c r="F987" s="56">
        <f>SUM(F988:F989)</f>
        <v>0</v>
      </c>
      <c r="G987" s="56">
        <f>SUM(G988:G989)</f>
        <v>0</v>
      </c>
      <c r="H987" s="56">
        <f>SUM(H988:H989)</f>
        <v>0</v>
      </c>
      <c r="I987" s="56">
        <f>SUM(I988:I989)</f>
        <v>0</v>
      </c>
      <c r="J987" s="57">
        <f>SUM(J988:J989)</f>
        <v>0</v>
      </c>
    </row>
    <row r="988" spans="1:10">
      <c r="A988" s="80">
        <v>1</v>
      </c>
      <c r="B988" s="81"/>
      <c r="C988" s="76" t="str">
        <f>IF(B988="","",VLOOKUP(B988,'Lista articole'!$D$4:$E$2255,2,FALSE))</f>
        <v/>
      </c>
      <c r="D988" s="77">
        <v>0</v>
      </c>
      <c r="E988" s="78">
        <f>IF(B988="",0,VLOOKUP(B988,'Lista articole'!$D$4:$F$2163,3,FALSE))</f>
        <v>0</v>
      </c>
      <c r="F988" s="77">
        <f>D988*E988</f>
        <v>0</v>
      </c>
      <c r="G988" s="77">
        <f>F988/$H$9</f>
        <v>0</v>
      </c>
      <c r="H988" s="77">
        <f>F988*'Date Generale'!$D$58</f>
        <v>0</v>
      </c>
      <c r="I988" s="77">
        <f t="shared" ref="I988:I989" si="340">H988+F988</f>
        <v>0</v>
      </c>
      <c r="J988" s="79">
        <f t="shared" ref="J988:J989" si="341">I988/$H$9</f>
        <v>0</v>
      </c>
    </row>
    <row r="989" spans="1:10" ht="15.75" thickBot="1">
      <c r="A989" s="139">
        <f>A988+1</f>
        <v>2</v>
      </c>
      <c r="B989" s="140"/>
      <c r="C989" s="141" t="str">
        <f>IF(B989="","",VLOOKUP(B989,'Lista articole'!$D$4:$E$2255,2,FALSE))</f>
        <v/>
      </c>
      <c r="D989" s="142">
        <v>0</v>
      </c>
      <c r="E989" s="143">
        <f>IF(B989="",0,VLOOKUP(B989,'Lista articole'!$D$4:$F$2163,3,FALSE))</f>
        <v>0</v>
      </c>
      <c r="F989" s="142">
        <f t="shared" ref="F989" si="342">D989*E989</f>
        <v>0</v>
      </c>
      <c r="G989" s="142">
        <f t="shared" ref="G989" si="343">F989/$H$9</f>
        <v>0</v>
      </c>
      <c r="H989" s="142">
        <f>F989*'Date Generale'!$D$58</f>
        <v>0</v>
      </c>
      <c r="I989" s="142">
        <f t="shared" si="340"/>
        <v>0</v>
      </c>
      <c r="J989" s="144">
        <f t="shared" si="341"/>
        <v>0</v>
      </c>
    </row>
    <row r="990" spans="1:10" ht="15.75" thickBot="1">
      <c r="A990" s="685" t="s">
        <v>27</v>
      </c>
      <c r="B990" s="686"/>
      <c r="C990" s="686"/>
      <c r="D990" s="686"/>
      <c r="E990" s="686"/>
      <c r="F990" s="82">
        <f>SUM(F954,F957,F960,F963,F978,F981,F984,F987)</f>
        <v>0</v>
      </c>
      <c r="G990" s="82">
        <f>SUM(G954,G957,G960,G963,G978,G981,G984,G987)</f>
        <v>0</v>
      </c>
      <c r="H990" s="82">
        <f>SUM(H954,H957,H960,H963,H978,H981,H984,H987)</f>
        <v>0</v>
      </c>
      <c r="I990" s="82">
        <f>SUM(I954,I957,I960,I963,I978,I981,I984,I987)</f>
        <v>0</v>
      </c>
      <c r="J990" s="83">
        <f>SUM(J954,J957,J960,J963,J978,J981,J984,J987)</f>
        <v>0</v>
      </c>
    </row>
    <row r="991" spans="1:10" ht="15.75" thickBot="1">
      <c r="A991" s="683" t="s">
        <v>28</v>
      </c>
      <c r="B991" s="684"/>
      <c r="C991" s="684"/>
      <c r="D991" s="684"/>
      <c r="E991" s="684"/>
      <c r="F991" s="72"/>
      <c r="G991" s="72"/>
      <c r="H991" s="72"/>
      <c r="I991" s="72"/>
      <c r="J991" s="73"/>
    </row>
    <row r="992" spans="1:10">
      <c r="A992" s="145"/>
      <c r="B992" s="695" t="s">
        <v>29</v>
      </c>
      <c r="C992" s="695"/>
      <c r="D992" s="695"/>
      <c r="E992" s="695"/>
      <c r="F992" s="146">
        <f>SUM(F993:F994)</f>
        <v>0</v>
      </c>
      <c r="G992" s="146">
        <f>SUM(G993:G994)</f>
        <v>0</v>
      </c>
      <c r="H992" s="146">
        <f>SUM(H993:H994)</f>
        <v>0</v>
      </c>
      <c r="I992" s="146">
        <f>SUM(I993:I994)</f>
        <v>0</v>
      </c>
      <c r="J992" s="147">
        <f>SUM(J993:J994)</f>
        <v>0</v>
      </c>
    </row>
    <row r="993" spans="1:10">
      <c r="A993" s="80">
        <v>1</v>
      </c>
      <c r="B993" s="81"/>
      <c r="C993" s="76" t="str">
        <f>IF(B993="","",VLOOKUP(B993,'Lista articole'!$D$4:$E$2255,2,FALSE))</f>
        <v/>
      </c>
      <c r="D993" s="77">
        <v>0</v>
      </c>
      <c r="E993" s="78">
        <f>IF(B993="",0,VLOOKUP(B993,'Lista articole'!$D$4:$F$2163,3,FALSE))</f>
        <v>0</v>
      </c>
      <c r="F993" s="77">
        <f>D993*E993</f>
        <v>0</v>
      </c>
      <c r="G993" s="77">
        <f>F993/$H$9</f>
        <v>0</v>
      </c>
      <c r="H993" s="77">
        <f>F993*'Date Generale'!$D$58</f>
        <v>0</v>
      </c>
      <c r="I993" s="77">
        <f t="shared" ref="I993:I994" si="344">H993+F993</f>
        <v>0</v>
      </c>
      <c r="J993" s="79">
        <f t="shared" ref="J993:J994" si="345">I993/$H$9</f>
        <v>0</v>
      </c>
    </row>
    <row r="994" spans="1:10" ht="15.75" thickBot="1">
      <c r="A994" s="139">
        <f>A993+1</f>
        <v>2</v>
      </c>
      <c r="B994" s="140"/>
      <c r="C994" s="141" t="str">
        <f>IF(B994="","",VLOOKUP(B994,'Lista articole'!$D$4:$E$2255,2,FALSE))</f>
        <v/>
      </c>
      <c r="D994" s="142">
        <v>0</v>
      </c>
      <c r="E994" s="143">
        <f>IF(B994="",0,VLOOKUP(B994,'Lista articole'!$D$4:$F$2163,3,FALSE))</f>
        <v>0</v>
      </c>
      <c r="F994" s="142">
        <f t="shared" ref="F994" si="346">D994*E994</f>
        <v>0</v>
      </c>
      <c r="G994" s="142">
        <f t="shared" ref="G994" si="347">F994/$H$9</f>
        <v>0</v>
      </c>
      <c r="H994" s="142">
        <f>F994*'Date Generale'!$D$58</f>
        <v>0</v>
      </c>
      <c r="I994" s="142">
        <f t="shared" si="344"/>
        <v>0</v>
      </c>
      <c r="J994" s="144">
        <f t="shared" si="345"/>
        <v>0</v>
      </c>
    </row>
    <row r="995" spans="1:10" ht="15.75" thickBot="1">
      <c r="A995" s="685" t="s">
        <v>30</v>
      </c>
      <c r="B995" s="686"/>
      <c r="C995" s="686"/>
      <c r="D995" s="686"/>
      <c r="E995" s="686"/>
      <c r="F995" s="85">
        <f>F992</f>
        <v>0</v>
      </c>
      <c r="G995" s="85">
        <f>G992</f>
        <v>0</v>
      </c>
      <c r="H995" s="85">
        <f>H992</f>
        <v>0</v>
      </c>
      <c r="I995" s="85">
        <f>I992</f>
        <v>0</v>
      </c>
      <c r="J995" s="86">
        <f>J992</f>
        <v>0</v>
      </c>
    </row>
    <row r="996" spans="1:10" ht="15.75" thickBot="1">
      <c r="A996" s="683" t="s">
        <v>31</v>
      </c>
      <c r="B996" s="684"/>
      <c r="C996" s="684"/>
      <c r="D996" s="684"/>
      <c r="E996" s="684"/>
      <c r="F996" s="72"/>
      <c r="G996" s="72"/>
      <c r="H996" s="72"/>
      <c r="I996" s="72"/>
      <c r="J996" s="73"/>
    </row>
    <row r="997" spans="1:10">
      <c r="A997" s="145"/>
      <c r="B997" s="695" t="s">
        <v>32</v>
      </c>
      <c r="C997" s="695"/>
      <c r="D997" s="695"/>
      <c r="E997" s="695"/>
      <c r="F997" s="148">
        <f>SUM(F998:F999)</f>
        <v>0</v>
      </c>
      <c r="G997" s="148">
        <f>SUM(G998:G999)</f>
        <v>0</v>
      </c>
      <c r="H997" s="148">
        <f>SUM(H998:H999)</f>
        <v>0</v>
      </c>
      <c r="I997" s="148">
        <f>SUM(I998:I999)</f>
        <v>0</v>
      </c>
      <c r="J997" s="149">
        <f>SUM(J998:J999)</f>
        <v>0</v>
      </c>
    </row>
    <row r="998" spans="1:10">
      <c r="A998" s="80">
        <v>1</v>
      </c>
      <c r="B998" s="81"/>
      <c r="C998" s="76" t="str">
        <f>IF(B998="","",VLOOKUP(B998,'Lista articole'!$D$4:$E$2255,2,FALSE))</f>
        <v/>
      </c>
      <c r="D998" s="77">
        <v>0</v>
      </c>
      <c r="E998" s="78">
        <f>IF(B998="",0,VLOOKUP(B998,'Lista articole'!$D$4:$F$2163,3,FALSE))</f>
        <v>0</v>
      </c>
      <c r="F998" s="77">
        <f>D998*E998</f>
        <v>0</v>
      </c>
      <c r="G998" s="77">
        <f>F998/$H$9</f>
        <v>0</v>
      </c>
      <c r="H998" s="77">
        <f>F998*'Date Generale'!$D$58</f>
        <v>0</v>
      </c>
      <c r="I998" s="77">
        <f t="shared" ref="I998:I999" si="348">H998+F998</f>
        <v>0</v>
      </c>
      <c r="J998" s="79">
        <f t="shared" ref="J998:J999" si="349">I998/$H$9</f>
        <v>0</v>
      </c>
    </row>
    <row r="999" spans="1:10">
      <c r="A999" s="74">
        <f>A998+1</f>
        <v>2</v>
      </c>
      <c r="B999" s="75"/>
      <c r="C999" s="76" t="str">
        <f>IF(B999="","",VLOOKUP(B999,'Lista articole'!$D$4:$E$2255,2,FALSE))</f>
        <v/>
      </c>
      <c r="D999" s="77">
        <v>0</v>
      </c>
      <c r="E999" s="78">
        <f>IF(B999="",0,VLOOKUP(B999,'Lista articole'!$D$4:$F$2163,3,FALSE))</f>
        <v>0</v>
      </c>
      <c r="F999" s="77">
        <f t="shared" ref="F999" si="350">D999*E999</f>
        <v>0</v>
      </c>
      <c r="G999" s="77">
        <f t="shared" ref="G999" si="351">F999/$H$9</f>
        <v>0</v>
      </c>
      <c r="H999" s="77">
        <f>F999*'Date Generale'!$D$58</f>
        <v>0</v>
      </c>
      <c r="I999" s="77">
        <f t="shared" si="348"/>
        <v>0</v>
      </c>
      <c r="J999" s="79">
        <f t="shared" si="349"/>
        <v>0</v>
      </c>
    </row>
    <row r="1000" spans="1:10">
      <c r="A1000" s="87"/>
      <c r="B1000" s="696" t="s">
        <v>33</v>
      </c>
      <c r="C1000" s="696"/>
      <c r="D1000" s="696"/>
      <c r="E1000" s="696"/>
      <c r="F1000" s="88">
        <f>SUM(F1001:F1002)</f>
        <v>0</v>
      </c>
      <c r="G1000" s="88">
        <f>SUM(G1001:G1002)</f>
        <v>0</v>
      </c>
      <c r="H1000" s="88">
        <f>SUM(H1001:H1002)</f>
        <v>0</v>
      </c>
      <c r="I1000" s="88">
        <f>SUM(I1001:I1002)</f>
        <v>0</v>
      </c>
      <c r="J1000" s="89">
        <f>SUM(J1001:J1002)</f>
        <v>0</v>
      </c>
    </row>
    <row r="1001" spans="1:10">
      <c r="A1001" s="80">
        <v>1</v>
      </c>
      <c r="B1001" s="81"/>
      <c r="C1001" s="76" t="str">
        <f>IF(B1001="","",VLOOKUP(B1001,'Lista articole'!$D$4:$E$2255,2,FALSE))</f>
        <v/>
      </c>
      <c r="D1001" s="77">
        <v>0</v>
      </c>
      <c r="E1001" s="78">
        <f>IF(B1001="",0,VLOOKUP(B1001,'Lista articole'!$D$4:$F$2163,3,FALSE))</f>
        <v>0</v>
      </c>
      <c r="F1001" s="77">
        <f>D1001*E1001</f>
        <v>0</v>
      </c>
      <c r="G1001" s="77">
        <f>F1001/$H$9</f>
        <v>0</v>
      </c>
      <c r="H1001" s="77">
        <f>F1001*'Date Generale'!$D$58</f>
        <v>0</v>
      </c>
      <c r="I1001" s="77">
        <f t="shared" ref="I1001:I1002" si="352">H1001+F1001</f>
        <v>0</v>
      </c>
      <c r="J1001" s="79">
        <f t="shared" ref="J1001:J1002" si="353">I1001/$H$9</f>
        <v>0</v>
      </c>
    </row>
    <row r="1002" spans="1:10">
      <c r="A1002" s="74">
        <f>A1001+1</f>
        <v>2</v>
      </c>
      <c r="B1002" s="75"/>
      <c r="C1002" s="76" t="str">
        <f>IF(B1002="","",VLOOKUP(B1002,'Lista articole'!$D$4:$E$2255,2,FALSE))</f>
        <v/>
      </c>
      <c r="D1002" s="77">
        <v>0</v>
      </c>
      <c r="E1002" s="78">
        <f>IF(B1002="",0,VLOOKUP(B1002,'Lista articole'!$D$4:$F$2163,3,FALSE))</f>
        <v>0</v>
      </c>
      <c r="F1002" s="77">
        <f t="shared" ref="F1002" si="354">D1002*E1002</f>
        <v>0</v>
      </c>
      <c r="G1002" s="77">
        <f t="shared" ref="G1002" si="355">F1002/$H$9</f>
        <v>0</v>
      </c>
      <c r="H1002" s="77">
        <f>F1002*'Date Generale'!$D$58</f>
        <v>0</v>
      </c>
      <c r="I1002" s="77">
        <f t="shared" si="352"/>
        <v>0</v>
      </c>
      <c r="J1002" s="79">
        <f t="shared" si="353"/>
        <v>0</v>
      </c>
    </row>
    <row r="1003" spans="1:10">
      <c r="A1003" s="87"/>
      <c r="B1003" s="696" t="s">
        <v>34</v>
      </c>
      <c r="C1003" s="696"/>
      <c r="D1003" s="696"/>
      <c r="E1003" s="696"/>
      <c r="F1003" s="88">
        <f>SUM(F1004:F1005)</f>
        <v>0</v>
      </c>
      <c r="G1003" s="88">
        <f>SUM(G1004:G1005)</f>
        <v>0</v>
      </c>
      <c r="H1003" s="88">
        <f>SUM(H1004:H1005)</f>
        <v>0</v>
      </c>
      <c r="I1003" s="88">
        <f>SUM(I1004:I1005)</f>
        <v>0</v>
      </c>
      <c r="J1003" s="89">
        <f>SUM(J1004:J1005)</f>
        <v>0</v>
      </c>
    </row>
    <row r="1004" spans="1:10">
      <c r="A1004" s="80">
        <v>1</v>
      </c>
      <c r="B1004" s="81"/>
      <c r="C1004" s="76" t="str">
        <f>IF(B1004="","",VLOOKUP(B1004,'Lista articole'!$D$4:$E$2255,2,FALSE))</f>
        <v/>
      </c>
      <c r="D1004" s="77">
        <v>0</v>
      </c>
      <c r="E1004" s="78">
        <f>IF(B1004="",0,VLOOKUP(B1004,'Lista articole'!$D$4:$F$2163,3,FALSE))</f>
        <v>0</v>
      </c>
      <c r="F1004" s="77">
        <f>D1004*E1004</f>
        <v>0</v>
      </c>
      <c r="G1004" s="77">
        <f>F1004/$H$9</f>
        <v>0</v>
      </c>
      <c r="H1004" s="77">
        <f>F1004*'Date Generale'!$D$58</f>
        <v>0</v>
      </c>
      <c r="I1004" s="77">
        <f t="shared" ref="I1004:I1005" si="356">H1004+F1004</f>
        <v>0</v>
      </c>
      <c r="J1004" s="79">
        <f t="shared" ref="J1004:J1005" si="357">I1004/$H$9</f>
        <v>0</v>
      </c>
    </row>
    <row r="1005" spans="1:10" ht="15.75" thickBot="1">
      <c r="A1005" s="139">
        <f>A1004+1</f>
        <v>2</v>
      </c>
      <c r="B1005" s="140"/>
      <c r="C1005" s="141" t="str">
        <f>IF(B1005="","",VLOOKUP(B1005,'Lista articole'!$D$4:$E$2255,2,FALSE))</f>
        <v/>
      </c>
      <c r="D1005" s="142">
        <v>0</v>
      </c>
      <c r="E1005" s="143">
        <f>IF(B1005="",0,VLOOKUP(B1005,'Lista articole'!$D$4:$F$2163,3,FALSE))</f>
        <v>0</v>
      </c>
      <c r="F1005" s="142">
        <f t="shared" ref="F1005" si="358">D1005*E1005</f>
        <v>0</v>
      </c>
      <c r="G1005" s="142">
        <f t="shared" ref="G1005" si="359">F1005/$H$9</f>
        <v>0</v>
      </c>
      <c r="H1005" s="142">
        <f>F1005*'Date Generale'!$D$58</f>
        <v>0</v>
      </c>
      <c r="I1005" s="142">
        <f t="shared" si="356"/>
        <v>0</v>
      </c>
      <c r="J1005" s="144">
        <f t="shared" si="357"/>
        <v>0</v>
      </c>
    </row>
    <row r="1006" spans="1:10" ht="15.75" thickBot="1">
      <c r="A1006" s="685" t="s">
        <v>35</v>
      </c>
      <c r="B1006" s="686"/>
      <c r="C1006" s="686"/>
      <c r="D1006" s="686"/>
      <c r="E1006" s="686"/>
      <c r="F1006" s="62">
        <f>SUM(F1003,F1000,F997)</f>
        <v>0</v>
      </c>
      <c r="G1006" s="62">
        <f>SUM(G1003,G1000,G997)</f>
        <v>0</v>
      </c>
      <c r="H1006" s="62">
        <f>SUM(H1003,H1000,H997)</f>
        <v>0</v>
      </c>
      <c r="I1006" s="62">
        <f>SUM(I1003,I1000,I997)</f>
        <v>0</v>
      </c>
      <c r="J1006" s="63">
        <f>SUM(J1003,J1000,J997)</f>
        <v>0</v>
      </c>
    </row>
    <row r="1007" spans="1:10">
      <c r="A1007" s="38"/>
      <c r="B1007" s="39"/>
      <c r="C1007" s="39"/>
      <c r="D1007" s="39"/>
      <c r="E1007" s="39"/>
      <c r="F1007" s="39"/>
      <c r="G1007" s="39"/>
      <c r="H1007" s="39"/>
      <c r="I1007" s="39"/>
      <c r="J1007" s="39"/>
    </row>
    <row r="1008" spans="1:10">
      <c r="A1008" s="38"/>
      <c r="C1008" s="42"/>
      <c r="D1008" s="42"/>
      <c r="E1008" s="42"/>
      <c r="F1008" s="42"/>
      <c r="G1008" s="42"/>
      <c r="H1008" s="42"/>
      <c r="I1008" s="42"/>
      <c r="J1008" s="42"/>
    </row>
    <row r="1009" spans="1:11" ht="18.75">
      <c r="A1009" s="42"/>
      <c r="B1009" s="90" t="s">
        <v>37</v>
      </c>
      <c r="C1009" s="42"/>
      <c r="D1009" s="42"/>
      <c r="E1009" s="42"/>
      <c r="F1009" s="42"/>
      <c r="G1009" s="42"/>
      <c r="H1009" s="42"/>
      <c r="I1009" s="42"/>
      <c r="J1009" s="42"/>
    </row>
    <row r="1010" spans="1:11" ht="18.75">
      <c r="A1010" s="38"/>
      <c r="B1010" s="90" t="str">
        <f>'Date Generale'!$C$7</f>
        <v>S.C. Tehno Consoulting Solutions S.R.L.</v>
      </c>
      <c r="C1010" s="39"/>
      <c r="D1010" s="39"/>
      <c r="E1010" s="39"/>
      <c r="F1010" s="39"/>
      <c r="G1010" s="39"/>
      <c r="H1010" s="39"/>
      <c r="I1010" s="39"/>
      <c r="J1010" s="39"/>
    </row>
    <row r="1011" spans="1:11">
      <c r="A1011" s="35"/>
      <c r="B1011" s="93"/>
      <c r="C1011" s="94"/>
      <c r="D1011" s="95"/>
      <c r="E1011" s="96"/>
      <c r="F1011" s="96"/>
      <c r="G1011" s="95"/>
      <c r="H1011" s="95"/>
      <c r="I1011" s="95"/>
      <c r="J1011" s="95"/>
    </row>
    <row r="1012" spans="1:11">
      <c r="A1012" s="35"/>
      <c r="B1012" s="93"/>
      <c r="C1012" s="94"/>
      <c r="D1012" s="95"/>
      <c r="E1012" s="96"/>
      <c r="F1012" s="96"/>
      <c r="G1012" s="95"/>
      <c r="H1012" s="95"/>
      <c r="I1012" s="95"/>
      <c r="J1012" s="95"/>
    </row>
    <row r="1013" spans="1:11">
      <c r="A1013" s="35"/>
      <c r="B1013" s="98"/>
      <c r="C1013" s="94"/>
      <c r="D1013" s="95"/>
      <c r="E1013" s="96"/>
      <c r="F1013" s="96"/>
      <c r="G1013" s="95"/>
      <c r="H1013" s="95"/>
      <c r="I1013" s="95"/>
      <c r="J1013" s="95"/>
      <c r="K1013" s="67"/>
    </row>
    <row r="1014" spans="1:11" ht="15.75">
      <c r="A1014" s="41" t="str">
        <f>"Beneficiar: " &amp;'Date Generale'!$C$6</f>
        <v xml:space="preserve">Beneficiar: Judetul Arges </v>
      </c>
      <c r="B1014" s="41"/>
      <c r="C1014" s="42"/>
      <c r="D1014" s="42"/>
      <c r="E1014" s="69"/>
      <c r="F1014" s="42"/>
      <c r="G1014" s="42"/>
      <c r="H1014" s="42"/>
      <c r="I1014" s="42"/>
      <c r="J1014" s="42"/>
    </row>
    <row r="1015" spans="1:11" ht="15.75">
      <c r="A1015" s="41" t="str">
        <f>"Denumire proiect: " &amp; 'Date Generale'!$C$3</f>
        <v>Denumire proiect: Modernizare DJ 703B Serbanesti (DJ659) - Silistea, km 70+410 - 77+826, 7.416km, in comunele Rociu si Cateasca</v>
      </c>
      <c r="B1015" s="41"/>
      <c r="C1015" s="44"/>
      <c r="D1015" s="44"/>
      <c r="E1015" s="44"/>
      <c r="F1015" s="44"/>
      <c r="G1015" s="44"/>
      <c r="H1015" s="44"/>
      <c r="I1015" s="44"/>
      <c r="J1015" s="44"/>
    </row>
    <row r="1016" spans="1:11" ht="15.75">
      <c r="A1016" s="41"/>
      <c r="B1016" s="41"/>
      <c r="C1016" s="44"/>
      <c r="D1016" s="44"/>
      <c r="E1016" s="44"/>
      <c r="F1016" s="44"/>
      <c r="G1016" s="44"/>
      <c r="H1016" s="44"/>
      <c r="I1016" s="44"/>
      <c r="J1016" s="44"/>
    </row>
    <row r="1017" spans="1:11" ht="15.75">
      <c r="A1017" s="41" t="str">
        <f>'Date Generale'!$E$73</f>
        <v>Obiect 013: 0</v>
      </c>
      <c r="B1017" s="41"/>
      <c r="C1017" s="44"/>
      <c r="D1017" s="44"/>
      <c r="E1017" s="44"/>
      <c r="F1017" s="44"/>
      <c r="G1017" s="44"/>
      <c r="H1017" s="44"/>
      <c r="I1017" s="44"/>
      <c r="J1017" s="44"/>
    </row>
    <row r="1018" spans="1:11" ht="15.75">
      <c r="A1018" s="70"/>
      <c r="B1018" s="44"/>
      <c r="C1018" s="44"/>
      <c r="D1018" s="44"/>
      <c r="E1018" s="44"/>
      <c r="F1018" s="44"/>
      <c r="G1018" s="44"/>
      <c r="H1018" s="44"/>
      <c r="I1018" s="44"/>
      <c r="J1018" s="44"/>
    </row>
    <row r="1019" spans="1:11">
      <c r="A1019" s="687" t="s">
        <v>38</v>
      </c>
      <c r="B1019" s="687"/>
      <c r="C1019" s="687"/>
      <c r="D1019" s="687"/>
      <c r="E1019" s="687"/>
      <c r="F1019" s="687"/>
      <c r="G1019" s="687"/>
      <c r="H1019" s="687"/>
      <c r="I1019" s="687"/>
      <c r="J1019" s="687"/>
    </row>
    <row r="1020" spans="1:11">
      <c r="A1020" s="371"/>
      <c r="B1020" s="371"/>
      <c r="C1020" s="371"/>
      <c r="D1020" s="371"/>
      <c r="E1020" s="371"/>
      <c r="F1020" s="371"/>
      <c r="G1020" s="371"/>
      <c r="H1020" s="371"/>
      <c r="I1020" s="371"/>
      <c r="J1020" s="371"/>
    </row>
    <row r="1021" spans="1:11" ht="15.75" thickBot="1">
      <c r="A1021" s="42"/>
      <c r="B1021" s="46"/>
      <c r="C1021" s="71"/>
      <c r="D1021" s="71"/>
      <c r="E1021" s="71"/>
      <c r="F1021" s="33"/>
      <c r="G1021" s="47" t="s">
        <v>2</v>
      </c>
      <c r="H1021" s="48">
        <f>'Date Generale'!$C$54</f>
        <v>4.7233000000000001</v>
      </c>
      <c r="I1021" s="49" t="s">
        <v>3</v>
      </c>
      <c r="J1021" s="50" t="str">
        <f>'Date Generale'!$D$54</f>
        <v>21,06,2019</v>
      </c>
    </row>
    <row r="1022" spans="1:11" ht="15.75" thickBot="1">
      <c r="A1022" s="688" t="s">
        <v>4</v>
      </c>
      <c r="B1022" s="688" t="s">
        <v>5</v>
      </c>
      <c r="C1022" s="688" t="s">
        <v>39</v>
      </c>
      <c r="D1022" s="688" t="s">
        <v>40</v>
      </c>
      <c r="E1022" s="688" t="s">
        <v>228</v>
      </c>
      <c r="F1022" s="689" t="s">
        <v>160</v>
      </c>
      <c r="G1022" s="689"/>
      <c r="H1022" s="372" t="s">
        <v>7</v>
      </c>
      <c r="I1022" s="689" t="s">
        <v>159</v>
      </c>
      <c r="J1022" s="689"/>
    </row>
    <row r="1023" spans="1:11" ht="15.75" thickBot="1">
      <c r="A1023" s="688"/>
      <c r="B1023" s="688"/>
      <c r="C1023" s="688"/>
      <c r="D1023" s="688"/>
      <c r="E1023" s="688"/>
      <c r="F1023" s="51" t="s">
        <v>9</v>
      </c>
      <c r="G1023" s="51" t="s">
        <v>10</v>
      </c>
      <c r="H1023" s="51" t="s">
        <v>9</v>
      </c>
      <c r="I1023" s="51" t="s">
        <v>9</v>
      </c>
      <c r="J1023" s="51" t="s">
        <v>10</v>
      </c>
    </row>
    <row r="1024" spans="1:11" ht="15.75" thickBot="1">
      <c r="A1024" s="3">
        <v>1</v>
      </c>
      <c r="B1024" s="1">
        <v>2</v>
      </c>
      <c r="C1024" s="1">
        <v>3</v>
      </c>
      <c r="D1024" s="1">
        <v>4</v>
      </c>
      <c r="E1024" s="1">
        <v>5</v>
      </c>
      <c r="F1024" s="1">
        <v>6</v>
      </c>
      <c r="G1024" s="1">
        <v>7</v>
      </c>
      <c r="H1024" s="1">
        <v>8</v>
      </c>
      <c r="I1024" s="1">
        <v>9</v>
      </c>
      <c r="J1024" s="1">
        <v>10</v>
      </c>
    </row>
    <row r="1025" spans="1:14" ht="15.75" thickBot="1">
      <c r="A1025" s="683" t="s">
        <v>11</v>
      </c>
      <c r="B1025" s="684"/>
      <c r="C1025" s="684"/>
      <c r="D1025" s="684"/>
      <c r="E1025" s="684"/>
      <c r="F1025" s="72"/>
      <c r="G1025" s="72"/>
      <c r="H1025" s="72"/>
      <c r="I1025" s="72"/>
      <c r="J1025" s="73"/>
    </row>
    <row r="1026" spans="1:14">
      <c r="A1026" s="691" t="s">
        <v>41</v>
      </c>
      <c r="B1026" s="692"/>
      <c r="C1026" s="692"/>
      <c r="D1026" s="692"/>
      <c r="E1026" s="692"/>
      <c r="F1026" s="137">
        <f>SUM(F1027:F1028)</f>
        <v>0</v>
      </c>
      <c r="G1026" s="137">
        <f>SUM(G1027:G1028)</f>
        <v>0</v>
      </c>
      <c r="H1026" s="137">
        <f>SUM(H1027:H1028)</f>
        <v>0</v>
      </c>
      <c r="I1026" s="137">
        <f>SUM(I1027:I1028)</f>
        <v>0</v>
      </c>
      <c r="J1026" s="138">
        <f>SUM(J1027:J1028)</f>
        <v>0</v>
      </c>
    </row>
    <row r="1027" spans="1:14">
      <c r="A1027" s="74">
        <v>1</v>
      </c>
      <c r="B1027" s="75"/>
      <c r="C1027" s="76" t="str">
        <f>IF(B1027="","",VLOOKUP(B1027,'Lista articole'!$D$4:$E$2255,2,FALSE))</f>
        <v/>
      </c>
      <c r="D1027" s="77">
        <v>0</v>
      </c>
      <c r="E1027" s="78">
        <f>IF(B1027="",0,VLOOKUP(B1027,'Lista articole'!$D$4:$F$2163,3,FALSE))</f>
        <v>0</v>
      </c>
      <c r="F1027" s="77">
        <f>D1027*E1027</f>
        <v>0</v>
      </c>
      <c r="G1027" s="77">
        <f t="shared" ref="G1027:G1028" si="360">F1027/$H$9</f>
        <v>0</v>
      </c>
      <c r="H1027" s="77">
        <f>F1027*'Date Generale'!$D$58</f>
        <v>0</v>
      </c>
      <c r="I1027" s="77">
        <f>H1027+F1027</f>
        <v>0</v>
      </c>
      <c r="J1027" s="79">
        <f>I1027/$H$9</f>
        <v>0</v>
      </c>
    </row>
    <row r="1028" spans="1:14">
      <c r="A1028" s="74">
        <v>2</v>
      </c>
      <c r="B1028" s="75"/>
      <c r="C1028" s="76" t="str">
        <f>IF(B1028="","",VLOOKUP(B1028,'Lista articole'!$D$4:$E$2255,2,FALSE))</f>
        <v/>
      </c>
      <c r="D1028" s="77">
        <v>0</v>
      </c>
      <c r="E1028" s="78">
        <f>IF(B1028="",0,VLOOKUP(B1028,'Lista articole'!$D$4:$F$2163,3,FALSE))</f>
        <v>0</v>
      </c>
      <c r="F1028" s="77">
        <f>D1028*E1028</f>
        <v>0</v>
      </c>
      <c r="G1028" s="77">
        <f t="shared" si="360"/>
        <v>0</v>
      </c>
      <c r="H1028" s="77">
        <f>F1028*'Date Generale'!$D$58</f>
        <v>0</v>
      </c>
      <c r="I1028" s="77">
        <f>H1028+F1028</f>
        <v>0</v>
      </c>
      <c r="J1028" s="79">
        <f>I1028/$H$9</f>
        <v>0</v>
      </c>
    </row>
    <row r="1029" spans="1:14">
      <c r="A1029" s="693" t="s">
        <v>44</v>
      </c>
      <c r="B1029" s="694"/>
      <c r="C1029" s="694"/>
      <c r="D1029" s="694"/>
      <c r="E1029" s="694"/>
      <c r="F1029" s="56">
        <f>SUM(F1030:F1031)</f>
        <v>0</v>
      </c>
      <c r="G1029" s="56">
        <f>SUM(G1030:G1031)</f>
        <v>0</v>
      </c>
      <c r="H1029" s="56">
        <f>SUM(H1030:H1031)</f>
        <v>0</v>
      </c>
      <c r="I1029" s="56">
        <f>SUM(I1030:I1031)</f>
        <v>0</v>
      </c>
      <c r="J1029" s="57">
        <f>SUM(J1030:J1031)</f>
        <v>0</v>
      </c>
    </row>
    <row r="1030" spans="1:14">
      <c r="A1030" s="80">
        <v>1</v>
      </c>
      <c r="B1030" s="81"/>
      <c r="C1030" s="76" t="str">
        <f>IF(B1030="","",VLOOKUP(B1030,'Lista articole'!$D$4:$E$2255,2,FALSE))</f>
        <v/>
      </c>
      <c r="D1030" s="77">
        <v>0</v>
      </c>
      <c r="E1030" s="78">
        <f>IF(B1030="",0,VLOOKUP(B1030,'Lista articole'!$D$4:$F$2163,3,FALSE))</f>
        <v>0</v>
      </c>
      <c r="F1030" s="77">
        <f t="shared" ref="F1030:F1031" si="361">D1030*E1030</f>
        <v>0</v>
      </c>
      <c r="G1030" s="77">
        <f t="shared" ref="G1030:G1031" si="362">F1030/$H$9</f>
        <v>0</v>
      </c>
      <c r="H1030" s="77">
        <f>F1030*'Date Generale'!$D$58</f>
        <v>0</v>
      </c>
      <c r="I1030" s="77">
        <f t="shared" ref="I1030:I1031" si="363">H1030+F1030</f>
        <v>0</v>
      </c>
      <c r="J1030" s="79">
        <f t="shared" ref="J1030:J1031" si="364">I1030/$H$9</f>
        <v>0</v>
      </c>
    </row>
    <row r="1031" spans="1:14">
      <c r="A1031" s="80">
        <f t="shared" ref="A1031" si="365">A1030+1</f>
        <v>2</v>
      </c>
      <c r="B1031" s="81"/>
      <c r="C1031" s="76" t="str">
        <f>IF(B1031="","",VLOOKUP(B1031,'Lista articole'!$D$4:$E$2255,2,FALSE))</f>
        <v/>
      </c>
      <c r="D1031" s="77">
        <v>0</v>
      </c>
      <c r="E1031" s="78">
        <f>IF(B1031="",0,VLOOKUP(B1031,'Lista articole'!$D$4:$F$2163,3,FALSE))</f>
        <v>0</v>
      </c>
      <c r="F1031" s="77">
        <f t="shared" si="361"/>
        <v>0</v>
      </c>
      <c r="G1031" s="77">
        <f t="shared" si="362"/>
        <v>0</v>
      </c>
      <c r="H1031" s="77">
        <f>F1031*'Date Generale'!$D$58</f>
        <v>0</v>
      </c>
      <c r="I1031" s="77">
        <f t="shared" si="363"/>
        <v>0</v>
      </c>
      <c r="J1031" s="79">
        <f t="shared" si="364"/>
        <v>0</v>
      </c>
    </row>
    <row r="1032" spans="1:14">
      <c r="A1032" s="693" t="s">
        <v>45</v>
      </c>
      <c r="B1032" s="694"/>
      <c r="C1032" s="694"/>
      <c r="D1032" s="694"/>
      <c r="E1032" s="694"/>
      <c r="F1032" s="56">
        <f>SUM(F1033:F1034)</f>
        <v>0</v>
      </c>
      <c r="G1032" s="56">
        <f>SUM(G1033:G1034)</f>
        <v>0</v>
      </c>
      <c r="H1032" s="56">
        <f>SUM(H1033:H1034)</f>
        <v>0</v>
      </c>
      <c r="I1032" s="56">
        <f>SUM(I1033:I1034)</f>
        <v>0</v>
      </c>
      <c r="J1032" s="57">
        <f>SUM(J1033:J1034)</f>
        <v>0</v>
      </c>
    </row>
    <row r="1033" spans="1:14">
      <c r="A1033" s="80">
        <v>1</v>
      </c>
      <c r="B1033" s="81"/>
      <c r="C1033" s="76" t="str">
        <f>IF(B1033="","",VLOOKUP(B1033,'Lista articole'!$D$4:$E$2255,2,FALSE))</f>
        <v/>
      </c>
      <c r="D1033" s="77">
        <v>0</v>
      </c>
      <c r="E1033" s="78">
        <f>IF(B1033="",0,VLOOKUP(B1033,'Lista articole'!$D$4:$F$2163,3,FALSE))</f>
        <v>0</v>
      </c>
      <c r="F1033" s="77">
        <f t="shared" ref="F1033:F1034" si="366">D1033*E1033</f>
        <v>0</v>
      </c>
      <c r="G1033" s="77">
        <f t="shared" ref="G1033:G1034" si="367">F1033/$H$9</f>
        <v>0</v>
      </c>
      <c r="H1033" s="77">
        <f>F1033*'Date Generale'!$D$58</f>
        <v>0</v>
      </c>
      <c r="I1033" s="77">
        <f t="shared" ref="I1033:I1034" si="368">H1033+F1033</f>
        <v>0</v>
      </c>
      <c r="J1033" s="79">
        <f t="shared" ref="J1033:J1034" si="369">I1033/$H$9</f>
        <v>0</v>
      </c>
    </row>
    <row r="1034" spans="1:14">
      <c r="A1034" s="80">
        <v>2</v>
      </c>
      <c r="B1034" s="81"/>
      <c r="C1034" s="76" t="str">
        <f>IF(B1034="","",VLOOKUP(B1034,'Lista articole'!$D$4:$E$2255,2,FALSE))</f>
        <v/>
      </c>
      <c r="D1034" s="77">
        <v>0</v>
      </c>
      <c r="E1034" s="78">
        <f>IF(B1034="",0,VLOOKUP(B1034,'Lista articole'!$D$4:$F$2163,3,FALSE))</f>
        <v>0</v>
      </c>
      <c r="F1034" s="77">
        <f t="shared" si="366"/>
        <v>0</v>
      </c>
      <c r="G1034" s="77">
        <f t="shared" si="367"/>
        <v>0</v>
      </c>
      <c r="H1034" s="77">
        <f>F1034*'Date Generale'!$D$58</f>
        <v>0</v>
      </c>
      <c r="I1034" s="77">
        <f t="shared" si="368"/>
        <v>0</v>
      </c>
      <c r="J1034" s="79">
        <f t="shared" si="369"/>
        <v>0</v>
      </c>
    </row>
    <row r="1035" spans="1:14">
      <c r="A1035" s="693" t="s">
        <v>46</v>
      </c>
      <c r="B1035" s="694"/>
      <c r="C1035" s="694"/>
      <c r="D1035" s="694"/>
      <c r="E1035" s="694"/>
      <c r="F1035" s="56">
        <f>SUM(F1036:F1049)</f>
        <v>0</v>
      </c>
      <c r="G1035" s="56">
        <f>SUM(G1036:G1049)</f>
        <v>0</v>
      </c>
      <c r="H1035" s="56">
        <f>SUM(H1036:H1049)</f>
        <v>0</v>
      </c>
      <c r="I1035" s="56">
        <f>SUM(I1036:I1049)</f>
        <v>0</v>
      </c>
      <c r="J1035" s="57">
        <f>SUM(J1036:J1049)</f>
        <v>0</v>
      </c>
    </row>
    <row r="1036" spans="1:14">
      <c r="A1036" s="80">
        <v>1</v>
      </c>
      <c r="B1036" s="81"/>
      <c r="C1036" s="76" t="str">
        <f>IF(B1036="","",VLOOKUP(B1036,'Lista articole'!$D$4:$E$2255,2,FALSE))</f>
        <v/>
      </c>
      <c r="D1036" s="77">
        <v>0</v>
      </c>
      <c r="E1036" s="78">
        <f>IF(B1036="",0,VLOOKUP(B1036,'Lista articole'!$D$4:$F$2163,3,FALSE))</f>
        <v>0</v>
      </c>
      <c r="F1036" s="77">
        <f t="shared" ref="F1036:F1049" si="370">D1036*E1036</f>
        <v>0</v>
      </c>
      <c r="G1036" s="77">
        <f t="shared" ref="G1036:G1049" si="371">F1036/$H$9</f>
        <v>0</v>
      </c>
      <c r="H1036" s="77">
        <f>F1036*'Date Generale'!$D$58</f>
        <v>0</v>
      </c>
      <c r="I1036" s="77">
        <f t="shared" ref="I1036:I1049" si="372">H1036+F1036</f>
        <v>0</v>
      </c>
      <c r="J1036" s="79">
        <f t="shared" ref="J1036:J1049" si="373">I1036/$H$9</f>
        <v>0</v>
      </c>
      <c r="N1036" s="388"/>
    </row>
    <row r="1037" spans="1:14">
      <c r="A1037" s="80">
        <v>2</v>
      </c>
      <c r="B1037" s="81"/>
      <c r="C1037" s="76" t="str">
        <f>IF(B1037="","",VLOOKUP(B1037,'Lista articole'!$D$4:$E$2255,2,FALSE))</f>
        <v/>
      </c>
      <c r="D1037" s="77">
        <v>0</v>
      </c>
      <c r="E1037" s="78">
        <f>IF(B1037="",0,VLOOKUP(B1037,'Lista articole'!$D$4:$F$2163,3,FALSE))</f>
        <v>0</v>
      </c>
      <c r="F1037" s="77">
        <f t="shared" si="370"/>
        <v>0</v>
      </c>
      <c r="G1037" s="77">
        <f t="shared" si="371"/>
        <v>0</v>
      </c>
      <c r="H1037" s="77">
        <f>F1037*'Date Generale'!$D$58</f>
        <v>0</v>
      </c>
      <c r="I1037" s="77">
        <f t="shared" si="372"/>
        <v>0</v>
      </c>
      <c r="J1037" s="79">
        <f t="shared" si="373"/>
        <v>0</v>
      </c>
      <c r="N1037" s="388"/>
    </row>
    <row r="1038" spans="1:14">
      <c r="A1038" s="80">
        <v>3</v>
      </c>
      <c r="B1038" s="81"/>
      <c r="C1038" s="76" t="str">
        <f>IF(B1038="","",VLOOKUP(B1038,'Lista articole'!$D$4:$E$2255,2,FALSE))</f>
        <v/>
      </c>
      <c r="D1038" s="77">
        <v>0</v>
      </c>
      <c r="E1038" s="78">
        <f>IF(B1038="",0,VLOOKUP(B1038,'Lista articole'!$D$4:$F$2163,3,FALSE))</f>
        <v>0</v>
      </c>
      <c r="F1038" s="77">
        <f t="shared" si="370"/>
        <v>0</v>
      </c>
      <c r="G1038" s="77">
        <f t="shared" si="371"/>
        <v>0</v>
      </c>
      <c r="H1038" s="77">
        <f>F1038*'Date Generale'!$D$58</f>
        <v>0</v>
      </c>
      <c r="I1038" s="77">
        <f t="shared" si="372"/>
        <v>0</v>
      </c>
      <c r="J1038" s="79">
        <f t="shared" si="373"/>
        <v>0</v>
      </c>
      <c r="N1038" s="388"/>
    </row>
    <row r="1039" spans="1:14">
      <c r="A1039" s="80">
        <v>4</v>
      </c>
      <c r="B1039" s="81"/>
      <c r="C1039" s="76" t="str">
        <f>IF(B1039="","",VLOOKUP(B1039,'Lista articole'!$D$4:$E$2255,2,FALSE))</f>
        <v/>
      </c>
      <c r="D1039" s="77">
        <v>0</v>
      </c>
      <c r="E1039" s="78">
        <f>IF(B1039="",0,VLOOKUP(B1039,'Lista articole'!$D$4:$F$2163,3,FALSE))</f>
        <v>0</v>
      </c>
      <c r="F1039" s="77">
        <f t="shared" si="370"/>
        <v>0</v>
      </c>
      <c r="G1039" s="77">
        <f t="shared" si="371"/>
        <v>0</v>
      </c>
      <c r="H1039" s="77">
        <f>F1039*'Date Generale'!$D$58</f>
        <v>0</v>
      </c>
      <c r="I1039" s="77">
        <f t="shared" si="372"/>
        <v>0</v>
      </c>
      <c r="J1039" s="79">
        <f t="shared" si="373"/>
        <v>0</v>
      </c>
      <c r="N1039" s="388"/>
    </row>
    <row r="1040" spans="1:14">
      <c r="A1040" s="80">
        <v>5</v>
      </c>
      <c r="B1040" s="81"/>
      <c r="C1040" s="76" t="str">
        <f>IF(B1040="","",VLOOKUP(B1040,'Lista articole'!$D$4:$E$2255,2,FALSE))</f>
        <v/>
      </c>
      <c r="D1040" s="77">
        <v>0</v>
      </c>
      <c r="E1040" s="78">
        <f>IF(B1040="",0,VLOOKUP(B1040,'Lista articole'!$D$4:$F$2163,3,FALSE))</f>
        <v>0</v>
      </c>
      <c r="F1040" s="77">
        <f t="shared" si="370"/>
        <v>0</v>
      </c>
      <c r="G1040" s="77">
        <f t="shared" si="371"/>
        <v>0</v>
      </c>
      <c r="H1040" s="77">
        <f>F1040*'Date Generale'!$D$58</f>
        <v>0</v>
      </c>
      <c r="I1040" s="77">
        <f t="shared" si="372"/>
        <v>0</v>
      </c>
      <c r="J1040" s="79">
        <f t="shared" si="373"/>
        <v>0</v>
      </c>
      <c r="N1040" s="388"/>
    </row>
    <row r="1041" spans="1:14">
      <c r="A1041" s="80">
        <v>6</v>
      </c>
      <c r="B1041" s="81"/>
      <c r="C1041" s="76" t="str">
        <f>IF(B1041="","",VLOOKUP(B1041,'Lista articole'!$D$4:$E$2255,2,FALSE))</f>
        <v/>
      </c>
      <c r="D1041" s="77">
        <v>0</v>
      </c>
      <c r="E1041" s="78">
        <f>IF(B1041="",0,VLOOKUP(B1041,'Lista articole'!$D$4:$F$2163,3,FALSE))</f>
        <v>0</v>
      </c>
      <c r="F1041" s="77">
        <f t="shared" si="370"/>
        <v>0</v>
      </c>
      <c r="G1041" s="77">
        <f t="shared" si="371"/>
        <v>0</v>
      </c>
      <c r="H1041" s="77">
        <f>F1041*'Date Generale'!$D$58</f>
        <v>0</v>
      </c>
      <c r="I1041" s="77">
        <f t="shared" si="372"/>
        <v>0</v>
      </c>
      <c r="J1041" s="79">
        <f t="shared" si="373"/>
        <v>0</v>
      </c>
      <c r="N1041" s="388"/>
    </row>
    <row r="1042" spans="1:14">
      <c r="A1042" s="80">
        <v>7</v>
      </c>
      <c r="B1042" s="81"/>
      <c r="C1042" s="76" t="str">
        <f>IF(B1042="","",VLOOKUP(B1042,'Lista articole'!$D$4:$E$2255,2,FALSE))</f>
        <v/>
      </c>
      <c r="D1042" s="77">
        <v>0</v>
      </c>
      <c r="E1042" s="78">
        <f>IF(B1042="",0,VLOOKUP(B1042,'Lista articole'!$D$4:$F$2163,3,FALSE))</f>
        <v>0</v>
      </c>
      <c r="F1042" s="77">
        <f t="shared" si="370"/>
        <v>0</v>
      </c>
      <c r="G1042" s="77">
        <f t="shared" si="371"/>
        <v>0</v>
      </c>
      <c r="H1042" s="77">
        <f>F1042*'Date Generale'!$D$58</f>
        <v>0</v>
      </c>
      <c r="I1042" s="77">
        <f t="shared" si="372"/>
        <v>0</v>
      </c>
      <c r="J1042" s="79">
        <f t="shared" si="373"/>
        <v>0</v>
      </c>
      <c r="N1042" s="388"/>
    </row>
    <row r="1043" spans="1:14">
      <c r="A1043" s="80">
        <v>8</v>
      </c>
      <c r="B1043" s="81"/>
      <c r="C1043" s="76" t="str">
        <f>IF(B1043="","",VLOOKUP(B1043,'Lista articole'!$D$4:$E$2255,2,FALSE))</f>
        <v/>
      </c>
      <c r="D1043" s="77">
        <v>0</v>
      </c>
      <c r="E1043" s="78">
        <f>IF(B1043="",0,VLOOKUP(B1043,'Lista articole'!$D$4:$F$2163,3,FALSE))</f>
        <v>0</v>
      </c>
      <c r="F1043" s="77">
        <f t="shared" si="370"/>
        <v>0</v>
      </c>
      <c r="G1043" s="77">
        <f t="shared" si="371"/>
        <v>0</v>
      </c>
      <c r="H1043" s="77">
        <f>F1043*'Date Generale'!$D$58</f>
        <v>0</v>
      </c>
      <c r="I1043" s="77">
        <f t="shared" si="372"/>
        <v>0</v>
      </c>
      <c r="J1043" s="79">
        <f t="shared" si="373"/>
        <v>0</v>
      </c>
    </row>
    <row r="1044" spans="1:14">
      <c r="A1044" s="80">
        <v>9</v>
      </c>
      <c r="B1044" s="81"/>
      <c r="C1044" s="76" t="str">
        <f>IF(B1044="","",VLOOKUP(B1044,'Lista articole'!$D$4:$E$2255,2,FALSE))</f>
        <v/>
      </c>
      <c r="D1044" s="77">
        <v>0</v>
      </c>
      <c r="E1044" s="78">
        <f>IF(B1044="",0,VLOOKUP(B1044,'Lista articole'!$D$4:$F$2163,3,FALSE))</f>
        <v>0</v>
      </c>
      <c r="F1044" s="77">
        <f t="shared" si="370"/>
        <v>0</v>
      </c>
      <c r="G1044" s="77">
        <f t="shared" si="371"/>
        <v>0</v>
      </c>
      <c r="H1044" s="77">
        <f>F1044*'Date Generale'!$D$58</f>
        <v>0</v>
      </c>
      <c r="I1044" s="77">
        <f t="shared" si="372"/>
        <v>0</v>
      </c>
      <c r="J1044" s="79">
        <f t="shared" si="373"/>
        <v>0</v>
      </c>
    </row>
    <row r="1045" spans="1:14">
      <c r="A1045" s="80">
        <v>10</v>
      </c>
      <c r="B1045" s="81"/>
      <c r="C1045" s="76" t="str">
        <f>IF(B1045="","",VLOOKUP(B1045,'Lista articole'!$D$4:$E$2255,2,FALSE))</f>
        <v/>
      </c>
      <c r="D1045" s="77">
        <v>0</v>
      </c>
      <c r="E1045" s="78">
        <f>IF(B1045="",0,VLOOKUP(B1045,'Lista articole'!$D$4:$F$2163,3,FALSE))</f>
        <v>0</v>
      </c>
      <c r="F1045" s="77">
        <f t="shared" si="370"/>
        <v>0</v>
      </c>
      <c r="G1045" s="77">
        <f t="shared" si="371"/>
        <v>0</v>
      </c>
      <c r="H1045" s="77">
        <f>F1045*'Date Generale'!$D$58</f>
        <v>0</v>
      </c>
      <c r="I1045" s="77">
        <f t="shared" si="372"/>
        <v>0</v>
      </c>
      <c r="J1045" s="79">
        <f t="shared" si="373"/>
        <v>0</v>
      </c>
    </row>
    <row r="1046" spans="1:14">
      <c r="A1046" s="80">
        <v>11</v>
      </c>
      <c r="B1046" s="81"/>
      <c r="C1046" s="76" t="str">
        <f>IF(B1046="","",VLOOKUP(B1046,'Lista articole'!$D$4:$E$2255,2,FALSE))</f>
        <v/>
      </c>
      <c r="D1046" s="77">
        <v>0</v>
      </c>
      <c r="E1046" s="78">
        <f>IF(B1046="",0,VLOOKUP(B1046,'Lista articole'!$D$4:$F$2163,3,FALSE))</f>
        <v>0</v>
      </c>
      <c r="F1046" s="77">
        <f t="shared" si="370"/>
        <v>0</v>
      </c>
      <c r="G1046" s="77">
        <f t="shared" si="371"/>
        <v>0</v>
      </c>
      <c r="H1046" s="77">
        <f>F1046*'Date Generale'!$D$58</f>
        <v>0</v>
      </c>
      <c r="I1046" s="77">
        <f t="shared" si="372"/>
        <v>0</v>
      </c>
      <c r="J1046" s="79">
        <f t="shared" si="373"/>
        <v>0</v>
      </c>
    </row>
    <row r="1047" spans="1:14">
      <c r="A1047" s="80">
        <v>12</v>
      </c>
      <c r="B1047" s="81"/>
      <c r="C1047" s="76" t="str">
        <f>IF(B1047="","",VLOOKUP(B1047,'Lista articole'!$D$4:$E$2255,2,FALSE))</f>
        <v/>
      </c>
      <c r="D1047" s="77">
        <v>0</v>
      </c>
      <c r="E1047" s="78">
        <f>IF(B1047="",0,VLOOKUP(B1047,'Lista articole'!$D$4:$F$2163,3,FALSE))</f>
        <v>0</v>
      </c>
      <c r="F1047" s="77">
        <f t="shared" si="370"/>
        <v>0</v>
      </c>
      <c r="G1047" s="77">
        <f t="shared" si="371"/>
        <v>0</v>
      </c>
      <c r="H1047" s="77">
        <f>F1047*'Date Generale'!$D$58</f>
        <v>0</v>
      </c>
      <c r="I1047" s="77">
        <f t="shared" si="372"/>
        <v>0</v>
      </c>
      <c r="J1047" s="79">
        <f t="shared" si="373"/>
        <v>0</v>
      </c>
    </row>
    <row r="1048" spans="1:14">
      <c r="A1048" s="80">
        <v>13</v>
      </c>
      <c r="B1048" s="81"/>
      <c r="C1048" s="76" t="str">
        <f>IF(B1048="","",VLOOKUP(B1048,'Lista articole'!$D$4:$E$2255,2,FALSE))</f>
        <v/>
      </c>
      <c r="D1048" s="77">
        <v>0</v>
      </c>
      <c r="E1048" s="78">
        <f>IF(B1048="",0,VLOOKUP(B1048,'Lista articole'!$D$4:$F$2163,3,FALSE))</f>
        <v>0</v>
      </c>
      <c r="F1048" s="77">
        <f t="shared" si="370"/>
        <v>0</v>
      </c>
      <c r="G1048" s="77">
        <f t="shared" si="371"/>
        <v>0</v>
      </c>
      <c r="H1048" s="77">
        <f>F1048*'Date Generale'!$D$58</f>
        <v>0</v>
      </c>
      <c r="I1048" s="77">
        <f t="shared" si="372"/>
        <v>0</v>
      </c>
      <c r="J1048" s="79">
        <f t="shared" si="373"/>
        <v>0</v>
      </c>
    </row>
    <row r="1049" spans="1:14">
      <c r="A1049" s="80">
        <v>14</v>
      </c>
      <c r="B1049" s="81"/>
      <c r="C1049" s="76" t="str">
        <f>IF(B1049="","",VLOOKUP(B1049,'Lista articole'!$D$4:$E$2255,2,FALSE))</f>
        <v/>
      </c>
      <c r="D1049" s="77">
        <v>0</v>
      </c>
      <c r="E1049" s="78">
        <f>IF(B1049="",0,VLOOKUP(B1049,'Lista articole'!$D$4:$F$2163,3,FALSE))</f>
        <v>0</v>
      </c>
      <c r="F1049" s="77">
        <f t="shared" si="370"/>
        <v>0</v>
      </c>
      <c r="G1049" s="77">
        <f t="shared" si="371"/>
        <v>0</v>
      </c>
      <c r="H1049" s="77">
        <f>F1049*'Date Generale'!$D$58</f>
        <v>0</v>
      </c>
      <c r="I1049" s="77">
        <f t="shared" si="372"/>
        <v>0</v>
      </c>
      <c r="J1049" s="79">
        <f t="shared" si="373"/>
        <v>0</v>
      </c>
    </row>
    <row r="1050" spans="1:14">
      <c r="A1050" s="693" t="s">
        <v>50</v>
      </c>
      <c r="B1050" s="694"/>
      <c r="C1050" s="694"/>
      <c r="D1050" s="694"/>
      <c r="E1050" s="694"/>
      <c r="F1050" s="56">
        <f>SUM(F1051:F1052)</f>
        <v>0</v>
      </c>
      <c r="G1050" s="56">
        <f>SUM(G1051:G1052)</f>
        <v>0</v>
      </c>
      <c r="H1050" s="56">
        <f>SUM(H1051:H1052)</f>
        <v>0</v>
      </c>
      <c r="I1050" s="56">
        <f>SUM(I1051:I1052)</f>
        <v>0</v>
      </c>
      <c r="J1050" s="57">
        <f>SUM(J1051:J1052)</f>
        <v>0</v>
      </c>
    </row>
    <row r="1051" spans="1:14">
      <c r="A1051" s="80">
        <v>1</v>
      </c>
      <c r="B1051" s="81"/>
      <c r="C1051" s="76" t="str">
        <f>IF(B1051="","",VLOOKUP(B1051,'Lista articole'!$D$4:$E$2255,2,FALSE))</f>
        <v/>
      </c>
      <c r="D1051" s="77">
        <v>0</v>
      </c>
      <c r="E1051" s="78">
        <f>IF(B1051="",0,VLOOKUP(B1051,'Lista articole'!$D$4:$F$2163,3,FALSE))</f>
        <v>0</v>
      </c>
      <c r="F1051" s="77">
        <f t="shared" ref="F1051:F1052" si="374">D1051*E1051</f>
        <v>0</v>
      </c>
      <c r="G1051" s="77">
        <f t="shared" ref="G1051:G1052" si="375">F1051/$H$9</f>
        <v>0</v>
      </c>
      <c r="H1051" s="77">
        <f>F1051*'Date Generale'!$D$58</f>
        <v>0</v>
      </c>
      <c r="I1051" s="77">
        <f t="shared" ref="I1051:I1052" si="376">H1051+F1051</f>
        <v>0</v>
      </c>
      <c r="J1051" s="79">
        <f t="shared" ref="J1051:J1052" si="377">I1051/$H$9</f>
        <v>0</v>
      </c>
    </row>
    <row r="1052" spans="1:14">
      <c r="A1052" s="74">
        <f>A1051+1</f>
        <v>2</v>
      </c>
      <c r="B1052" s="75"/>
      <c r="C1052" s="76" t="str">
        <f>IF(B1052="","",VLOOKUP(B1052,'Lista articole'!$D$4:$E$2255,2,FALSE))</f>
        <v/>
      </c>
      <c r="D1052" s="77">
        <v>0</v>
      </c>
      <c r="E1052" s="78">
        <f>IF(B1052="",0,VLOOKUP(B1052,'Lista articole'!$D$4:$F$2163,3,FALSE))</f>
        <v>0</v>
      </c>
      <c r="F1052" s="77">
        <f t="shared" si="374"/>
        <v>0</v>
      </c>
      <c r="G1052" s="77">
        <f t="shared" si="375"/>
        <v>0</v>
      </c>
      <c r="H1052" s="77">
        <f>F1052*'Date Generale'!$D$58</f>
        <v>0</v>
      </c>
      <c r="I1052" s="77">
        <f t="shared" si="376"/>
        <v>0</v>
      </c>
      <c r="J1052" s="79">
        <f t="shared" si="377"/>
        <v>0</v>
      </c>
    </row>
    <row r="1053" spans="1:14">
      <c r="A1053" s="693" t="s">
        <v>51</v>
      </c>
      <c r="B1053" s="694"/>
      <c r="C1053" s="694"/>
      <c r="D1053" s="694"/>
      <c r="E1053" s="694"/>
      <c r="F1053" s="56">
        <f>SUM(F1054:F1055)</f>
        <v>0</v>
      </c>
      <c r="G1053" s="56">
        <f>SUM(G1054:G1055)</f>
        <v>0</v>
      </c>
      <c r="H1053" s="56">
        <f>SUM(H1054:H1055)</f>
        <v>0</v>
      </c>
      <c r="I1053" s="56">
        <f>SUM(I1054:I1055)</f>
        <v>0</v>
      </c>
      <c r="J1053" s="57">
        <f>SUM(J1054:J1055)</f>
        <v>0</v>
      </c>
    </row>
    <row r="1054" spans="1:14">
      <c r="A1054" s="80">
        <v>1</v>
      </c>
      <c r="B1054" s="81"/>
      <c r="C1054" s="76" t="str">
        <f>IF(B1054="","",VLOOKUP(B1054,'Lista articole'!$D$4:$E$2255,2,FALSE))</f>
        <v/>
      </c>
      <c r="D1054" s="77">
        <v>0</v>
      </c>
      <c r="E1054" s="78">
        <f>IF(B1054="",0,VLOOKUP(B1054,'Lista articole'!$D$4:$F$2163,3,FALSE))</f>
        <v>0</v>
      </c>
      <c r="F1054" s="77">
        <f t="shared" ref="F1054:F1055" si="378">D1054*E1054</f>
        <v>0</v>
      </c>
      <c r="G1054" s="77">
        <f t="shared" ref="G1054:G1055" si="379">F1054/$H$9</f>
        <v>0</v>
      </c>
      <c r="H1054" s="77">
        <f>F1054*'Date Generale'!$D$58</f>
        <v>0</v>
      </c>
      <c r="I1054" s="77">
        <f t="shared" ref="I1054:I1055" si="380">H1054+F1054</f>
        <v>0</v>
      </c>
      <c r="J1054" s="79">
        <f t="shared" ref="J1054:J1055" si="381">I1054/$H$9</f>
        <v>0</v>
      </c>
    </row>
    <row r="1055" spans="1:14">
      <c r="A1055" s="74">
        <f>A1054+1</f>
        <v>2</v>
      </c>
      <c r="B1055" s="75"/>
      <c r="C1055" s="76" t="str">
        <f>IF(B1055="","",VLOOKUP(B1055,'Lista articole'!$D$4:$E$2255,2,FALSE))</f>
        <v/>
      </c>
      <c r="D1055" s="77">
        <v>0</v>
      </c>
      <c r="E1055" s="78">
        <f>IF(B1055="",0,VLOOKUP(B1055,'Lista articole'!$D$4:$F$2163,3,FALSE))</f>
        <v>0</v>
      </c>
      <c r="F1055" s="77">
        <f t="shared" si="378"/>
        <v>0</v>
      </c>
      <c r="G1055" s="77">
        <f t="shared" si="379"/>
        <v>0</v>
      </c>
      <c r="H1055" s="77">
        <f>F1055*'Date Generale'!$D$58</f>
        <v>0</v>
      </c>
      <c r="I1055" s="77">
        <f t="shared" si="380"/>
        <v>0</v>
      </c>
      <c r="J1055" s="79">
        <f t="shared" si="381"/>
        <v>0</v>
      </c>
    </row>
    <row r="1056" spans="1:14">
      <c r="A1056" s="693" t="s">
        <v>52</v>
      </c>
      <c r="B1056" s="694"/>
      <c r="C1056" s="694"/>
      <c r="D1056" s="694"/>
      <c r="E1056" s="694"/>
      <c r="F1056" s="56">
        <f>SUM(F1057:F1058)</f>
        <v>0</v>
      </c>
      <c r="G1056" s="56">
        <f>SUM(G1057:G1058)</f>
        <v>0</v>
      </c>
      <c r="H1056" s="56">
        <f>SUM(H1057:H1058)</f>
        <v>0</v>
      </c>
      <c r="I1056" s="56">
        <f>SUM(I1057:I1058)</f>
        <v>0</v>
      </c>
      <c r="J1056" s="57">
        <f>SUM(J1057:J1058)</f>
        <v>0</v>
      </c>
    </row>
    <row r="1057" spans="1:10">
      <c r="A1057" s="80">
        <v>1</v>
      </c>
      <c r="B1057" s="81"/>
      <c r="C1057" s="76" t="str">
        <f>IF(B1057="","",VLOOKUP(B1057,'Lista articole'!$D$4:$E$2255,2,FALSE))</f>
        <v/>
      </c>
      <c r="D1057" s="77">
        <v>0</v>
      </c>
      <c r="E1057" s="78">
        <f>IF(B1057="",0,VLOOKUP(B1057,'Lista articole'!$D$4:$F$2163,3,FALSE))</f>
        <v>0</v>
      </c>
      <c r="F1057" s="77">
        <f>D1057*E1057</f>
        <v>0</v>
      </c>
      <c r="G1057" s="77">
        <f>F1057/$H$9</f>
        <v>0</v>
      </c>
      <c r="H1057" s="77">
        <f>F1057*'Date Generale'!$D$58</f>
        <v>0</v>
      </c>
      <c r="I1057" s="77">
        <f t="shared" ref="I1057:I1058" si="382">H1057+F1057</f>
        <v>0</v>
      </c>
      <c r="J1057" s="79">
        <f t="shared" ref="J1057:J1058" si="383">I1057/$H$9</f>
        <v>0</v>
      </c>
    </row>
    <row r="1058" spans="1:10">
      <c r="A1058" s="74">
        <f>A1057+1</f>
        <v>2</v>
      </c>
      <c r="B1058" s="75"/>
      <c r="C1058" s="76" t="str">
        <f>IF(B1058="","",VLOOKUP(B1058,'Lista articole'!$D$4:$E$2255,2,FALSE))</f>
        <v/>
      </c>
      <c r="D1058" s="77">
        <v>0</v>
      </c>
      <c r="E1058" s="78">
        <f>IF(B1058="",0,VLOOKUP(B1058,'Lista articole'!$D$4:$F$2163,3,FALSE))</f>
        <v>0</v>
      </c>
      <c r="F1058" s="77">
        <f t="shared" ref="F1058" si="384">D1058*E1058</f>
        <v>0</v>
      </c>
      <c r="G1058" s="77">
        <f t="shared" ref="G1058" si="385">F1058/$H$9</f>
        <v>0</v>
      </c>
      <c r="H1058" s="77">
        <f>F1058*'Date Generale'!$D$58</f>
        <v>0</v>
      </c>
      <c r="I1058" s="77">
        <f t="shared" si="382"/>
        <v>0</v>
      </c>
      <c r="J1058" s="79">
        <f t="shared" si="383"/>
        <v>0</v>
      </c>
    </row>
    <row r="1059" spans="1:10">
      <c r="A1059" s="693" t="s">
        <v>53</v>
      </c>
      <c r="B1059" s="694"/>
      <c r="C1059" s="694"/>
      <c r="D1059" s="694"/>
      <c r="E1059" s="694"/>
      <c r="F1059" s="56">
        <f>SUM(F1060:F1061)</f>
        <v>0</v>
      </c>
      <c r="G1059" s="56">
        <f>SUM(G1060:G1061)</f>
        <v>0</v>
      </c>
      <c r="H1059" s="56">
        <f>SUM(H1060:H1061)</f>
        <v>0</v>
      </c>
      <c r="I1059" s="56">
        <f>SUM(I1060:I1061)</f>
        <v>0</v>
      </c>
      <c r="J1059" s="57">
        <f>SUM(J1060:J1061)</f>
        <v>0</v>
      </c>
    </row>
    <row r="1060" spans="1:10">
      <c r="A1060" s="80">
        <v>1</v>
      </c>
      <c r="B1060" s="81"/>
      <c r="C1060" s="76" t="str">
        <f>IF(B1060="","",VLOOKUP(B1060,'Lista articole'!$D$4:$E$2255,2,FALSE))</f>
        <v/>
      </c>
      <c r="D1060" s="77">
        <v>0</v>
      </c>
      <c r="E1060" s="78">
        <f>IF(B1060="",0,VLOOKUP(B1060,'Lista articole'!$D$4:$F$2163,3,FALSE))</f>
        <v>0</v>
      </c>
      <c r="F1060" s="77">
        <f>D1060*E1060</f>
        <v>0</v>
      </c>
      <c r="G1060" s="77">
        <f>F1060/$H$9</f>
        <v>0</v>
      </c>
      <c r="H1060" s="77">
        <f>F1060*'Date Generale'!$D$58</f>
        <v>0</v>
      </c>
      <c r="I1060" s="77">
        <f t="shared" ref="I1060:I1061" si="386">H1060+F1060</f>
        <v>0</v>
      </c>
      <c r="J1060" s="79">
        <f t="shared" ref="J1060:J1061" si="387">I1060/$H$9</f>
        <v>0</v>
      </c>
    </row>
    <row r="1061" spans="1:10" ht="15.75" thickBot="1">
      <c r="A1061" s="139">
        <f>A1060+1</f>
        <v>2</v>
      </c>
      <c r="B1061" s="140"/>
      <c r="C1061" s="141" t="str">
        <f>IF(B1061="","",VLOOKUP(B1061,'Lista articole'!$D$4:$E$2255,2,FALSE))</f>
        <v/>
      </c>
      <c r="D1061" s="142">
        <v>0</v>
      </c>
      <c r="E1061" s="143">
        <f>IF(B1061="",0,VLOOKUP(B1061,'Lista articole'!$D$4:$F$2163,3,FALSE))</f>
        <v>0</v>
      </c>
      <c r="F1061" s="142">
        <f t="shared" ref="F1061" si="388">D1061*E1061</f>
        <v>0</v>
      </c>
      <c r="G1061" s="142">
        <f t="shared" ref="G1061" si="389">F1061/$H$9</f>
        <v>0</v>
      </c>
      <c r="H1061" s="142">
        <f>F1061*'Date Generale'!$D$58</f>
        <v>0</v>
      </c>
      <c r="I1061" s="142">
        <f t="shared" si="386"/>
        <v>0</v>
      </c>
      <c r="J1061" s="144">
        <f t="shared" si="387"/>
        <v>0</v>
      </c>
    </row>
    <row r="1062" spans="1:10" ht="15.75" thickBot="1">
      <c r="A1062" s="685" t="s">
        <v>27</v>
      </c>
      <c r="B1062" s="686"/>
      <c r="C1062" s="686"/>
      <c r="D1062" s="686"/>
      <c r="E1062" s="686"/>
      <c r="F1062" s="82">
        <f>SUM(F1026,F1029,F1032,F1035,F1050,F1053,F1056,F1059)</f>
        <v>0</v>
      </c>
      <c r="G1062" s="82">
        <f>SUM(G1026,G1029,G1032,G1035,G1050,G1053,G1056,G1059)</f>
        <v>0</v>
      </c>
      <c r="H1062" s="82">
        <f>SUM(H1026,H1029,H1032,H1035,H1050,H1053,H1056,H1059)</f>
        <v>0</v>
      </c>
      <c r="I1062" s="82">
        <f>SUM(I1026,I1029,I1032,I1035,I1050,I1053,I1056,I1059)</f>
        <v>0</v>
      </c>
      <c r="J1062" s="83">
        <f>SUM(J1026,J1029,J1032,J1035,J1050,J1053,J1056,J1059)</f>
        <v>0</v>
      </c>
    </row>
    <row r="1063" spans="1:10" ht="15.75" thickBot="1">
      <c r="A1063" s="683" t="s">
        <v>28</v>
      </c>
      <c r="B1063" s="684"/>
      <c r="C1063" s="684"/>
      <c r="D1063" s="684"/>
      <c r="E1063" s="684"/>
      <c r="F1063" s="72"/>
      <c r="G1063" s="72"/>
      <c r="H1063" s="72"/>
      <c r="I1063" s="72"/>
      <c r="J1063" s="73"/>
    </row>
    <row r="1064" spans="1:10">
      <c r="A1064" s="145"/>
      <c r="B1064" s="695" t="s">
        <v>29</v>
      </c>
      <c r="C1064" s="695"/>
      <c r="D1064" s="695"/>
      <c r="E1064" s="695"/>
      <c r="F1064" s="146">
        <f>SUM(F1065:F1066)</f>
        <v>0</v>
      </c>
      <c r="G1064" s="146">
        <f>SUM(G1065:G1066)</f>
        <v>0</v>
      </c>
      <c r="H1064" s="146">
        <f>SUM(H1065:H1066)</f>
        <v>0</v>
      </c>
      <c r="I1064" s="146">
        <f>SUM(I1065:I1066)</f>
        <v>0</v>
      </c>
      <c r="J1064" s="147">
        <f>SUM(J1065:J1066)</f>
        <v>0</v>
      </c>
    </row>
    <row r="1065" spans="1:10">
      <c r="A1065" s="80">
        <v>1</v>
      </c>
      <c r="B1065" s="81"/>
      <c r="C1065" s="76" t="str">
        <f>IF(B1065="","",VLOOKUP(B1065,'Lista articole'!$D$4:$E$2255,2,FALSE))</f>
        <v/>
      </c>
      <c r="D1065" s="77">
        <v>0</v>
      </c>
      <c r="E1065" s="78">
        <f>IF(B1065="",0,VLOOKUP(B1065,'Lista articole'!$D$4:$F$2163,3,FALSE))</f>
        <v>0</v>
      </c>
      <c r="F1065" s="77">
        <f>D1065*E1065</f>
        <v>0</v>
      </c>
      <c r="G1065" s="77">
        <f>F1065/$H$9</f>
        <v>0</v>
      </c>
      <c r="H1065" s="77">
        <f>F1065*'Date Generale'!$D$58</f>
        <v>0</v>
      </c>
      <c r="I1065" s="77">
        <f t="shared" ref="I1065:I1066" si="390">H1065+F1065</f>
        <v>0</v>
      </c>
      <c r="J1065" s="79">
        <f t="shared" ref="J1065:J1066" si="391">I1065/$H$9</f>
        <v>0</v>
      </c>
    </row>
    <row r="1066" spans="1:10" ht="15.75" thickBot="1">
      <c r="A1066" s="139">
        <f>A1065+1</f>
        <v>2</v>
      </c>
      <c r="B1066" s="140"/>
      <c r="C1066" s="141" t="str">
        <f>IF(B1066="","",VLOOKUP(B1066,'Lista articole'!$D$4:$E$2255,2,FALSE))</f>
        <v/>
      </c>
      <c r="D1066" s="142">
        <v>0</v>
      </c>
      <c r="E1066" s="143">
        <f>IF(B1066="",0,VLOOKUP(B1066,'Lista articole'!$D$4:$F$2163,3,FALSE))</f>
        <v>0</v>
      </c>
      <c r="F1066" s="142">
        <f t="shared" ref="F1066" si="392">D1066*E1066</f>
        <v>0</v>
      </c>
      <c r="G1066" s="142">
        <f t="shared" ref="G1066" si="393">F1066/$H$9</f>
        <v>0</v>
      </c>
      <c r="H1066" s="142">
        <f>F1066*'Date Generale'!$D$58</f>
        <v>0</v>
      </c>
      <c r="I1066" s="142">
        <f t="shared" si="390"/>
        <v>0</v>
      </c>
      <c r="J1066" s="144">
        <f t="shared" si="391"/>
        <v>0</v>
      </c>
    </row>
    <row r="1067" spans="1:10" ht="15.75" thickBot="1">
      <c r="A1067" s="685" t="s">
        <v>30</v>
      </c>
      <c r="B1067" s="686"/>
      <c r="C1067" s="686"/>
      <c r="D1067" s="686"/>
      <c r="E1067" s="686"/>
      <c r="F1067" s="85">
        <f>F1064</f>
        <v>0</v>
      </c>
      <c r="G1067" s="85">
        <f>G1064</f>
        <v>0</v>
      </c>
      <c r="H1067" s="85">
        <f>H1064</f>
        <v>0</v>
      </c>
      <c r="I1067" s="85">
        <f>I1064</f>
        <v>0</v>
      </c>
      <c r="J1067" s="86">
        <f>J1064</f>
        <v>0</v>
      </c>
    </row>
    <row r="1068" spans="1:10" ht="15.75" thickBot="1">
      <c r="A1068" s="683" t="s">
        <v>31</v>
      </c>
      <c r="B1068" s="684"/>
      <c r="C1068" s="684"/>
      <c r="D1068" s="684"/>
      <c r="E1068" s="684"/>
      <c r="F1068" s="72"/>
      <c r="G1068" s="72"/>
      <c r="H1068" s="72"/>
      <c r="I1068" s="72"/>
      <c r="J1068" s="73"/>
    </row>
    <row r="1069" spans="1:10">
      <c r="A1069" s="145"/>
      <c r="B1069" s="695" t="s">
        <v>32</v>
      </c>
      <c r="C1069" s="695"/>
      <c r="D1069" s="695"/>
      <c r="E1069" s="695"/>
      <c r="F1069" s="148">
        <f>SUM(F1070:F1071)</f>
        <v>0</v>
      </c>
      <c r="G1069" s="148">
        <f>SUM(G1070:G1071)</f>
        <v>0</v>
      </c>
      <c r="H1069" s="148">
        <f>SUM(H1070:H1071)</f>
        <v>0</v>
      </c>
      <c r="I1069" s="148">
        <f>SUM(I1070:I1071)</f>
        <v>0</v>
      </c>
      <c r="J1069" s="149">
        <f>SUM(J1070:J1071)</f>
        <v>0</v>
      </c>
    </row>
    <row r="1070" spans="1:10">
      <c r="A1070" s="80">
        <v>1</v>
      </c>
      <c r="B1070" s="81"/>
      <c r="C1070" s="76" t="str">
        <f>IF(B1070="","",VLOOKUP(B1070,'Lista articole'!$D$4:$E$2255,2,FALSE))</f>
        <v/>
      </c>
      <c r="D1070" s="77">
        <v>0</v>
      </c>
      <c r="E1070" s="78">
        <f>IF(B1070="",0,VLOOKUP(B1070,'Lista articole'!$D$4:$F$2163,3,FALSE))</f>
        <v>0</v>
      </c>
      <c r="F1070" s="77">
        <f>D1070*E1070</f>
        <v>0</v>
      </c>
      <c r="G1070" s="77">
        <f>F1070/$H$9</f>
        <v>0</v>
      </c>
      <c r="H1070" s="77">
        <f>F1070*'Date Generale'!$D$58</f>
        <v>0</v>
      </c>
      <c r="I1070" s="77">
        <f t="shared" ref="I1070:I1071" si="394">H1070+F1070</f>
        <v>0</v>
      </c>
      <c r="J1070" s="79">
        <f t="shared" ref="J1070:J1071" si="395">I1070/$H$9</f>
        <v>0</v>
      </c>
    </row>
    <row r="1071" spans="1:10">
      <c r="A1071" s="74">
        <f>A1070+1</f>
        <v>2</v>
      </c>
      <c r="B1071" s="75"/>
      <c r="C1071" s="76" t="str">
        <f>IF(B1071="","",VLOOKUP(B1071,'Lista articole'!$D$4:$E$2255,2,FALSE))</f>
        <v/>
      </c>
      <c r="D1071" s="77">
        <v>0</v>
      </c>
      <c r="E1071" s="78">
        <f>IF(B1071="",0,VLOOKUP(B1071,'Lista articole'!$D$4:$F$2163,3,FALSE))</f>
        <v>0</v>
      </c>
      <c r="F1071" s="77">
        <f t="shared" ref="F1071" si="396">D1071*E1071</f>
        <v>0</v>
      </c>
      <c r="G1071" s="77">
        <f t="shared" ref="G1071" si="397">F1071/$H$9</f>
        <v>0</v>
      </c>
      <c r="H1071" s="77">
        <f>F1071*'Date Generale'!$D$58</f>
        <v>0</v>
      </c>
      <c r="I1071" s="77">
        <f t="shared" si="394"/>
        <v>0</v>
      </c>
      <c r="J1071" s="79">
        <f t="shared" si="395"/>
        <v>0</v>
      </c>
    </row>
    <row r="1072" spans="1:10">
      <c r="A1072" s="87"/>
      <c r="B1072" s="696" t="s">
        <v>33</v>
      </c>
      <c r="C1072" s="696"/>
      <c r="D1072" s="696"/>
      <c r="E1072" s="696"/>
      <c r="F1072" s="88">
        <f>SUM(F1073:F1074)</f>
        <v>0</v>
      </c>
      <c r="G1072" s="88">
        <f>SUM(G1073:G1074)</f>
        <v>0</v>
      </c>
      <c r="H1072" s="88">
        <f>SUM(H1073:H1074)</f>
        <v>0</v>
      </c>
      <c r="I1072" s="88">
        <f>SUM(I1073:I1074)</f>
        <v>0</v>
      </c>
      <c r="J1072" s="89">
        <f>SUM(J1073:J1074)</f>
        <v>0</v>
      </c>
    </row>
    <row r="1073" spans="1:11">
      <c r="A1073" s="80">
        <v>1</v>
      </c>
      <c r="B1073" s="81"/>
      <c r="C1073" s="76" t="str">
        <f>IF(B1073="","",VLOOKUP(B1073,'Lista articole'!$D$4:$E$2255,2,FALSE))</f>
        <v/>
      </c>
      <c r="D1073" s="77">
        <v>0</v>
      </c>
      <c r="E1073" s="78">
        <f>IF(B1073="",0,VLOOKUP(B1073,'Lista articole'!$D$4:$F$2163,3,FALSE))</f>
        <v>0</v>
      </c>
      <c r="F1073" s="77">
        <f>D1073*E1073</f>
        <v>0</v>
      </c>
      <c r="G1073" s="77">
        <f>F1073/$H$9</f>
        <v>0</v>
      </c>
      <c r="H1073" s="77">
        <f>F1073*'Date Generale'!$D$58</f>
        <v>0</v>
      </c>
      <c r="I1073" s="77">
        <f t="shared" ref="I1073:I1074" si="398">H1073+F1073</f>
        <v>0</v>
      </c>
      <c r="J1073" s="79">
        <f t="shared" ref="J1073:J1074" si="399">I1073/$H$9</f>
        <v>0</v>
      </c>
    </row>
    <row r="1074" spans="1:11">
      <c r="A1074" s="74">
        <f>A1073+1</f>
        <v>2</v>
      </c>
      <c r="B1074" s="75"/>
      <c r="C1074" s="76" t="str">
        <f>IF(B1074="","",VLOOKUP(B1074,'Lista articole'!$D$4:$E$2255,2,FALSE))</f>
        <v/>
      </c>
      <c r="D1074" s="77">
        <v>0</v>
      </c>
      <c r="E1074" s="78">
        <f>IF(B1074="",0,VLOOKUP(B1074,'Lista articole'!$D$4:$F$2163,3,FALSE))</f>
        <v>0</v>
      </c>
      <c r="F1074" s="77">
        <f t="shared" ref="F1074" si="400">D1074*E1074</f>
        <v>0</v>
      </c>
      <c r="G1074" s="77">
        <f t="shared" ref="G1074" si="401">F1074/$H$9</f>
        <v>0</v>
      </c>
      <c r="H1074" s="77">
        <f>F1074*'Date Generale'!$D$58</f>
        <v>0</v>
      </c>
      <c r="I1074" s="77">
        <f t="shared" si="398"/>
        <v>0</v>
      </c>
      <c r="J1074" s="79">
        <f t="shared" si="399"/>
        <v>0</v>
      </c>
    </row>
    <row r="1075" spans="1:11">
      <c r="A1075" s="87"/>
      <c r="B1075" s="696" t="s">
        <v>34</v>
      </c>
      <c r="C1075" s="696"/>
      <c r="D1075" s="696"/>
      <c r="E1075" s="696"/>
      <c r="F1075" s="88">
        <f>SUM(F1076:F1077)</f>
        <v>0</v>
      </c>
      <c r="G1075" s="88">
        <f>SUM(G1076:G1077)</f>
        <v>0</v>
      </c>
      <c r="H1075" s="88">
        <f>SUM(H1076:H1077)</f>
        <v>0</v>
      </c>
      <c r="I1075" s="88">
        <f>SUM(I1076:I1077)</f>
        <v>0</v>
      </c>
      <c r="J1075" s="89">
        <f>SUM(J1076:J1077)</f>
        <v>0</v>
      </c>
    </row>
    <row r="1076" spans="1:11">
      <c r="A1076" s="80">
        <v>1</v>
      </c>
      <c r="B1076" s="81"/>
      <c r="C1076" s="76" t="str">
        <f>IF(B1076="","",VLOOKUP(B1076,'Lista articole'!$D$4:$E$2255,2,FALSE))</f>
        <v/>
      </c>
      <c r="D1076" s="77">
        <v>0</v>
      </c>
      <c r="E1076" s="78">
        <f>IF(B1076="",0,VLOOKUP(B1076,'Lista articole'!$D$4:$F$2163,3,FALSE))</f>
        <v>0</v>
      </c>
      <c r="F1076" s="77">
        <f>D1076*E1076</f>
        <v>0</v>
      </c>
      <c r="G1076" s="77">
        <f>F1076/$H$9</f>
        <v>0</v>
      </c>
      <c r="H1076" s="77">
        <f>F1076*'Date Generale'!$D$58</f>
        <v>0</v>
      </c>
      <c r="I1076" s="77">
        <f t="shared" ref="I1076:I1077" si="402">H1076+F1076</f>
        <v>0</v>
      </c>
      <c r="J1076" s="79">
        <f t="shared" ref="J1076:J1077" si="403">I1076/$H$9</f>
        <v>0</v>
      </c>
    </row>
    <row r="1077" spans="1:11" ht="15.75" thickBot="1">
      <c r="A1077" s="139">
        <f>A1076+1</f>
        <v>2</v>
      </c>
      <c r="B1077" s="140"/>
      <c r="C1077" s="141" t="str">
        <f>IF(B1077="","",VLOOKUP(B1077,'Lista articole'!$D$4:$E$2255,2,FALSE))</f>
        <v/>
      </c>
      <c r="D1077" s="142">
        <v>0</v>
      </c>
      <c r="E1077" s="143">
        <f>IF(B1077="",0,VLOOKUP(B1077,'Lista articole'!$D$4:$F$2163,3,FALSE))</f>
        <v>0</v>
      </c>
      <c r="F1077" s="142">
        <f t="shared" ref="F1077" si="404">D1077*E1077</f>
        <v>0</v>
      </c>
      <c r="G1077" s="142">
        <f t="shared" ref="G1077" si="405">F1077/$H$9</f>
        <v>0</v>
      </c>
      <c r="H1077" s="142">
        <f>F1077*'Date Generale'!$D$58</f>
        <v>0</v>
      </c>
      <c r="I1077" s="142">
        <f t="shared" si="402"/>
        <v>0</v>
      </c>
      <c r="J1077" s="144">
        <f t="shared" si="403"/>
        <v>0</v>
      </c>
    </row>
    <row r="1078" spans="1:11" ht="15.75" thickBot="1">
      <c r="A1078" s="685" t="s">
        <v>35</v>
      </c>
      <c r="B1078" s="686"/>
      <c r="C1078" s="686"/>
      <c r="D1078" s="686"/>
      <c r="E1078" s="686"/>
      <c r="F1078" s="62">
        <f>SUM(F1075,F1072,F1069)</f>
        <v>0</v>
      </c>
      <c r="G1078" s="62">
        <f>SUM(G1075,G1072,G1069)</f>
        <v>0</v>
      </c>
      <c r="H1078" s="62">
        <f>SUM(H1075,H1072,H1069)</f>
        <v>0</v>
      </c>
      <c r="I1078" s="62">
        <f>SUM(I1075,I1072,I1069)</f>
        <v>0</v>
      </c>
      <c r="J1078" s="63">
        <f>SUM(J1075,J1072,J1069)</f>
        <v>0</v>
      </c>
    </row>
    <row r="1079" spans="1:11">
      <c r="A1079" s="38"/>
      <c r="B1079" s="39"/>
      <c r="C1079" s="39"/>
      <c r="D1079" s="39"/>
      <c r="E1079" s="39"/>
      <c r="F1079" s="39"/>
      <c r="G1079" s="39"/>
      <c r="H1079" s="39"/>
      <c r="I1079" s="39"/>
      <c r="J1079" s="39"/>
    </row>
    <row r="1080" spans="1:11">
      <c r="A1080" s="38"/>
      <c r="C1080" s="42"/>
      <c r="D1080" s="42"/>
      <c r="E1080" s="42"/>
      <c r="F1080" s="42"/>
      <c r="G1080" s="42"/>
      <c r="H1080" s="42"/>
      <c r="I1080" s="42"/>
      <c r="J1080" s="42"/>
    </row>
    <row r="1081" spans="1:11" ht="18.75">
      <c r="A1081" s="42"/>
      <c r="B1081" s="90" t="s">
        <v>37</v>
      </c>
      <c r="C1081" s="42"/>
      <c r="D1081" s="42"/>
      <c r="E1081" s="42"/>
      <c r="F1081" s="42"/>
      <c r="G1081" s="42"/>
      <c r="H1081" s="42"/>
      <c r="I1081" s="42"/>
      <c r="J1081" s="42"/>
    </row>
    <row r="1082" spans="1:11" ht="18.75">
      <c r="A1082" s="38"/>
      <c r="B1082" s="90" t="str">
        <f>'Date Generale'!$C$7</f>
        <v>S.C. Tehno Consoulting Solutions S.R.L.</v>
      </c>
      <c r="C1082" s="39"/>
      <c r="D1082" s="39"/>
      <c r="E1082" s="39"/>
      <c r="F1082" s="39"/>
      <c r="G1082" s="39"/>
      <c r="H1082" s="39"/>
      <c r="I1082" s="39"/>
      <c r="J1082" s="39"/>
    </row>
    <row r="1083" spans="1:11">
      <c r="A1083" s="35"/>
      <c r="B1083" s="93"/>
      <c r="C1083" s="94"/>
      <c r="D1083" s="95"/>
      <c r="E1083" s="96"/>
      <c r="F1083" s="96"/>
      <c r="G1083" s="95"/>
      <c r="H1083" s="95"/>
      <c r="I1083" s="95"/>
      <c r="J1083" s="95"/>
    </row>
    <row r="1084" spans="1:11">
      <c r="A1084" s="35"/>
      <c r="B1084" s="93"/>
      <c r="C1084" s="94"/>
      <c r="D1084" s="95"/>
      <c r="E1084" s="96"/>
      <c r="F1084" s="96"/>
      <c r="G1084" s="95"/>
      <c r="H1084" s="95"/>
      <c r="I1084" s="95"/>
      <c r="J1084" s="95"/>
    </row>
    <row r="1085" spans="1:11">
      <c r="A1085" s="35"/>
      <c r="B1085" s="98"/>
      <c r="C1085" s="94"/>
      <c r="D1085" s="95"/>
      <c r="E1085" s="96"/>
      <c r="F1085" s="96"/>
      <c r="G1085" s="95"/>
      <c r="H1085" s="95"/>
      <c r="I1085" s="95"/>
      <c r="J1085" s="95"/>
      <c r="K1085" s="67"/>
    </row>
    <row r="1086" spans="1:11" ht="15.75">
      <c r="A1086" s="41" t="str">
        <f>"Beneficiar: " &amp;'Date Generale'!$C$6</f>
        <v xml:space="preserve">Beneficiar: Judetul Arges </v>
      </c>
      <c r="B1086" s="41"/>
      <c r="C1086" s="42"/>
      <c r="D1086" s="42"/>
      <c r="E1086" s="69"/>
      <c r="F1086" s="42"/>
      <c r="G1086" s="42"/>
      <c r="H1086" s="42"/>
      <c r="I1086" s="42"/>
      <c r="J1086" s="42"/>
    </row>
    <row r="1087" spans="1:11" ht="15.75">
      <c r="A1087" s="41" t="str">
        <f>"Denumire proiect: " &amp; 'Date Generale'!$C$3</f>
        <v>Denumire proiect: Modernizare DJ 703B Serbanesti (DJ659) - Silistea, km 70+410 - 77+826, 7.416km, in comunele Rociu si Cateasca</v>
      </c>
      <c r="B1087" s="41"/>
      <c r="C1087" s="44"/>
      <c r="D1087" s="44"/>
      <c r="E1087" s="44"/>
      <c r="F1087" s="44"/>
      <c r="G1087" s="44"/>
      <c r="H1087" s="44"/>
      <c r="I1087" s="44"/>
      <c r="J1087" s="44"/>
    </row>
    <row r="1088" spans="1:11" ht="15.75">
      <c r="A1088" s="41"/>
      <c r="B1088" s="41"/>
      <c r="C1088" s="44"/>
      <c r="D1088" s="44"/>
      <c r="E1088" s="44"/>
      <c r="F1088" s="44"/>
      <c r="G1088" s="44"/>
      <c r="H1088" s="44"/>
      <c r="I1088" s="44"/>
      <c r="J1088" s="44"/>
    </row>
    <row r="1089" spans="1:10" ht="15.75">
      <c r="A1089" s="41" t="str">
        <f>'Date Generale'!$E$74</f>
        <v>Obiect 014: 0</v>
      </c>
      <c r="B1089" s="41"/>
      <c r="C1089" s="44"/>
      <c r="D1089" s="44"/>
      <c r="E1089" s="44"/>
      <c r="F1089" s="44"/>
      <c r="G1089" s="44"/>
      <c r="H1089" s="44"/>
      <c r="I1089" s="44"/>
      <c r="J1089" s="44"/>
    </row>
    <row r="1090" spans="1:10" ht="15.75">
      <c r="A1090" s="70"/>
      <c r="B1090" s="44"/>
      <c r="C1090" s="44"/>
      <c r="D1090" s="44"/>
      <c r="E1090" s="44"/>
      <c r="F1090" s="44"/>
      <c r="G1090" s="44"/>
      <c r="H1090" s="44"/>
      <c r="I1090" s="44"/>
      <c r="J1090" s="44"/>
    </row>
    <row r="1091" spans="1:10">
      <c r="A1091" s="687" t="s">
        <v>38</v>
      </c>
      <c r="B1091" s="687"/>
      <c r="C1091" s="687"/>
      <c r="D1091" s="687"/>
      <c r="E1091" s="687"/>
      <c r="F1091" s="687"/>
      <c r="G1091" s="687"/>
      <c r="H1091" s="687"/>
      <c r="I1091" s="687"/>
      <c r="J1091" s="687"/>
    </row>
    <row r="1092" spans="1:10">
      <c r="A1092" s="371"/>
      <c r="B1092" s="371"/>
      <c r="C1092" s="371"/>
      <c r="D1092" s="371"/>
      <c r="E1092" s="371"/>
      <c r="F1092" s="371"/>
      <c r="G1092" s="371"/>
      <c r="H1092" s="371"/>
      <c r="I1092" s="371"/>
      <c r="J1092" s="371"/>
    </row>
    <row r="1093" spans="1:10" ht="15.75" thickBot="1">
      <c r="A1093" s="42"/>
      <c r="B1093" s="46"/>
      <c r="C1093" s="71"/>
      <c r="D1093" s="71"/>
      <c r="E1093" s="71"/>
      <c r="F1093" s="33"/>
      <c r="G1093" s="47" t="s">
        <v>2</v>
      </c>
      <c r="H1093" s="48">
        <f>'Date Generale'!$C$54</f>
        <v>4.7233000000000001</v>
      </c>
      <c r="I1093" s="49" t="s">
        <v>3</v>
      </c>
      <c r="J1093" s="50" t="str">
        <f>'Date Generale'!$D$54</f>
        <v>21,06,2019</v>
      </c>
    </row>
    <row r="1094" spans="1:10" ht="15.75" thickBot="1">
      <c r="A1094" s="688" t="s">
        <v>4</v>
      </c>
      <c r="B1094" s="688" t="s">
        <v>5</v>
      </c>
      <c r="C1094" s="688" t="s">
        <v>39</v>
      </c>
      <c r="D1094" s="688" t="s">
        <v>40</v>
      </c>
      <c r="E1094" s="688" t="s">
        <v>228</v>
      </c>
      <c r="F1094" s="689" t="s">
        <v>160</v>
      </c>
      <c r="G1094" s="689"/>
      <c r="H1094" s="372" t="s">
        <v>7</v>
      </c>
      <c r="I1094" s="689" t="s">
        <v>159</v>
      </c>
      <c r="J1094" s="689"/>
    </row>
    <row r="1095" spans="1:10" ht="15.75" thickBot="1">
      <c r="A1095" s="688"/>
      <c r="B1095" s="688"/>
      <c r="C1095" s="688"/>
      <c r="D1095" s="688"/>
      <c r="E1095" s="688"/>
      <c r="F1095" s="51" t="s">
        <v>9</v>
      </c>
      <c r="G1095" s="51" t="s">
        <v>10</v>
      </c>
      <c r="H1095" s="51" t="s">
        <v>9</v>
      </c>
      <c r="I1095" s="51" t="s">
        <v>9</v>
      </c>
      <c r="J1095" s="51" t="s">
        <v>10</v>
      </c>
    </row>
    <row r="1096" spans="1:10" ht="15.75" thickBot="1">
      <c r="A1096" s="3">
        <v>1</v>
      </c>
      <c r="B1096" s="1">
        <v>2</v>
      </c>
      <c r="C1096" s="1">
        <v>3</v>
      </c>
      <c r="D1096" s="1">
        <v>4</v>
      </c>
      <c r="E1096" s="1">
        <v>5</v>
      </c>
      <c r="F1096" s="1">
        <v>6</v>
      </c>
      <c r="G1096" s="1">
        <v>7</v>
      </c>
      <c r="H1096" s="1">
        <v>8</v>
      </c>
      <c r="I1096" s="1">
        <v>9</v>
      </c>
      <c r="J1096" s="1">
        <v>10</v>
      </c>
    </row>
    <row r="1097" spans="1:10" ht="15.75" thickBot="1">
      <c r="A1097" s="683" t="s">
        <v>11</v>
      </c>
      <c r="B1097" s="684"/>
      <c r="C1097" s="684"/>
      <c r="D1097" s="684"/>
      <c r="E1097" s="684"/>
      <c r="F1097" s="72"/>
      <c r="G1097" s="72"/>
      <c r="H1097" s="72"/>
      <c r="I1097" s="72"/>
      <c r="J1097" s="73"/>
    </row>
    <row r="1098" spans="1:10">
      <c r="A1098" s="691" t="s">
        <v>41</v>
      </c>
      <c r="B1098" s="692"/>
      <c r="C1098" s="692"/>
      <c r="D1098" s="692"/>
      <c r="E1098" s="692"/>
      <c r="F1098" s="137">
        <f>SUM(F1099:F1100)</f>
        <v>0</v>
      </c>
      <c r="G1098" s="137">
        <f>SUM(G1099:G1100)</f>
        <v>0</v>
      </c>
      <c r="H1098" s="137">
        <f>SUM(H1099:H1100)</f>
        <v>0</v>
      </c>
      <c r="I1098" s="137">
        <f>SUM(I1099:I1100)</f>
        <v>0</v>
      </c>
      <c r="J1098" s="138">
        <f>SUM(J1099:J1100)</f>
        <v>0</v>
      </c>
    </row>
    <row r="1099" spans="1:10">
      <c r="A1099" s="74">
        <v>1</v>
      </c>
      <c r="B1099" s="75"/>
      <c r="C1099" s="76" t="str">
        <f>IF(B1099="","",VLOOKUP(B1099,'Lista articole'!$D$4:$E$2255,2,FALSE))</f>
        <v/>
      </c>
      <c r="D1099" s="77">
        <v>0</v>
      </c>
      <c r="E1099" s="78">
        <f>IF(B1099="",0,VLOOKUP(B1099,'Lista articole'!$D$4:$F$2163,3,FALSE))</f>
        <v>0</v>
      </c>
      <c r="F1099" s="77">
        <f>D1099*E1099</f>
        <v>0</v>
      </c>
      <c r="G1099" s="77">
        <f t="shared" ref="G1099:G1100" si="406">F1099/$H$9</f>
        <v>0</v>
      </c>
      <c r="H1099" s="77">
        <f>F1099*'Date Generale'!$D$58</f>
        <v>0</v>
      </c>
      <c r="I1099" s="77">
        <f>H1099+F1099</f>
        <v>0</v>
      </c>
      <c r="J1099" s="79">
        <f>I1099/$H$9</f>
        <v>0</v>
      </c>
    </row>
    <row r="1100" spans="1:10">
      <c r="A1100" s="74">
        <v>2</v>
      </c>
      <c r="B1100" s="75"/>
      <c r="C1100" s="76" t="str">
        <f>IF(B1100="","",VLOOKUP(B1100,'Lista articole'!$D$4:$E$2255,2,FALSE))</f>
        <v/>
      </c>
      <c r="D1100" s="77">
        <v>0</v>
      </c>
      <c r="E1100" s="78">
        <f>IF(B1100="",0,VLOOKUP(B1100,'Lista articole'!$D$4:$F$2163,3,FALSE))</f>
        <v>0</v>
      </c>
      <c r="F1100" s="77">
        <f>D1100*E1100</f>
        <v>0</v>
      </c>
      <c r="G1100" s="77">
        <f t="shared" si="406"/>
        <v>0</v>
      </c>
      <c r="H1100" s="77">
        <f>F1100*'Date Generale'!$D$58</f>
        <v>0</v>
      </c>
      <c r="I1100" s="77">
        <f>H1100+F1100</f>
        <v>0</v>
      </c>
      <c r="J1100" s="79">
        <f>I1100/$H$9</f>
        <v>0</v>
      </c>
    </row>
    <row r="1101" spans="1:10">
      <c r="A1101" s="693" t="s">
        <v>44</v>
      </c>
      <c r="B1101" s="694"/>
      <c r="C1101" s="694"/>
      <c r="D1101" s="694"/>
      <c r="E1101" s="694"/>
      <c r="F1101" s="56">
        <f>SUM(F1102:F1103)</f>
        <v>0</v>
      </c>
      <c r="G1101" s="56">
        <f>SUM(G1102:G1103)</f>
        <v>0</v>
      </c>
      <c r="H1101" s="56">
        <f>SUM(H1102:H1103)</f>
        <v>0</v>
      </c>
      <c r="I1101" s="56">
        <f>SUM(I1102:I1103)</f>
        <v>0</v>
      </c>
      <c r="J1101" s="57">
        <f>SUM(J1102:J1103)</f>
        <v>0</v>
      </c>
    </row>
    <row r="1102" spans="1:10">
      <c r="A1102" s="80">
        <v>1</v>
      </c>
      <c r="B1102" s="81"/>
      <c r="C1102" s="76" t="str">
        <f>IF(B1102="","",VLOOKUP(B1102,'Lista articole'!$D$4:$E$2255,2,FALSE))</f>
        <v/>
      </c>
      <c r="D1102" s="77">
        <v>0</v>
      </c>
      <c r="E1102" s="78">
        <f>IF(B1102="",0,VLOOKUP(B1102,'Lista articole'!$D$4:$F$2163,3,FALSE))</f>
        <v>0</v>
      </c>
      <c r="F1102" s="77">
        <f t="shared" ref="F1102:F1103" si="407">D1102*E1102</f>
        <v>0</v>
      </c>
      <c r="G1102" s="77">
        <f t="shared" ref="G1102:G1103" si="408">F1102/$H$9</f>
        <v>0</v>
      </c>
      <c r="H1102" s="77">
        <f>F1102*'Date Generale'!$D$58</f>
        <v>0</v>
      </c>
      <c r="I1102" s="77">
        <f t="shared" ref="I1102:I1103" si="409">H1102+F1102</f>
        <v>0</v>
      </c>
      <c r="J1102" s="79">
        <f t="shared" ref="J1102:J1103" si="410">I1102/$H$9</f>
        <v>0</v>
      </c>
    </row>
    <row r="1103" spans="1:10">
      <c r="A1103" s="80">
        <f t="shared" ref="A1103" si="411">A1102+1</f>
        <v>2</v>
      </c>
      <c r="B1103" s="81"/>
      <c r="C1103" s="76" t="str">
        <f>IF(B1103="","",VLOOKUP(B1103,'Lista articole'!$D$4:$E$2255,2,FALSE))</f>
        <v/>
      </c>
      <c r="D1103" s="77">
        <v>0</v>
      </c>
      <c r="E1103" s="78">
        <f>IF(B1103="",0,VLOOKUP(B1103,'Lista articole'!$D$4:$F$2163,3,FALSE))</f>
        <v>0</v>
      </c>
      <c r="F1103" s="77">
        <f t="shared" si="407"/>
        <v>0</v>
      </c>
      <c r="G1103" s="77">
        <f t="shared" si="408"/>
        <v>0</v>
      </c>
      <c r="H1103" s="77">
        <f>F1103*'Date Generale'!$D$58</f>
        <v>0</v>
      </c>
      <c r="I1103" s="77">
        <f t="shared" si="409"/>
        <v>0</v>
      </c>
      <c r="J1103" s="79">
        <f t="shared" si="410"/>
        <v>0</v>
      </c>
    </row>
    <row r="1104" spans="1:10">
      <c r="A1104" s="693" t="s">
        <v>45</v>
      </c>
      <c r="B1104" s="694"/>
      <c r="C1104" s="694"/>
      <c r="D1104" s="694"/>
      <c r="E1104" s="694"/>
      <c r="F1104" s="56">
        <f>SUM(F1105:F1106)</f>
        <v>0</v>
      </c>
      <c r="G1104" s="56">
        <f>SUM(G1105:G1106)</f>
        <v>0</v>
      </c>
      <c r="H1104" s="56">
        <f>SUM(H1105:H1106)</f>
        <v>0</v>
      </c>
      <c r="I1104" s="56">
        <f>SUM(I1105:I1106)</f>
        <v>0</v>
      </c>
      <c r="J1104" s="57">
        <f>SUM(J1105:J1106)</f>
        <v>0</v>
      </c>
    </row>
    <row r="1105" spans="1:10">
      <c r="A1105" s="80">
        <v>1</v>
      </c>
      <c r="B1105" s="81"/>
      <c r="C1105" s="76" t="str">
        <f>IF(B1105="","",VLOOKUP(B1105,'Lista articole'!$D$4:$E$2255,2,FALSE))</f>
        <v/>
      </c>
      <c r="D1105" s="77">
        <v>0</v>
      </c>
      <c r="E1105" s="78">
        <f>IF(B1105="",0,VLOOKUP(B1105,'Lista articole'!$D$4:$F$2163,3,FALSE))</f>
        <v>0</v>
      </c>
      <c r="F1105" s="77">
        <f t="shared" ref="F1105:F1106" si="412">D1105*E1105</f>
        <v>0</v>
      </c>
      <c r="G1105" s="77">
        <f t="shared" ref="G1105:G1106" si="413">F1105/$H$9</f>
        <v>0</v>
      </c>
      <c r="H1105" s="77">
        <f>F1105*'Date Generale'!$D$58</f>
        <v>0</v>
      </c>
      <c r="I1105" s="77">
        <f t="shared" ref="I1105:I1106" si="414">H1105+F1105</f>
        <v>0</v>
      </c>
      <c r="J1105" s="79">
        <f t="shared" ref="J1105:J1106" si="415">I1105/$H$9</f>
        <v>0</v>
      </c>
    </row>
    <row r="1106" spans="1:10">
      <c r="A1106" s="80">
        <v>2</v>
      </c>
      <c r="B1106" s="81"/>
      <c r="C1106" s="76" t="str">
        <f>IF(B1106="","",VLOOKUP(B1106,'Lista articole'!$D$4:$E$2255,2,FALSE))</f>
        <v/>
      </c>
      <c r="D1106" s="77">
        <v>0</v>
      </c>
      <c r="E1106" s="78">
        <f>IF(B1106="",0,VLOOKUP(B1106,'Lista articole'!$D$4:$F$2163,3,FALSE))</f>
        <v>0</v>
      </c>
      <c r="F1106" s="77">
        <f t="shared" si="412"/>
        <v>0</v>
      </c>
      <c r="G1106" s="77">
        <f t="shared" si="413"/>
        <v>0</v>
      </c>
      <c r="H1106" s="77">
        <f>F1106*'Date Generale'!$D$58</f>
        <v>0</v>
      </c>
      <c r="I1106" s="77">
        <f t="shared" si="414"/>
        <v>0</v>
      </c>
      <c r="J1106" s="79">
        <f t="shared" si="415"/>
        <v>0</v>
      </c>
    </row>
    <row r="1107" spans="1:10">
      <c r="A1107" s="693" t="s">
        <v>46</v>
      </c>
      <c r="B1107" s="694"/>
      <c r="C1107" s="694"/>
      <c r="D1107" s="694"/>
      <c r="E1107" s="694"/>
      <c r="F1107" s="56">
        <f>SUM(F1108:F1121)</f>
        <v>0</v>
      </c>
      <c r="G1107" s="56">
        <f>SUM(G1108:G1121)</f>
        <v>0</v>
      </c>
      <c r="H1107" s="56">
        <f>SUM(H1108:H1121)</f>
        <v>0</v>
      </c>
      <c r="I1107" s="56">
        <f>SUM(I1108:I1121)</f>
        <v>0</v>
      </c>
      <c r="J1107" s="57">
        <f>SUM(J1108:J1121)</f>
        <v>0</v>
      </c>
    </row>
    <row r="1108" spans="1:10">
      <c r="A1108" s="80">
        <v>1</v>
      </c>
      <c r="B1108" s="81"/>
      <c r="C1108" s="76" t="str">
        <f>IF(B1108="","",VLOOKUP(B1108,'Lista articole'!$D$4:$E$2255,2,FALSE))</f>
        <v/>
      </c>
      <c r="D1108" s="77">
        <v>0</v>
      </c>
      <c r="E1108" s="78">
        <f>IF(B1108="",0,VLOOKUP(B1108,'Lista articole'!$D$4:$F$2163,3,FALSE))</f>
        <v>0</v>
      </c>
      <c r="F1108" s="77">
        <f t="shared" ref="F1108:F1121" si="416">D1108*E1108</f>
        <v>0</v>
      </c>
      <c r="G1108" s="77">
        <f t="shared" ref="G1108:G1121" si="417">F1108/$H$9</f>
        <v>0</v>
      </c>
      <c r="H1108" s="77">
        <f>F1108*'Date Generale'!$D$58</f>
        <v>0</v>
      </c>
      <c r="I1108" s="77">
        <f t="shared" ref="I1108:I1121" si="418">H1108+F1108</f>
        <v>0</v>
      </c>
      <c r="J1108" s="79">
        <f t="shared" ref="J1108:J1121" si="419">I1108/$H$9</f>
        <v>0</v>
      </c>
    </row>
    <row r="1109" spans="1:10">
      <c r="A1109" s="80">
        <v>2</v>
      </c>
      <c r="B1109" s="81"/>
      <c r="C1109" s="76" t="str">
        <f>IF(B1109="","",VLOOKUP(B1109,'Lista articole'!$D$4:$E$2255,2,FALSE))</f>
        <v/>
      </c>
      <c r="D1109" s="77">
        <v>0</v>
      </c>
      <c r="E1109" s="78">
        <f>IF(B1109="",0,VLOOKUP(B1109,'Lista articole'!$D$4:$F$2163,3,FALSE))</f>
        <v>0</v>
      </c>
      <c r="F1109" s="77">
        <f t="shared" si="416"/>
        <v>0</v>
      </c>
      <c r="G1109" s="77">
        <f t="shared" si="417"/>
        <v>0</v>
      </c>
      <c r="H1109" s="77">
        <f>F1109*'Date Generale'!$D$58</f>
        <v>0</v>
      </c>
      <c r="I1109" s="77">
        <f t="shared" si="418"/>
        <v>0</v>
      </c>
      <c r="J1109" s="79">
        <f t="shared" si="419"/>
        <v>0</v>
      </c>
    </row>
    <row r="1110" spans="1:10">
      <c r="A1110" s="80">
        <v>3</v>
      </c>
      <c r="B1110" s="81"/>
      <c r="C1110" s="76" t="str">
        <f>IF(B1110="","",VLOOKUP(B1110,'Lista articole'!$D$4:$E$2255,2,FALSE))</f>
        <v/>
      </c>
      <c r="D1110" s="77">
        <v>0</v>
      </c>
      <c r="E1110" s="78">
        <f>IF(B1110="",0,VLOOKUP(B1110,'Lista articole'!$D$4:$F$2163,3,FALSE))</f>
        <v>0</v>
      </c>
      <c r="F1110" s="77">
        <f t="shared" si="416"/>
        <v>0</v>
      </c>
      <c r="G1110" s="77">
        <f t="shared" si="417"/>
        <v>0</v>
      </c>
      <c r="H1110" s="77">
        <f>F1110*'Date Generale'!$D$58</f>
        <v>0</v>
      </c>
      <c r="I1110" s="77">
        <f t="shared" si="418"/>
        <v>0</v>
      </c>
      <c r="J1110" s="79">
        <f t="shared" si="419"/>
        <v>0</v>
      </c>
    </row>
    <row r="1111" spans="1:10">
      <c r="A1111" s="80">
        <v>4</v>
      </c>
      <c r="B1111" s="81"/>
      <c r="C1111" s="76" t="str">
        <f>IF(B1111="","",VLOOKUP(B1111,'Lista articole'!$D$4:$E$2255,2,FALSE))</f>
        <v/>
      </c>
      <c r="D1111" s="77">
        <v>0</v>
      </c>
      <c r="E1111" s="78">
        <f>IF(B1111="",0,VLOOKUP(B1111,'Lista articole'!$D$4:$F$2163,3,FALSE))</f>
        <v>0</v>
      </c>
      <c r="F1111" s="77">
        <f t="shared" si="416"/>
        <v>0</v>
      </c>
      <c r="G1111" s="77">
        <f t="shared" si="417"/>
        <v>0</v>
      </c>
      <c r="H1111" s="77">
        <f>F1111*'Date Generale'!$D$58</f>
        <v>0</v>
      </c>
      <c r="I1111" s="77">
        <f t="shared" si="418"/>
        <v>0</v>
      </c>
      <c r="J1111" s="79">
        <f t="shared" si="419"/>
        <v>0</v>
      </c>
    </row>
    <row r="1112" spans="1:10">
      <c r="A1112" s="80">
        <v>5</v>
      </c>
      <c r="B1112" s="81"/>
      <c r="C1112" s="76" t="str">
        <f>IF(B1112="","",VLOOKUP(B1112,'Lista articole'!$D$4:$E$2255,2,FALSE))</f>
        <v/>
      </c>
      <c r="D1112" s="77">
        <v>0</v>
      </c>
      <c r="E1112" s="78">
        <f>IF(B1112="",0,VLOOKUP(B1112,'Lista articole'!$D$4:$F$2163,3,FALSE))</f>
        <v>0</v>
      </c>
      <c r="F1112" s="77">
        <f t="shared" si="416"/>
        <v>0</v>
      </c>
      <c r="G1112" s="77">
        <f t="shared" si="417"/>
        <v>0</v>
      </c>
      <c r="H1112" s="77">
        <f>F1112*'Date Generale'!$D$58</f>
        <v>0</v>
      </c>
      <c r="I1112" s="77">
        <f t="shared" si="418"/>
        <v>0</v>
      </c>
      <c r="J1112" s="79">
        <f t="shared" si="419"/>
        <v>0</v>
      </c>
    </row>
    <row r="1113" spans="1:10">
      <c r="A1113" s="80">
        <v>6</v>
      </c>
      <c r="B1113" s="81"/>
      <c r="C1113" s="76" t="str">
        <f>IF(B1113="","",VLOOKUP(B1113,'Lista articole'!$D$4:$E$2255,2,FALSE))</f>
        <v/>
      </c>
      <c r="D1113" s="77">
        <v>0</v>
      </c>
      <c r="E1113" s="78">
        <f>IF(B1113="",0,VLOOKUP(B1113,'Lista articole'!$D$4:$F$2163,3,FALSE))</f>
        <v>0</v>
      </c>
      <c r="F1113" s="77">
        <f t="shared" si="416"/>
        <v>0</v>
      </c>
      <c r="G1113" s="77">
        <f t="shared" si="417"/>
        <v>0</v>
      </c>
      <c r="H1113" s="77">
        <f>F1113*'Date Generale'!$D$58</f>
        <v>0</v>
      </c>
      <c r="I1113" s="77">
        <f t="shared" si="418"/>
        <v>0</v>
      </c>
      <c r="J1113" s="79">
        <f t="shared" si="419"/>
        <v>0</v>
      </c>
    </row>
    <row r="1114" spans="1:10">
      <c r="A1114" s="80">
        <v>7</v>
      </c>
      <c r="B1114" s="81"/>
      <c r="C1114" s="76" t="str">
        <f>IF(B1114="","",VLOOKUP(B1114,'Lista articole'!$D$4:$E$2255,2,FALSE))</f>
        <v/>
      </c>
      <c r="D1114" s="77">
        <v>0</v>
      </c>
      <c r="E1114" s="78">
        <f>IF(B1114="",0,VLOOKUP(B1114,'Lista articole'!$D$4:$F$2163,3,FALSE))</f>
        <v>0</v>
      </c>
      <c r="F1114" s="77">
        <f t="shared" si="416"/>
        <v>0</v>
      </c>
      <c r="G1114" s="77">
        <f t="shared" si="417"/>
        <v>0</v>
      </c>
      <c r="H1114" s="77">
        <f>F1114*'Date Generale'!$D$58</f>
        <v>0</v>
      </c>
      <c r="I1114" s="77">
        <f t="shared" si="418"/>
        <v>0</v>
      </c>
      <c r="J1114" s="79">
        <f t="shared" si="419"/>
        <v>0</v>
      </c>
    </row>
    <row r="1115" spans="1:10">
      <c r="A1115" s="80">
        <v>8</v>
      </c>
      <c r="B1115" s="81"/>
      <c r="C1115" s="76" t="str">
        <f>IF(B1115="","",VLOOKUP(B1115,'Lista articole'!$D$4:$E$2255,2,FALSE))</f>
        <v/>
      </c>
      <c r="D1115" s="77">
        <v>0</v>
      </c>
      <c r="E1115" s="78">
        <f>IF(B1115="",0,VLOOKUP(B1115,'Lista articole'!$D$4:$F$2163,3,FALSE))</f>
        <v>0</v>
      </c>
      <c r="F1115" s="77">
        <f t="shared" si="416"/>
        <v>0</v>
      </c>
      <c r="G1115" s="77">
        <f t="shared" si="417"/>
        <v>0</v>
      </c>
      <c r="H1115" s="77">
        <f>F1115*'Date Generale'!$D$58</f>
        <v>0</v>
      </c>
      <c r="I1115" s="77">
        <f t="shared" si="418"/>
        <v>0</v>
      </c>
      <c r="J1115" s="79">
        <f t="shared" si="419"/>
        <v>0</v>
      </c>
    </row>
    <row r="1116" spans="1:10">
      <c r="A1116" s="80">
        <v>9</v>
      </c>
      <c r="B1116" s="81"/>
      <c r="C1116" s="76" t="str">
        <f>IF(B1116="","",VLOOKUP(B1116,'Lista articole'!$D$4:$E$2255,2,FALSE))</f>
        <v/>
      </c>
      <c r="D1116" s="77">
        <v>0</v>
      </c>
      <c r="E1116" s="78">
        <f>IF(B1116="",0,VLOOKUP(B1116,'Lista articole'!$D$4:$F$2163,3,FALSE))</f>
        <v>0</v>
      </c>
      <c r="F1116" s="77">
        <f t="shared" si="416"/>
        <v>0</v>
      </c>
      <c r="G1116" s="77">
        <f t="shared" si="417"/>
        <v>0</v>
      </c>
      <c r="H1116" s="77">
        <f>F1116*'Date Generale'!$D$58</f>
        <v>0</v>
      </c>
      <c r="I1116" s="77">
        <f t="shared" si="418"/>
        <v>0</v>
      </c>
      <c r="J1116" s="79">
        <f t="shared" si="419"/>
        <v>0</v>
      </c>
    </row>
    <row r="1117" spans="1:10">
      <c r="A1117" s="80">
        <v>10</v>
      </c>
      <c r="B1117" s="81"/>
      <c r="C1117" s="76" t="str">
        <f>IF(B1117="","",VLOOKUP(B1117,'Lista articole'!$D$4:$E$2255,2,FALSE))</f>
        <v/>
      </c>
      <c r="D1117" s="77">
        <v>0</v>
      </c>
      <c r="E1117" s="78">
        <f>IF(B1117="",0,VLOOKUP(B1117,'Lista articole'!$D$4:$F$2163,3,FALSE))</f>
        <v>0</v>
      </c>
      <c r="F1117" s="77">
        <f t="shared" si="416"/>
        <v>0</v>
      </c>
      <c r="G1117" s="77">
        <f t="shared" si="417"/>
        <v>0</v>
      </c>
      <c r="H1117" s="77">
        <f>F1117*'Date Generale'!$D$58</f>
        <v>0</v>
      </c>
      <c r="I1117" s="77">
        <f t="shared" si="418"/>
        <v>0</v>
      </c>
      <c r="J1117" s="79">
        <f t="shared" si="419"/>
        <v>0</v>
      </c>
    </row>
    <row r="1118" spans="1:10">
      <c r="A1118" s="80">
        <v>11</v>
      </c>
      <c r="B1118" s="81"/>
      <c r="C1118" s="76" t="str">
        <f>IF(B1118="","",VLOOKUP(B1118,'Lista articole'!$D$4:$E$2255,2,FALSE))</f>
        <v/>
      </c>
      <c r="D1118" s="77">
        <v>0</v>
      </c>
      <c r="E1118" s="78">
        <f>IF(B1118="",0,VLOOKUP(B1118,'Lista articole'!$D$4:$F$2163,3,FALSE))</f>
        <v>0</v>
      </c>
      <c r="F1118" s="77">
        <f t="shared" si="416"/>
        <v>0</v>
      </c>
      <c r="G1118" s="77">
        <f t="shared" si="417"/>
        <v>0</v>
      </c>
      <c r="H1118" s="77">
        <f>F1118*'Date Generale'!$D$58</f>
        <v>0</v>
      </c>
      <c r="I1118" s="77">
        <f t="shared" si="418"/>
        <v>0</v>
      </c>
      <c r="J1118" s="79">
        <f t="shared" si="419"/>
        <v>0</v>
      </c>
    </row>
    <row r="1119" spans="1:10">
      <c r="A1119" s="80">
        <v>12</v>
      </c>
      <c r="B1119" s="81"/>
      <c r="C1119" s="76" t="str">
        <f>IF(B1119="","",VLOOKUP(B1119,'Lista articole'!$D$4:$E$2255,2,FALSE))</f>
        <v/>
      </c>
      <c r="D1119" s="77">
        <v>0</v>
      </c>
      <c r="E1119" s="78">
        <f>IF(B1119="",0,VLOOKUP(B1119,'Lista articole'!$D$4:$F$2163,3,FALSE))</f>
        <v>0</v>
      </c>
      <c r="F1119" s="77">
        <f t="shared" si="416"/>
        <v>0</v>
      </c>
      <c r="G1119" s="77">
        <f t="shared" si="417"/>
        <v>0</v>
      </c>
      <c r="H1119" s="77">
        <f>F1119*'Date Generale'!$D$58</f>
        <v>0</v>
      </c>
      <c r="I1119" s="77">
        <f t="shared" si="418"/>
        <v>0</v>
      </c>
      <c r="J1119" s="79">
        <f t="shared" si="419"/>
        <v>0</v>
      </c>
    </row>
    <row r="1120" spans="1:10">
      <c r="A1120" s="80">
        <v>13</v>
      </c>
      <c r="B1120" s="81"/>
      <c r="C1120" s="76" t="str">
        <f>IF(B1120="","",VLOOKUP(B1120,'Lista articole'!$D$4:$E$2255,2,FALSE))</f>
        <v/>
      </c>
      <c r="D1120" s="77">
        <v>0</v>
      </c>
      <c r="E1120" s="78">
        <f>IF(B1120="",0,VLOOKUP(B1120,'Lista articole'!$D$4:$F$2163,3,FALSE))</f>
        <v>0</v>
      </c>
      <c r="F1120" s="77">
        <f t="shared" si="416"/>
        <v>0</v>
      </c>
      <c r="G1120" s="77">
        <f t="shared" si="417"/>
        <v>0</v>
      </c>
      <c r="H1120" s="77">
        <f>F1120*'Date Generale'!$D$58</f>
        <v>0</v>
      </c>
      <c r="I1120" s="77">
        <f t="shared" si="418"/>
        <v>0</v>
      </c>
      <c r="J1120" s="79">
        <f t="shared" si="419"/>
        <v>0</v>
      </c>
    </row>
    <row r="1121" spans="1:10">
      <c r="A1121" s="80">
        <v>14</v>
      </c>
      <c r="B1121" s="81"/>
      <c r="C1121" s="76" t="str">
        <f>IF(B1121="","",VLOOKUP(B1121,'Lista articole'!$D$4:$E$2255,2,FALSE))</f>
        <v/>
      </c>
      <c r="D1121" s="77">
        <v>0</v>
      </c>
      <c r="E1121" s="78">
        <f>IF(B1121="",0,VLOOKUP(B1121,'Lista articole'!$D$4:$F$2163,3,FALSE))</f>
        <v>0</v>
      </c>
      <c r="F1121" s="77">
        <f t="shared" si="416"/>
        <v>0</v>
      </c>
      <c r="G1121" s="77">
        <f t="shared" si="417"/>
        <v>0</v>
      </c>
      <c r="H1121" s="77">
        <f>F1121*'Date Generale'!$D$58</f>
        <v>0</v>
      </c>
      <c r="I1121" s="77">
        <f t="shared" si="418"/>
        <v>0</v>
      </c>
      <c r="J1121" s="79">
        <f t="shared" si="419"/>
        <v>0</v>
      </c>
    </row>
    <row r="1122" spans="1:10">
      <c r="A1122" s="693" t="s">
        <v>50</v>
      </c>
      <c r="B1122" s="694"/>
      <c r="C1122" s="694"/>
      <c r="D1122" s="694"/>
      <c r="E1122" s="694"/>
      <c r="F1122" s="56">
        <f>SUM(F1123:F1124)</f>
        <v>0</v>
      </c>
      <c r="G1122" s="56">
        <f>SUM(G1123:G1124)</f>
        <v>0</v>
      </c>
      <c r="H1122" s="56">
        <f>SUM(H1123:H1124)</f>
        <v>0</v>
      </c>
      <c r="I1122" s="56">
        <f>SUM(I1123:I1124)</f>
        <v>0</v>
      </c>
      <c r="J1122" s="57">
        <f>SUM(J1123:J1124)</f>
        <v>0</v>
      </c>
    </row>
    <row r="1123" spans="1:10">
      <c r="A1123" s="80">
        <v>1</v>
      </c>
      <c r="B1123" s="81"/>
      <c r="C1123" s="76" t="str">
        <f>IF(B1123="","",VLOOKUP(B1123,'Lista articole'!$D$4:$E$2255,2,FALSE))</f>
        <v/>
      </c>
      <c r="D1123" s="77">
        <v>0</v>
      </c>
      <c r="E1123" s="78">
        <f>IF(B1123="",0,VLOOKUP(B1123,'Lista articole'!$D$4:$F$2163,3,FALSE))</f>
        <v>0</v>
      </c>
      <c r="F1123" s="77">
        <f t="shared" ref="F1123:F1124" si="420">D1123*E1123</f>
        <v>0</v>
      </c>
      <c r="G1123" s="77">
        <f t="shared" ref="G1123:G1124" si="421">F1123/$H$9</f>
        <v>0</v>
      </c>
      <c r="H1123" s="77">
        <f>F1123*'Date Generale'!$D$58</f>
        <v>0</v>
      </c>
      <c r="I1123" s="77">
        <f t="shared" ref="I1123:I1124" si="422">H1123+F1123</f>
        <v>0</v>
      </c>
      <c r="J1123" s="79">
        <f t="shared" ref="J1123:J1124" si="423">I1123/$H$9</f>
        <v>0</v>
      </c>
    </row>
    <row r="1124" spans="1:10">
      <c r="A1124" s="74">
        <f>A1123+1</f>
        <v>2</v>
      </c>
      <c r="B1124" s="75"/>
      <c r="C1124" s="76" t="str">
        <f>IF(B1124="","",VLOOKUP(B1124,'Lista articole'!$D$4:$E$2255,2,FALSE))</f>
        <v/>
      </c>
      <c r="D1124" s="77">
        <v>0</v>
      </c>
      <c r="E1124" s="78">
        <f>IF(B1124="",0,VLOOKUP(B1124,'Lista articole'!$D$4:$F$2163,3,FALSE))</f>
        <v>0</v>
      </c>
      <c r="F1124" s="77">
        <f t="shared" si="420"/>
        <v>0</v>
      </c>
      <c r="G1124" s="77">
        <f t="shared" si="421"/>
        <v>0</v>
      </c>
      <c r="H1124" s="77">
        <f>F1124*'Date Generale'!$D$58</f>
        <v>0</v>
      </c>
      <c r="I1124" s="77">
        <f t="shared" si="422"/>
        <v>0</v>
      </c>
      <c r="J1124" s="79">
        <f t="shared" si="423"/>
        <v>0</v>
      </c>
    </row>
    <row r="1125" spans="1:10">
      <c r="A1125" s="693" t="s">
        <v>51</v>
      </c>
      <c r="B1125" s="694"/>
      <c r="C1125" s="694"/>
      <c r="D1125" s="694"/>
      <c r="E1125" s="694"/>
      <c r="F1125" s="56">
        <f>SUM(F1126:F1127)</f>
        <v>0</v>
      </c>
      <c r="G1125" s="56">
        <f>SUM(G1126:G1127)</f>
        <v>0</v>
      </c>
      <c r="H1125" s="56">
        <f>SUM(H1126:H1127)</f>
        <v>0</v>
      </c>
      <c r="I1125" s="56">
        <f>SUM(I1126:I1127)</f>
        <v>0</v>
      </c>
      <c r="J1125" s="57">
        <f>SUM(J1126:J1127)</f>
        <v>0</v>
      </c>
    </row>
    <row r="1126" spans="1:10">
      <c r="A1126" s="80">
        <v>1</v>
      </c>
      <c r="B1126" s="81"/>
      <c r="C1126" s="76" t="str">
        <f>IF(B1126="","",VLOOKUP(B1126,'Lista articole'!$D$4:$E$2255,2,FALSE))</f>
        <v/>
      </c>
      <c r="D1126" s="77">
        <v>0</v>
      </c>
      <c r="E1126" s="78">
        <f>IF(B1126="",0,VLOOKUP(B1126,'Lista articole'!$D$4:$F$2163,3,FALSE))</f>
        <v>0</v>
      </c>
      <c r="F1126" s="77">
        <f t="shared" ref="F1126:F1127" si="424">D1126*E1126</f>
        <v>0</v>
      </c>
      <c r="G1126" s="77">
        <f t="shared" ref="G1126:G1127" si="425">F1126/$H$9</f>
        <v>0</v>
      </c>
      <c r="H1126" s="77">
        <f>F1126*'Date Generale'!$D$58</f>
        <v>0</v>
      </c>
      <c r="I1126" s="77">
        <f t="shared" ref="I1126:I1127" si="426">H1126+F1126</f>
        <v>0</v>
      </c>
      <c r="J1126" s="79">
        <f t="shared" ref="J1126:J1127" si="427">I1126/$H$9</f>
        <v>0</v>
      </c>
    </row>
    <row r="1127" spans="1:10">
      <c r="A1127" s="74">
        <f>A1126+1</f>
        <v>2</v>
      </c>
      <c r="B1127" s="75"/>
      <c r="C1127" s="76" t="str">
        <f>IF(B1127="","",VLOOKUP(B1127,'Lista articole'!$D$4:$E$2255,2,FALSE))</f>
        <v/>
      </c>
      <c r="D1127" s="77">
        <v>0</v>
      </c>
      <c r="E1127" s="78">
        <f>IF(B1127="",0,VLOOKUP(B1127,'Lista articole'!$D$4:$F$2163,3,FALSE))</f>
        <v>0</v>
      </c>
      <c r="F1127" s="77">
        <f t="shared" si="424"/>
        <v>0</v>
      </c>
      <c r="G1127" s="77">
        <f t="shared" si="425"/>
        <v>0</v>
      </c>
      <c r="H1127" s="77">
        <f>F1127*'Date Generale'!$D$58</f>
        <v>0</v>
      </c>
      <c r="I1127" s="77">
        <f t="shared" si="426"/>
        <v>0</v>
      </c>
      <c r="J1127" s="79">
        <f t="shared" si="427"/>
        <v>0</v>
      </c>
    </row>
    <row r="1128" spans="1:10">
      <c r="A1128" s="693" t="s">
        <v>52</v>
      </c>
      <c r="B1128" s="694"/>
      <c r="C1128" s="694"/>
      <c r="D1128" s="694"/>
      <c r="E1128" s="694"/>
      <c r="F1128" s="56">
        <f>SUM(F1129:F1130)</f>
        <v>0</v>
      </c>
      <c r="G1128" s="56">
        <f>SUM(G1129:G1130)</f>
        <v>0</v>
      </c>
      <c r="H1128" s="56">
        <f>SUM(H1129:H1130)</f>
        <v>0</v>
      </c>
      <c r="I1128" s="56">
        <f>SUM(I1129:I1130)</f>
        <v>0</v>
      </c>
      <c r="J1128" s="57">
        <f>SUM(J1129:J1130)</f>
        <v>0</v>
      </c>
    </row>
    <row r="1129" spans="1:10">
      <c r="A1129" s="80">
        <v>1</v>
      </c>
      <c r="B1129" s="81"/>
      <c r="C1129" s="76" t="str">
        <f>IF(B1129="","",VLOOKUP(B1129,'Lista articole'!$D$4:$E$2255,2,FALSE))</f>
        <v/>
      </c>
      <c r="D1129" s="77">
        <v>0</v>
      </c>
      <c r="E1129" s="78">
        <f>IF(B1129="",0,VLOOKUP(B1129,'Lista articole'!$D$4:$F$2163,3,FALSE))</f>
        <v>0</v>
      </c>
      <c r="F1129" s="77">
        <f>D1129*E1129</f>
        <v>0</v>
      </c>
      <c r="G1129" s="77">
        <f>F1129/$H$9</f>
        <v>0</v>
      </c>
      <c r="H1129" s="77">
        <f>F1129*'Date Generale'!$D$58</f>
        <v>0</v>
      </c>
      <c r="I1129" s="77">
        <f t="shared" ref="I1129:I1130" si="428">H1129+F1129</f>
        <v>0</v>
      </c>
      <c r="J1129" s="79">
        <f t="shared" ref="J1129:J1130" si="429">I1129/$H$9</f>
        <v>0</v>
      </c>
    </row>
    <row r="1130" spans="1:10">
      <c r="A1130" s="74">
        <f>A1129+1</f>
        <v>2</v>
      </c>
      <c r="B1130" s="75"/>
      <c r="C1130" s="76" t="str">
        <f>IF(B1130="","",VLOOKUP(B1130,'Lista articole'!$D$4:$E$2255,2,FALSE))</f>
        <v/>
      </c>
      <c r="D1130" s="77">
        <v>0</v>
      </c>
      <c r="E1130" s="78">
        <f>IF(B1130="",0,VLOOKUP(B1130,'Lista articole'!$D$4:$F$2163,3,FALSE))</f>
        <v>0</v>
      </c>
      <c r="F1130" s="77">
        <f t="shared" ref="F1130" si="430">D1130*E1130</f>
        <v>0</v>
      </c>
      <c r="G1130" s="77">
        <f t="shared" ref="G1130" si="431">F1130/$H$9</f>
        <v>0</v>
      </c>
      <c r="H1130" s="77">
        <f>F1130*'Date Generale'!$D$58</f>
        <v>0</v>
      </c>
      <c r="I1130" s="77">
        <f t="shared" si="428"/>
        <v>0</v>
      </c>
      <c r="J1130" s="79">
        <f t="shared" si="429"/>
        <v>0</v>
      </c>
    </row>
    <row r="1131" spans="1:10">
      <c r="A1131" s="693" t="s">
        <v>53</v>
      </c>
      <c r="B1131" s="694"/>
      <c r="C1131" s="694"/>
      <c r="D1131" s="694"/>
      <c r="E1131" s="694"/>
      <c r="F1131" s="56">
        <f>SUM(F1132:F1133)</f>
        <v>0</v>
      </c>
      <c r="G1131" s="56">
        <f>SUM(G1132:G1133)</f>
        <v>0</v>
      </c>
      <c r="H1131" s="56">
        <f>SUM(H1132:H1133)</f>
        <v>0</v>
      </c>
      <c r="I1131" s="56">
        <f>SUM(I1132:I1133)</f>
        <v>0</v>
      </c>
      <c r="J1131" s="57">
        <f>SUM(J1132:J1133)</f>
        <v>0</v>
      </c>
    </row>
    <row r="1132" spans="1:10">
      <c r="A1132" s="80">
        <v>1</v>
      </c>
      <c r="B1132" s="81"/>
      <c r="C1132" s="76" t="str">
        <f>IF(B1132="","",VLOOKUP(B1132,'Lista articole'!$D$4:$E$2255,2,FALSE))</f>
        <v/>
      </c>
      <c r="D1132" s="77">
        <v>0</v>
      </c>
      <c r="E1132" s="78">
        <f>IF(B1132="",0,VLOOKUP(B1132,'Lista articole'!$D$4:$F$2163,3,FALSE))</f>
        <v>0</v>
      </c>
      <c r="F1132" s="77">
        <f>D1132*E1132</f>
        <v>0</v>
      </c>
      <c r="G1132" s="77">
        <f>F1132/$H$9</f>
        <v>0</v>
      </c>
      <c r="H1132" s="77">
        <f>F1132*'Date Generale'!$D$58</f>
        <v>0</v>
      </c>
      <c r="I1132" s="77">
        <f t="shared" ref="I1132:I1133" si="432">H1132+F1132</f>
        <v>0</v>
      </c>
      <c r="J1132" s="79">
        <f t="shared" ref="J1132:J1133" si="433">I1132/$H$9</f>
        <v>0</v>
      </c>
    </row>
    <row r="1133" spans="1:10" ht="15.75" thickBot="1">
      <c r="A1133" s="139">
        <f>A1132+1</f>
        <v>2</v>
      </c>
      <c r="B1133" s="140"/>
      <c r="C1133" s="141" t="str">
        <f>IF(B1133="","",VLOOKUP(B1133,'Lista articole'!$D$4:$E$2255,2,FALSE))</f>
        <v/>
      </c>
      <c r="D1133" s="142">
        <v>0</v>
      </c>
      <c r="E1133" s="143">
        <f>IF(B1133="",0,VLOOKUP(B1133,'Lista articole'!$D$4:$F$2163,3,FALSE))</f>
        <v>0</v>
      </c>
      <c r="F1133" s="142">
        <f t="shared" ref="F1133" si="434">D1133*E1133</f>
        <v>0</v>
      </c>
      <c r="G1133" s="142">
        <f t="shared" ref="G1133" si="435">F1133/$H$9</f>
        <v>0</v>
      </c>
      <c r="H1133" s="142">
        <f>F1133*'Date Generale'!$D$58</f>
        <v>0</v>
      </c>
      <c r="I1133" s="142">
        <f t="shared" si="432"/>
        <v>0</v>
      </c>
      <c r="J1133" s="144">
        <f t="shared" si="433"/>
        <v>0</v>
      </c>
    </row>
    <row r="1134" spans="1:10" ht="15.75" thickBot="1">
      <c r="A1134" s="685" t="s">
        <v>27</v>
      </c>
      <c r="B1134" s="686"/>
      <c r="C1134" s="686"/>
      <c r="D1134" s="686"/>
      <c r="E1134" s="686"/>
      <c r="F1134" s="82">
        <f>SUM(F1098,F1101,F1104,F1107,F1122,F1125,F1128,F1131)</f>
        <v>0</v>
      </c>
      <c r="G1134" s="82">
        <f>SUM(G1098,G1101,G1104,G1107,G1122,G1125,G1128,G1131)</f>
        <v>0</v>
      </c>
      <c r="H1134" s="82">
        <f>SUM(H1098,H1101,H1104,H1107,H1122,H1125,H1128,H1131)</f>
        <v>0</v>
      </c>
      <c r="I1134" s="82">
        <f>SUM(I1098,I1101,I1104,I1107,I1122,I1125,I1128,I1131)</f>
        <v>0</v>
      </c>
      <c r="J1134" s="83">
        <f>SUM(J1098,J1101,J1104,J1107,J1122,J1125,J1128,J1131)</f>
        <v>0</v>
      </c>
    </row>
    <row r="1135" spans="1:10" ht="15.75" thickBot="1">
      <c r="A1135" s="683" t="s">
        <v>28</v>
      </c>
      <c r="B1135" s="684"/>
      <c r="C1135" s="684"/>
      <c r="D1135" s="684"/>
      <c r="E1135" s="684"/>
      <c r="F1135" s="72"/>
      <c r="G1135" s="72"/>
      <c r="H1135" s="72"/>
      <c r="I1135" s="72"/>
      <c r="J1135" s="73"/>
    </row>
    <row r="1136" spans="1:10">
      <c r="A1136" s="145"/>
      <c r="B1136" s="695" t="s">
        <v>29</v>
      </c>
      <c r="C1136" s="695"/>
      <c r="D1136" s="695"/>
      <c r="E1136" s="695"/>
      <c r="F1136" s="146">
        <f>SUM(F1137:F1138)</f>
        <v>0</v>
      </c>
      <c r="G1136" s="146">
        <f>SUM(G1137:G1138)</f>
        <v>0</v>
      </c>
      <c r="H1136" s="146">
        <f>SUM(H1137:H1138)</f>
        <v>0</v>
      </c>
      <c r="I1136" s="146">
        <f>SUM(I1137:I1138)</f>
        <v>0</v>
      </c>
      <c r="J1136" s="147">
        <f>SUM(J1137:J1138)</f>
        <v>0</v>
      </c>
    </row>
    <row r="1137" spans="1:10">
      <c r="A1137" s="80">
        <v>1</v>
      </c>
      <c r="B1137" s="81"/>
      <c r="C1137" s="76" t="str">
        <f>IF(B1137="","",VLOOKUP(B1137,'Lista articole'!$D$4:$E$2255,2,FALSE))</f>
        <v/>
      </c>
      <c r="D1137" s="77">
        <v>0</v>
      </c>
      <c r="E1137" s="78">
        <f>IF(B1137="",0,VLOOKUP(B1137,'Lista articole'!$D$4:$F$2163,3,FALSE))</f>
        <v>0</v>
      </c>
      <c r="F1137" s="77">
        <f>D1137*E1137</f>
        <v>0</v>
      </c>
      <c r="G1137" s="77">
        <f>F1137/$H$9</f>
        <v>0</v>
      </c>
      <c r="H1137" s="77">
        <f>F1137*'Date Generale'!$D$58</f>
        <v>0</v>
      </c>
      <c r="I1137" s="77">
        <f t="shared" ref="I1137:I1138" si="436">H1137+F1137</f>
        <v>0</v>
      </c>
      <c r="J1137" s="79">
        <f t="shared" ref="J1137:J1138" si="437">I1137/$H$9</f>
        <v>0</v>
      </c>
    </row>
    <row r="1138" spans="1:10" ht="15.75" thickBot="1">
      <c r="A1138" s="139">
        <f>A1137+1</f>
        <v>2</v>
      </c>
      <c r="B1138" s="140"/>
      <c r="C1138" s="141" t="str">
        <f>IF(B1138="","",VLOOKUP(B1138,'Lista articole'!$D$4:$E$2255,2,FALSE))</f>
        <v/>
      </c>
      <c r="D1138" s="142">
        <v>0</v>
      </c>
      <c r="E1138" s="143">
        <f>IF(B1138="",0,VLOOKUP(B1138,'Lista articole'!$D$4:$F$2163,3,FALSE))</f>
        <v>0</v>
      </c>
      <c r="F1138" s="142">
        <f t="shared" ref="F1138" si="438">D1138*E1138</f>
        <v>0</v>
      </c>
      <c r="G1138" s="142">
        <f t="shared" ref="G1138" si="439">F1138/$H$9</f>
        <v>0</v>
      </c>
      <c r="H1138" s="142">
        <f>F1138*'Date Generale'!$D$58</f>
        <v>0</v>
      </c>
      <c r="I1138" s="142">
        <f t="shared" si="436"/>
        <v>0</v>
      </c>
      <c r="J1138" s="144">
        <f t="shared" si="437"/>
        <v>0</v>
      </c>
    </row>
    <row r="1139" spans="1:10" ht="15.75" thickBot="1">
      <c r="A1139" s="685" t="s">
        <v>30</v>
      </c>
      <c r="B1139" s="686"/>
      <c r="C1139" s="686"/>
      <c r="D1139" s="686"/>
      <c r="E1139" s="686"/>
      <c r="F1139" s="85">
        <f>F1136</f>
        <v>0</v>
      </c>
      <c r="G1139" s="85">
        <f>G1136</f>
        <v>0</v>
      </c>
      <c r="H1139" s="85">
        <f>H1136</f>
        <v>0</v>
      </c>
      <c r="I1139" s="85">
        <f>I1136</f>
        <v>0</v>
      </c>
      <c r="J1139" s="86">
        <f>J1136</f>
        <v>0</v>
      </c>
    </row>
    <row r="1140" spans="1:10" ht="15.75" thickBot="1">
      <c r="A1140" s="683" t="s">
        <v>31</v>
      </c>
      <c r="B1140" s="684"/>
      <c r="C1140" s="684"/>
      <c r="D1140" s="684"/>
      <c r="E1140" s="684"/>
      <c r="F1140" s="72"/>
      <c r="G1140" s="72"/>
      <c r="H1140" s="72"/>
      <c r="I1140" s="72"/>
      <c r="J1140" s="73"/>
    </row>
    <row r="1141" spans="1:10">
      <c r="A1141" s="145"/>
      <c r="B1141" s="695" t="s">
        <v>32</v>
      </c>
      <c r="C1141" s="695"/>
      <c r="D1141" s="695"/>
      <c r="E1141" s="695"/>
      <c r="F1141" s="148">
        <f>SUM(F1142:F1143)</f>
        <v>0</v>
      </c>
      <c r="G1141" s="148">
        <f>SUM(G1142:G1143)</f>
        <v>0</v>
      </c>
      <c r="H1141" s="148">
        <f>SUM(H1142:H1143)</f>
        <v>0</v>
      </c>
      <c r="I1141" s="148">
        <f>SUM(I1142:I1143)</f>
        <v>0</v>
      </c>
      <c r="J1141" s="149">
        <f>SUM(J1142:J1143)</f>
        <v>0</v>
      </c>
    </row>
    <row r="1142" spans="1:10">
      <c r="A1142" s="80">
        <v>1</v>
      </c>
      <c r="B1142" s="81"/>
      <c r="C1142" s="76" t="str">
        <f>IF(B1142="","",VLOOKUP(B1142,'Lista articole'!$D$4:$E$2255,2,FALSE))</f>
        <v/>
      </c>
      <c r="D1142" s="77">
        <v>0</v>
      </c>
      <c r="E1142" s="78">
        <f>IF(B1142="",0,VLOOKUP(B1142,'Lista articole'!$D$4:$F$2163,3,FALSE))</f>
        <v>0</v>
      </c>
      <c r="F1142" s="77">
        <f>D1142*E1142</f>
        <v>0</v>
      </c>
      <c r="G1142" s="77">
        <f>F1142/$H$9</f>
        <v>0</v>
      </c>
      <c r="H1142" s="77">
        <f>F1142*'Date Generale'!$D$58</f>
        <v>0</v>
      </c>
      <c r="I1142" s="77">
        <f t="shared" ref="I1142:I1143" si="440">H1142+F1142</f>
        <v>0</v>
      </c>
      <c r="J1142" s="79">
        <f t="shared" ref="J1142:J1143" si="441">I1142/$H$9</f>
        <v>0</v>
      </c>
    </row>
    <row r="1143" spans="1:10">
      <c r="A1143" s="74">
        <f>A1142+1</f>
        <v>2</v>
      </c>
      <c r="B1143" s="75"/>
      <c r="C1143" s="76" t="str">
        <f>IF(B1143="","",VLOOKUP(B1143,'Lista articole'!$D$4:$E$2255,2,FALSE))</f>
        <v/>
      </c>
      <c r="D1143" s="77">
        <v>0</v>
      </c>
      <c r="E1143" s="78">
        <f>IF(B1143="",0,VLOOKUP(B1143,'Lista articole'!$D$4:$F$2163,3,FALSE))</f>
        <v>0</v>
      </c>
      <c r="F1143" s="77">
        <f t="shared" ref="F1143" si="442">D1143*E1143</f>
        <v>0</v>
      </c>
      <c r="G1143" s="77">
        <f t="shared" ref="G1143" si="443">F1143/$H$9</f>
        <v>0</v>
      </c>
      <c r="H1143" s="77">
        <f>F1143*'Date Generale'!$D$58</f>
        <v>0</v>
      </c>
      <c r="I1143" s="77">
        <f t="shared" si="440"/>
        <v>0</v>
      </c>
      <c r="J1143" s="79">
        <f t="shared" si="441"/>
        <v>0</v>
      </c>
    </row>
    <row r="1144" spans="1:10">
      <c r="A1144" s="87"/>
      <c r="B1144" s="696" t="s">
        <v>33</v>
      </c>
      <c r="C1144" s="696"/>
      <c r="D1144" s="696"/>
      <c r="E1144" s="696"/>
      <c r="F1144" s="88">
        <f>SUM(F1145:F1146)</f>
        <v>0</v>
      </c>
      <c r="G1144" s="88">
        <f>SUM(G1145:G1146)</f>
        <v>0</v>
      </c>
      <c r="H1144" s="88">
        <f>SUM(H1145:H1146)</f>
        <v>0</v>
      </c>
      <c r="I1144" s="88">
        <f>SUM(I1145:I1146)</f>
        <v>0</v>
      </c>
      <c r="J1144" s="89">
        <f>SUM(J1145:J1146)</f>
        <v>0</v>
      </c>
    </row>
    <row r="1145" spans="1:10">
      <c r="A1145" s="80">
        <v>1</v>
      </c>
      <c r="B1145" s="81"/>
      <c r="C1145" s="76" t="str">
        <f>IF(B1145="","",VLOOKUP(B1145,'Lista articole'!$D$4:$E$2255,2,FALSE))</f>
        <v/>
      </c>
      <c r="D1145" s="77">
        <v>0</v>
      </c>
      <c r="E1145" s="78">
        <f>IF(B1145="",0,VLOOKUP(B1145,'Lista articole'!$D$4:$F$2163,3,FALSE))</f>
        <v>0</v>
      </c>
      <c r="F1145" s="77">
        <f>D1145*E1145</f>
        <v>0</v>
      </c>
      <c r="G1145" s="77">
        <f>F1145/$H$9</f>
        <v>0</v>
      </c>
      <c r="H1145" s="77">
        <f>F1145*'Date Generale'!$D$58</f>
        <v>0</v>
      </c>
      <c r="I1145" s="77">
        <f t="shared" ref="I1145:I1146" si="444">H1145+F1145</f>
        <v>0</v>
      </c>
      <c r="J1145" s="79">
        <f t="shared" ref="J1145:J1146" si="445">I1145/$H$9</f>
        <v>0</v>
      </c>
    </row>
    <row r="1146" spans="1:10">
      <c r="A1146" s="74">
        <f>A1145+1</f>
        <v>2</v>
      </c>
      <c r="B1146" s="75"/>
      <c r="C1146" s="76" t="str">
        <f>IF(B1146="","",VLOOKUP(B1146,'Lista articole'!$D$4:$E$2255,2,FALSE))</f>
        <v/>
      </c>
      <c r="D1146" s="77">
        <v>0</v>
      </c>
      <c r="E1146" s="78">
        <f>IF(B1146="",0,VLOOKUP(B1146,'Lista articole'!$D$4:$F$2163,3,FALSE))</f>
        <v>0</v>
      </c>
      <c r="F1146" s="77">
        <f t="shared" ref="F1146" si="446">D1146*E1146</f>
        <v>0</v>
      </c>
      <c r="G1146" s="77">
        <f t="shared" ref="G1146" si="447">F1146/$H$9</f>
        <v>0</v>
      </c>
      <c r="H1146" s="77">
        <f>F1146*'Date Generale'!$D$58</f>
        <v>0</v>
      </c>
      <c r="I1146" s="77">
        <f t="shared" si="444"/>
        <v>0</v>
      </c>
      <c r="J1146" s="79">
        <f t="shared" si="445"/>
        <v>0</v>
      </c>
    </row>
    <row r="1147" spans="1:10">
      <c r="A1147" s="87"/>
      <c r="B1147" s="696" t="s">
        <v>34</v>
      </c>
      <c r="C1147" s="696"/>
      <c r="D1147" s="696"/>
      <c r="E1147" s="696"/>
      <c r="F1147" s="88">
        <f>SUM(F1148:F1149)</f>
        <v>0</v>
      </c>
      <c r="G1147" s="88">
        <f>SUM(G1148:G1149)</f>
        <v>0</v>
      </c>
      <c r="H1147" s="88">
        <f>SUM(H1148:H1149)</f>
        <v>0</v>
      </c>
      <c r="I1147" s="88">
        <f>SUM(I1148:I1149)</f>
        <v>0</v>
      </c>
      <c r="J1147" s="89">
        <f>SUM(J1148:J1149)</f>
        <v>0</v>
      </c>
    </row>
    <row r="1148" spans="1:10">
      <c r="A1148" s="80">
        <v>1</v>
      </c>
      <c r="B1148" s="81"/>
      <c r="C1148" s="76" t="str">
        <f>IF(B1148="","",VLOOKUP(B1148,'Lista articole'!$D$4:$E$2255,2,FALSE))</f>
        <v/>
      </c>
      <c r="D1148" s="77">
        <v>0</v>
      </c>
      <c r="E1148" s="78">
        <f>IF(B1148="",0,VLOOKUP(B1148,'Lista articole'!$D$4:$F$2163,3,FALSE))</f>
        <v>0</v>
      </c>
      <c r="F1148" s="77">
        <f>D1148*E1148</f>
        <v>0</v>
      </c>
      <c r="G1148" s="77">
        <f>F1148/$H$9</f>
        <v>0</v>
      </c>
      <c r="H1148" s="77">
        <f>F1148*'Date Generale'!$D$58</f>
        <v>0</v>
      </c>
      <c r="I1148" s="77">
        <f t="shared" ref="I1148:I1149" si="448">H1148+F1148</f>
        <v>0</v>
      </c>
      <c r="J1148" s="79">
        <f t="shared" ref="J1148:J1149" si="449">I1148/$H$9</f>
        <v>0</v>
      </c>
    </row>
    <row r="1149" spans="1:10" ht="15.75" thickBot="1">
      <c r="A1149" s="139">
        <f>A1148+1</f>
        <v>2</v>
      </c>
      <c r="B1149" s="140"/>
      <c r="C1149" s="141" t="str">
        <f>IF(B1149="","",VLOOKUP(B1149,'Lista articole'!$D$4:$E$2255,2,FALSE))</f>
        <v/>
      </c>
      <c r="D1149" s="142">
        <v>0</v>
      </c>
      <c r="E1149" s="143">
        <f>IF(B1149="",0,VLOOKUP(B1149,'Lista articole'!$D$4:$F$2163,3,FALSE))</f>
        <v>0</v>
      </c>
      <c r="F1149" s="142">
        <f t="shared" ref="F1149" si="450">D1149*E1149</f>
        <v>0</v>
      </c>
      <c r="G1149" s="142">
        <f t="shared" ref="G1149" si="451">F1149/$H$9</f>
        <v>0</v>
      </c>
      <c r="H1149" s="142">
        <f>F1149*'Date Generale'!$D$58</f>
        <v>0</v>
      </c>
      <c r="I1149" s="142">
        <f t="shared" si="448"/>
        <v>0</v>
      </c>
      <c r="J1149" s="144">
        <f t="shared" si="449"/>
        <v>0</v>
      </c>
    </row>
    <row r="1150" spans="1:10" ht="15.75" thickBot="1">
      <c r="A1150" s="685" t="s">
        <v>35</v>
      </c>
      <c r="B1150" s="686"/>
      <c r="C1150" s="686"/>
      <c r="D1150" s="686"/>
      <c r="E1150" s="686"/>
      <c r="F1150" s="62">
        <f>SUM(F1147,F1144,F1141)</f>
        <v>0</v>
      </c>
      <c r="G1150" s="62">
        <f>SUM(G1147,G1144,G1141)</f>
        <v>0</v>
      </c>
      <c r="H1150" s="62">
        <f>SUM(H1147,H1144,H1141)</f>
        <v>0</v>
      </c>
      <c r="I1150" s="62">
        <f>SUM(I1147,I1144,I1141)</f>
        <v>0</v>
      </c>
      <c r="J1150" s="63">
        <f>SUM(J1147,J1144,J1141)</f>
        <v>0</v>
      </c>
    </row>
    <row r="1151" spans="1:10">
      <c r="A1151" s="38"/>
      <c r="B1151" s="39"/>
      <c r="C1151" s="39"/>
      <c r="D1151" s="39"/>
      <c r="E1151" s="39"/>
      <c r="F1151" s="39"/>
      <c r="G1151" s="39"/>
      <c r="H1151" s="39"/>
      <c r="I1151" s="39"/>
      <c r="J1151" s="39"/>
    </row>
    <row r="1152" spans="1:10">
      <c r="A1152" s="38"/>
      <c r="C1152" s="42"/>
      <c r="D1152" s="42"/>
      <c r="E1152" s="42"/>
      <c r="F1152" s="42"/>
      <c r="G1152" s="42"/>
      <c r="H1152" s="42"/>
      <c r="I1152" s="42"/>
      <c r="J1152" s="42"/>
    </row>
    <row r="1153" spans="1:11" ht="18.75">
      <c r="A1153" s="42"/>
      <c r="B1153" s="90" t="s">
        <v>37</v>
      </c>
      <c r="C1153" s="42"/>
      <c r="D1153" s="42"/>
      <c r="E1153" s="42"/>
      <c r="F1153" s="42"/>
      <c r="G1153" s="42"/>
      <c r="H1153" s="42"/>
      <c r="I1153" s="42"/>
      <c r="J1153" s="42"/>
    </row>
    <row r="1154" spans="1:11" ht="18.75">
      <c r="A1154" s="38"/>
      <c r="B1154" s="90" t="str">
        <f>'Date Generale'!$C$7</f>
        <v>S.C. Tehno Consoulting Solutions S.R.L.</v>
      </c>
      <c r="C1154" s="39"/>
      <c r="D1154" s="39"/>
      <c r="E1154" s="39"/>
      <c r="F1154" s="39"/>
      <c r="G1154" s="39"/>
      <c r="H1154" s="39"/>
      <c r="I1154" s="39"/>
      <c r="J1154" s="39"/>
    </row>
    <row r="1155" spans="1:11">
      <c r="A1155" s="35"/>
      <c r="B1155" s="93"/>
      <c r="C1155" s="94"/>
      <c r="D1155" s="95"/>
      <c r="E1155" s="96"/>
      <c r="F1155" s="96"/>
      <c r="G1155" s="95"/>
      <c r="H1155" s="95"/>
      <c r="I1155" s="95"/>
      <c r="J1155" s="95"/>
    </row>
    <row r="1156" spans="1:11">
      <c r="A1156" s="35"/>
      <c r="B1156" s="93"/>
      <c r="C1156" s="94"/>
      <c r="D1156" s="95"/>
      <c r="E1156" s="96"/>
      <c r="F1156" s="96"/>
      <c r="G1156" s="95"/>
      <c r="H1156" s="95"/>
      <c r="I1156" s="95"/>
      <c r="J1156" s="95"/>
    </row>
    <row r="1157" spans="1:11">
      <c r="A1157" s="35"/>
      <c r="B1157" s="98"/>
      <c r="C1157" s="94"/>
      <c r="D1157" s="95"/>
      <c r="E1157" s="96"/>
      <c r="F1157" s="96"/>
      <c r="G1157" s="95"/>
      <c r="H1157" s="95"/>
      <c r="I1157" s="95"/>
      <c r="J1157" s="95"/>
      <c r="K1157" s="67"/>
    </row>
    <row r="1158" spans="1:11" ht="15.75">
      <c r="A1158" s="41" t="str">
        <f>"Beneficiar: " &amp;'Date Generale'!$C$6</f>
        <v xml:space="preserve">Beneficiar: Judetul Arges </v>
      </c>
      <c r="B1158" s="41"/>
      <c r="C1158" s="42"/>
      <c r="D1158" s="42"/>
      <c r="E1158" s="69"/>
      <c r="F1158" s="42"/>
      <c r="G1158" s="42"/>
      <c r="H1158" s="42"/>
      <c r="I1158" s="42"/>
      <c r="J1158" s="42"/>
    </row>
    <row r="1159" spans="1:11" ht="15.75">
      <c r="A1159" s="41" t="str">
        <f>"Denumire proiect: " &amp; 'Date Generale'!$C$3</f>
        <v>Denumire proiect: Modernizare DJ 703B Serbanesti (DJ659) - Silistea, km 70+410 - 77+826, 7.416km, in comunele Rociu si Cateasca</v>
      </c>
      <c r="B1159" s="41"/>
      <c r="C1159" s="44"/>
      <c r="D1159" s="44"/>
      <c r="E1159" s="44"/>
      <c r="F1159" s="44"/>
      <c r="G1159" s="44"/>
      <c r="H1159" s="44"/>
      <c r="I1159" s="44"/>
      <c r="J1159" s="44"/>
    </row>
    <row r="1160" spans="1:11" ht="15.75">
      <c r="A1160" s="41"/>
      <c r="B1160" s="41"/>
      <c r="C1160" s="44"/>
      <c r="D1160" s="44"/>
      <c r="E1160" s="44"/>
      <c r="F1160" s="44"/>
      <c r="G1160" s="44"/>
      <c r="H1160" s="44"/>
      <c r="I1160" s="44"/>
      <c r="J1160" s="44"/>
    </row>
    <row r="1161" spans="1:11" ht="15.75">
      <c r="A1161" s="41" t="str">
        <f>'Date Generale'!$E$75</f>
        <v>Obiect 015: 0</v>
      </c>
      <c r="B1161" s="41"/>
      <c r="C1161" s="44"/>
      <c r="D1161" s="44"/>
      <c r="E1161" s="44"/>
      <c r="F1161" s="44"/>
      <c r="G1161" s="44"/>
      <c r="H1161" s="44"/>
      <c r="I1161" s="44"/>
      <c r="J1161" s="44"/>
    </row>
    <row r="1162" spans="1:11" ht="15.75">
      <c r="A1162" s="70"/>
      <c r="B1162" s="44"/>
      <c r="C1162" s="44"/>
      <c r="D1162" s="44"/>
      <c r="E1162" s="44"/>
      <c r="F1162" s="44"/>
      <c r="G1162" s="44"/>
      <c r="H1162" s="44"/>
      <c r="I1162" s="44"/>
      <c r="J1162" s="44"/>
    </row>
    <row r="1163" spans="1:11">
      <c r="A1163" s="687" t="s">
        <v>38</v>
      </c>
      <c r="B1163" s="687"/>
      <c r="C1163" s="687"/>
      <c r="D1163" s="687"/>
      <c r="E1163" s="687"/>
      <c r="F1163" s="687"/>
      <c r="G1163" s="687"/>
      <c r="H1163" s="687"/>
      <c r="I1163" s="687"/>
      <c r="J1163" s="687"/>
    </row>
    <row r="1164" spans="1:11">
      <c r="A1164" s="371"/>
      <c r="B1164" s="371"/>
      <c r="C1164" s="371"/>
      <c r="D1164" s="371"/>
      <c r="E1164" s="371"/>
      <c r="F1164" s="371"/>
      <c r="G1164" s="371"/>
      <c r="H1164" s="371"/>
      <c r="I1164" s="371"/>
      <c r="J1164" s="371"/>
    </row>
    <row r="1165" spans="1:11" ht="15.75" thickBot="1">
      <c r="A1165" s="42"/>
      <c r="B1165" s="46"/>
      <c r="C1165" s="71"/>
      <c r="D1165" s="71"/>
      <c r="E1165" s="71"/>
      <c r="F1165" s="33"/>
      <c r="G1165" s="47" t="s">
        <v>2</v>
      </c>
      <c r="H1165" s="48">
        <f>'Date Generale'!$C$54</f>
        <v>4.7233000000000001</v>
      </c>
      <c r="I1165" s="49" t="s">
        <v>3</v>
      </c>
      <c r="J1165" s="50" t="str">
        <f>'Date Generale'!$D$54</f>
        <v>21,06,2019</v>
      </c>
    </row>
    <row r="1166" spans="1:11" ht="15.75" thickBot="1">
      <c r="A1166" s="688" t="s">
        <v>4</v>
      </c>
      <c r="B1166" s="688" t="s">
        <v>5</v>
      </c>
      <c r="C1166" s="688" t="s">
        <v>39</v>
      </c>
      <c r="D1166" s="688" t="s">
        <v>40</v>
      </c>
      <c r="E1166" s="688" t="s">
        <v>228</v>
      </c>
      <c r="F1166" s="689" t="s">
        <v>160</v>
      </c>
      <c r="G1166" s="689"/>
      <c r="H1166" s="372" t="s">
        <v>7</v>
      </c>
      <c r="I1166" s="689" t="s">
        <v>159</v>
      </c>
      <c r="J1166" s="689"/>
    </row>
    <row r="1167" spans="1:11" ht="15.75" thickBot="1">
      <c r="A1167" s="688"/>
      <c r="B1167" s="688"/>
      <c r="C1167" s="688"/>
      <c r="D1167" s="688"/>
      <c r="E1167" s="688"/>
      <c r="F1167" s="51" t="s">
        <v>9</v>
      </c>
      <c r="G1167" s="51" t="s">
        <v>10</v>
      </c>
      <c r="H1167" s="51" t="s">
        <v>9</v>
      </c>
      <c r="I1167" s="51" t="s">
        <v>9</v>
      </c>
      <c r="J1167" s="51" t="s">
        <v>10</v>
      </c>
    </row>
    <row r="1168" spans="1:11" ht="15.75" thickBot="1">
      <c r="A1168" s="3">
        <v>1</v>
      </c>
      <c r="B1168" s="1">
        <v>2</v>
      </c>
      <c r="C1168" s="1">
        <v>3</v>
      </c>
      <c r="D1168" s="1">
        <v>4</v>
      </c>
      <c r="E1168" s="1">
        <v>5</v>
      </c>
      <c r="F1168" s="1">
        <v>6</v>
      </c>
      <c r="G1168" s="1">
        <v>7</v>
      </c>
      <c r="H1168" s="1">
        <v>8</v>
      </c>
      <c r="I1168" s="1">
        <v>9</v>
      </c>
      <c r="J1168" s="1">
        <v>10</v>
      </c>
    </row>
    <row r="1169" spans="1:10" ht="15.75" thickBot="1">
      <c r="A1169" s="683" t="s">
        <v>11</v>
      </c>
      <c r="B1169" s="684"/>
      <c r="C1169" s="684"/>
      <c r="D1169" s="684"/>
      <c r="E1169" s="684"/>
      <c r="F1169" s="72"/>
      <c r="G1169" s="72"/>
      <c r="H1169" s="72"/>
      <c r="I1169" s="72"/>
      <c r="J1169" s="73"/>
    </row>
    <row r="1170" spans="1:10">
      <c r="A1170" s="691" t="s">
        <v>41</v>
      </c>
      <c r="B1170" s="692"/>
      <c r="C1170" s="692"/>
      <c r="D1170" s="692"/>
      <c r="E1170" s="692"/>
      <c r="F1170" s="137">
        <f>SUM(F1171:F1172)</f>
        <v>0</v>
      </c>
      <c r="G1170" s="137">
        <f>SUM(G1171:G1172)</f>
        <v>0</v>
      </c>
      <c r="H1170" s="137">
        <f>SUM(H1171:H1172)</f>
        <v>0</v>
      </c>
      <c r="I1170" s="137">
        <f>SUM(I1171:I1172)</f>
        <v>0</v>
      </c>
      <c r="J1170" s="138">
        <f>SUM(J1171:J1172)</f>
        <v>0</v>
      </c>
    </row>
    <row r="1171" spans="1:10">
      <c r="A1171" s="74">
        <v>1</v>
      </c>
      <c r="B1171" s="75"/>
      <c r="C1171" s="76" t="str">
        <f>IF(B1171="","",VLOOKUP(B1171,'Lista articole'!$D$4:$E$2255,2,FALSE))</f>
        <v/>
      </c>
      <c r="D1171" s="77">
        <v>0</v>
      </c>
      <c r="E1171" s="78">
        <f>IF(B1171="",0,VLOOKUP(B1171,'Lista articole'!$D$4:$F$2163,3,FALSE))</f>
        <v>0</v>
      </c>
      <c r="F1171" s="77">
        <f>D1171*E1171</f>
        <v>0</v>
      </c>
      <c r="G1171" s="77">
        <f t="shared" ref="G1171:G1172" si="452">F1171/$H$9</f>
        <v>0</v>
      </c>
      <c r="H1171" s="77">
        <f>F1171*'Date Generale'!$D$58</f>
        <v>0</v>
      </c>
      <c r="I1171" s="77">
        <f>H1171+F1171</f>
        <v>0</v>
      </c>
      <c r="J1171" s="79">
        <f>I1171/$H$9</f>
        <v>0</v>
      </c>
    </row>
    <row r="1172" spans="1:10">
      <c r="A1172" s="74">
        <v>2</v>
      </c>
      <c r="B1172" s="75"/>
      <c r="C1172" s="76" t="str">
        <f>IF(B1172="","",VLOOKUP(B1172,'Lista articole'!$D$4:$E$2255,2,FALSE))</f>
        <v/>
      </c>
      <c r="D1172" s="77">
        <v>0</v>
      </c>
      <c r="E1172" s="78">
        <f>IF(B1172="",0,VLOOKUP(B1172,'Lista articole'!$D$4:$F$2163,3,FALSE))</f>
        <v>0</v>
      </c>
      <c r="F1172" s="77">
        <f>D1172*E1172</f>
        <v>0</v>
      </c>
      <c r="G1172" s="77">
        <f t="shared" si="452"/>
        <v>0</v>
      </c>
      <c r="H1172" s="77">
        <f>F1172*'Date Generale'!$D$58</f>
        <v>0</v>
      </c>
      <c r="I1172" s="77">
        <f>H1172+F1172</f>
        <v>0</v>
      </c>
      <c r="J1172" s="79">
        <f>I1172/$H$9</f>
        <v>0</v>
      </c>
    </row>
    <row r="1173" spans="1:10">
      <c r="A1173" s="693" t="s">
        <v>44</v>
      </c>
      <c r="B1173" s="694"/>
      <c r="C1173" s="694"/>
      <c r="D1173" s="694"/>
      <c r="E1173" s="694"/>
      <c r="F1173" s="56">
        <f>SUM(F1174:F1175)</f>
        <v>0</v>
      </c>
      <c r="G1173" s="56">
        <f>SUM(G1174:G1175)</f>
        <v>0</v>
      </c>
      <c r="H1173" s="56">
        <f>SUM(H1174:H1175)</f>
        <v>0</v>
      </c>
      <c r="I1173" s="56">
        <f>SUM(I1174:I1175)</f>
        <v>0</v>
      </c>
      <c r="J1173" s="57">
        <f>SUM(J1174:J1175)</f>
        <v>0</v>
      </c>
    </row>
    <row r="1174" spans="1:10">
      <c r="A1174" s="80">
        <v>1</v>
      </c>
      <c r="B1174" s="81"/>
      <c r="C1174" s="76" t="str">
        <f>IF(B1174="","",VLOOKUP(B1174,'Lista articole'!$D$4:$E$2255,2,FALSE))</f>
        <v/>
      </c>
      <c r="D1174" s="77">
        <v>0</v>
      </c>
      <c r="E1174" s="78">
        <f>IF(B1174="",0,VLOOKUP(B1174,'Lista articole'!$D$4:$F$2163,3,FALSE))</f>
        <v>0</v>
      </c>
      <c r="F1174" s="77">
        <f t="shared" ref="F1174:F1175" si="453">D1174*E1174</f>
        <v>0</v>
      </c>
      <c r="G1174" s="77">
        <f t="shared" ref="G1174:G1175" si="454">F1174/$H$9</f>
        <v>0</v>
      </c>
      <c r="H1174" s="77">
        <f>F1174*'Date Generale'!$D$58</f>
        <v>0</v>
      </c>
      <c r="I1174" s="77">
        <f t="shared" ref="I1174:I1175" si="455">H1174+F1174</f>
        <v>0</v>
      </c>
      <c r="J1174" s="79">
        <f t="shared" ref="J1174:J1175" si="456">I1174/$H$9</f>
        <v>0</v>
      </c>
    </row>
    <row r="1175" spans="1:10">
      <c r="A1175" s="80">
        <f t="shared" ref="A1175" si="457">A1174+1</f>
        <v>2</v>
      </c>
      <c r="B1175" s="81"/>
      <c r="C1175" s="76" t="str">
        <f>IF(B1175="","",VLOOKUP(B1175,'Lista articole'!$D$4:$E$2255,2,FALSE))</f>
        <v/>
      </c>
      <c r="D1175" s="77">
        <v>0</v>
      </c>
      <c r="E1175" s="78">
        <f>IF(B1175="",0,VLOOKUP(B1175,'Lista articole'!$D$4:$F$2163,3,FALSE))</f>
        <v>0</v>
      </c>
      <c r="F1175" s="77">
        <f t="shared" si="453"/>
        <v>0</v>
      </c>
      <c r="G1175" s="77">
        <f t="shared" si="454"/>
        <v>0</v>
      </c>
      <c r="H1175" s="77">
        <f>F1175*'Date Generale'!$D$58</f>
        <v>0</v>
      </c>
      <c r="I1175" s="77">
        <f t="shared" si="455"/>
        <v>0</v>
      </c>
      <c r="J1175" s="79">
        <f t="shared" si="456"/>
        <v>0</v>
      </c>
    </row>
    <row r="1176" spans="1:10">
      <c r="A1176" s="693" t="s">
        <v>45</v>
      </c>
      <c r="B1176" s="694"/>
      <c r="C1176" s="694"/>
      <c r="D1176" s="694"/>
      <c r="E1176" s="694"/>
      <c r="F1176" s="56">
        <f>SUM(F1177:F1178)</f>
        <v>0</v>
      </c>
      <c r="G1176" s="56">
        <f>SUM(G1177:G1178)</f>
        <v>0</v>
      </c>
      <c r="H1176" s="56">
        <f>SUM(H1177:H1178)</f>
        <v>0</v>
      </c>
      <c r="I1176" s="56">
        <f>SUM(I1177:I1178)</f>
        <v>0</v>
      </c>
      <c r="J1176" s="57">
        <f>SUM(J1177:J1178)</f>
        <v>0</v>
      </c>
    </row>
    <row r="1177" spans="1:10">
      <c r="A1177" s="80">
        <v>1</v>
      </c>
      <c r="B1177" s="81"/>
      <c r="C1177" s="76" t="str">
        <f>IF(B1177="","",VLOOKUP(B1177,'Lista articole'!$D$4:$E$2255,2,FALSE))</f>
        <v/>
      </c>
      <c r="D1177" s="77">
        <v>0</v>
      </c>
      <c r="E1177" s="78">
        <f>IF(B1177="",0,VLOOKUP(B1177,'Lista articole'!$D$4:$F$2163,3,FALSE))</f>
        <v>0</v>
      </c>
      <c r="F1177" s="77">
        <f t="shared" ref="F1177:F1178" si="458">D1177*E1177</f>
        <v>0</v>
      </c>
      <c r="G1177" s="77">
        <f t="shared" ref="G1177:G1178" si="459">F1177/$H$9</f>
        <v>0</v>
      </c>
      <c r="H1177" s="77">
        <f>F1177*'Date Generale'!$D$58</f>
        <v>0</v>
      </c>
      <c r="I1177" s="77">
        <f t="shared" ref="I1177:I1178" si="460">H1177+F1177</f>
        <v>0</v>
      </c>
      <c r="J1177" s="79">
        <f t="shared" ref="J1177:J1178" si="461">I1177/$H$9</f>
        <v>0</v>
      </c>
    </row>
    <row r="1178" spans="1:10">
      <c r="A1178" s="80">
        <v>2</v>
      </c>
      <c r="B1178" s="81"/>
      <c r="C1178" s="76" t="str">
        <f>IF(B1178="","",VLOOKUP(B1178,'Lista articole'!$D$4:$E$2255,2,FALSE))</f>
        <v/>
      </c>
      <c r="D1178" s="77">
        <v>0</v>
      </c>
      <c r="E1178" s="78">
        <f>IF(B1178="",0,VLOOKUP(B1178,'Lista articole'!$D$4:$F$2163,3,FALSE))</f>
        <v>0</v>
      </c>
      <c r="F1178" s="77">
        <f t="shared" si="458"/>
        <v>0</v>
      </c>
      <c r="G1178" s="77">
        <f t="shared" si="459"/>
        <v>0</v>
      </c>
      <c r="H1178" s="77">
        <f>F1178*'Date Generale'!$D$58</f>
        <v>0</v>
      </c>
      <c r="I1178" s="77">
        <f t="shared" si="460"/>
        <v>0</v>
      </c>
      <c r="J1178" s="79">
        <f t="shared" si="461"/>
        <v>0</v>
      </c>
    </row>
    <row r="1179" spans="1:10">
      <c r="A1179" s="693" t="s">
        <v>46</v>
      </c>
      <c r="B1179" s="694"/>
      <c r="C1179" s="694"/>
      <c r="D1179" s="694"/>
      <c r="E1179" s="694"/>
      <c r="F1179" s="56">
        <f>SUM(F1180:F1193)</f>
        <v>0</v>
      </c>
      <c r="G1179" s="56">
        <f>SUM(G1180:G1193)</f>
        <v>0</v>
      </c>
      <c r="H1179" s="56">
        <f>SUM(H1180:H1193)</f>
        <v>0</v>
      </c>
      <c r="I1179" s="56">
        <f>SUM(I1180:I1193)</f>
        <v>0</v>
      </c>
      <c r="J1179" s="57">
        <f>SUM(J1180:J1193)</f>
        <v>0</v>
      </c>
    </row>
    <row r="1180" spans="1:10">
      <c r="A1180" s="80">
        <v>1</v>
      </c>
      <c r="B1180" s="81"/>
      <c r="C1180" s="76" t="str">
        <f>IF(B1180="","",VLOOKUP(B1180,'Lista articole'!$D$4:$E$2255,2,FALSE))</f>
        <v/>
      </c>
      <c r="D1180" s="77">
        <v>0</v>
      </c>
      <c r="E1180" s="78">
        <f>IF(B1180="",0,VLOOKUP(B1180,'Lista articole'!$D$4:$F$2163,3,FALSE))</f>
        <v>0</v>
      </c>
      <c r="F1180" s="77">
        <f t="shared" ref="F1180:F1193" si="462">D1180*E1180</f>
        <v>0</v>
      </c>
      <c r="G1180" s="77">
        <f t="shared" ref="G1180:G1193" si="463">F1180/$H$9</f>
        <v>0</v>
      </c>
      <c r="H1180" s="77">
        <f>F1180*'Date Generale'!$D$58</f>
        <v>0</v>
      </c>
      <c r="I1180" s="77">
        <f t="shared" ref="I1180:I1193" si="464">H1180+F1180</f>
        <v>0</v>
      </c>
      <c r="J1180" s="79">
        <f t="shared" ref="J1180:J1193" si="465">I1180/$H$9</f>
        <v>0</v>
      </c>
    </row>
    <row r="1181" spans="1:10">
      <c r="A1181" s="80">
        <v>2</v>
      </c>
      <c r="B1181" s="81"/>
      <c r="C1181" s="76" t="str">
        <f>IF(B1181="","",VLOOKUP(B1181,'Lista articole'!$D$4:$E$2255,2,FALSE))</f>
        <v/>
      </c>
      <c r="D1181" s="77">
        <v>0</v>
      </c>
      <c r="E1181" s="78">
        <f>IF(B1181="",0,VLOOKUP(B1181,'Lista articole'!$D$4:$F$2163,3,FALSE))</f>
        <v>0</v>
      </c>
      <c r="F1181" s="77">
        <f t="shared" si="462"/>
        <v>0</v>
      </c>
      <c r="G1181" s="77">
        <f t="shared" si="463"/>
        <v>0</v>
      </c>
      <c r="H1181" s="77">
        <f>F1181*'Date Generale'!$D$58</f>
        <v>0</v>
      </c>
      <c r="I1181" s="77">
        <f t="shared" si="464"/>
        <v>0</v>
      </c>
      <c r="J1181" s="79">
        <f t="shared" si="465"/>
        <v>0</v>
      </c>
    </row>
    <row r="1182" spans="1:10">
      <c r="A1182" s="80">
        <v>3</v>
      </c>
      <c r="B1182" s="81"/>
      <c r="C1182" s="76" t="str">
        <f>IF(B1182="","",VLOOKUP(B1182,'Lista articole'!$D$4:$E$2255,2,FALSE))</f>
        <v/>
      </c>
      <c r="D1182" s="77">
        <v>0</v>
      </c>
      <c r="E1182" s="78">
        <f>IF(B1182="",0,VLOOKUP(B1182,'Lista articole'!$D$4:$F$2163,3,FALSE))</f>
        <v>0</v>
      </c>
      <c r="F1182" s="77">
        <f t="shared" si="462"/>
        <v>0</v>
      </c>
      <c r="G1182" s="77">
        <f t="shared" si="463"/>
        <v>0</v>
      </c>
      <c r="H1182" s="77">
        <f>F1182*'Date Generale'!$D$58</f>
        <v>0</v>
      </c>
      <c r="I1182" s="77">
        <f t="shared" si="464"/>
        <v>0</v>
      </c>
      <c r="J1182" s="79">
        <f t="shared" si="465"/>
        <v>0</v>
      </c>
    </row>
    <row r="1183" spans="1:10">
      <c r="A1183" s="80">
        <v>4</v>
      </c>
      <c r="B1183" s="81"/>
      <c r="C1183" s="76" t="str">
        <f>IF(B1183="","",VLOOKUP(B1183,'Lista articole'!$D$4:$E$2255,2,FALSE))</f>
        <v/>
      </c>
      <c r="D1183" s="77">
        <v>0</v>
      </c>
      <c r="E1183" s="78">
        <f>IF(B1183="",0,VLOOKUP(B1183,'Lista articole'!$D$4:$F$2163,3,FALSE))</f>
        <v>0</v>
      </c>
      <c r="F1183" s="77">
        <f t="shared" si="462"/>
        <v>0</v>
      </c>
      <c r="G1183" s="77">
        <f t="shared" si="463"/>
        <v>0</v>
      </c>
      <c r="H1183" s="77">
        <f>F1183*'Date Generale'!$D$58</f>
        <v>0</v>
      </c>
      <c r="I1183" s="77">
        <f t="shared" si="464"/>
        <v>0</v>
      </c>
      <c r="J1183" s="79">
        <f t="shared" si="465"/>
        <v>0</v>
      </c>
    </row>
    <row r="1184" spans="1:10">
      <c r="A1184" s="80">
        <v>5</v>
      </c>
      <c r="B1184" s="81"/>
      <c r="C1184" s="76" t="str">
        <f>IF(B1184="","",VLOOKUP(B1184,'Lista articole'!$D$4:$E$2255,2,FALSE))</f>
        <v/>
      </c>
      <c r="D1184" s="77">
        <v>0</v>
      </c>
      <c r="E1184" s="78">
        <f>IF(B1184="",0,VLOOKUP(B1184,'Lista articole'!$D$4:$F$2163,3,FALSE))</f>
        <v>0</v>
      </c>
      <c r="F1184" s="77">
        <f t="shared" si="462"/>
        <v>0</v>
      </c>
      <c r="G1184" s="77">
        <f t="shared" si="463"/>
        <v>0</v>
      </c>
      <c r="H1184" s="77">
        <f>F1184*'Date Generale'!$D$58</f>
        <v>0</v>
      </c>
      <c r="I1184" s="77">
        <f t="shared" si="464"/>
        <v>0</v>
      </c>
      <c r="J1184" s="79">
        <f t="shared" si="465"/>
        <v>0</v>
      </c>
    </row>
    <row r="1185" spans="1:10">
      <c r="A1185" s="80">
        <v>6</v>
      </c>
      <c r="B1185" s="81"/>
      <c r="C1185" s="76" t="str">
        <f>IF(B1185="","",VLOOKUP(B1185,'Lista articole'!$D$4:$E$2255,2,FALSE))</f>
        <v/>
      </c>
      <c r="D1185" s="77">
        <v>0</v>
      </c>
      <c r="E1185" s="78">
        <f>IF(B1185="",0,VLOOKUP(B1185,'Lista articole'!$D$4:$F$2163,3,FALSE))</f>
        <v>0</v>
      </c>
      <c r="F1185" s="77">
        <f t="shared" si="462"/>
        <v>0</v>
      </c>
      <c r="G1185" s="77">
        <f t="shared" si="463"/>
        <v>0</v>
      </c>
      <c r="H1185" s="77">
        <f>F1185*'Date Generale'!$D$58</f>
        <v>0</v>
      </c>
      <c r="I1185" s="77">
        <f t="shared" si="464"/>
        <v>0</v>
      </c>
      <c r="J1185" s="79">
        <f t="shared" si="465"/>
        <v>0</v>
      </c>
    </row>
    <row r="1186" spans="1:10">
      <c r="A1186" s="80">
        <v>7</v>
      </c>
      <c r="B1186" s="81"/>
      <c r="C1186" s="76" t="str">
        <f>IF(B1186="","",VLOOKUP(B1186,'Lista articole'!$D$4:$E$2255,2,FALSE))</f>
        <v/>
      </c>
      <c r="D1186" s="77">
        <v>0</v>
      </c>
      <c r="E1186" s="78">
        <f>IF(B1186="",0,VLOOKUP(B1186,'Lista articole'!$D$4:$F$2163,3,FALSE))</f>
        <v>0</v>
      </c>
      <c r="F1186" s="77">
        <f t="shared" si="462"/>
        <v>0</v>
      </c>
      <c r="G1186" s="77">
        <f t="shared" si="463"/>
        <v>0</v>
      </c>
      <c r="H1186" s="77">
        <f>F1186*'Date Generale'!$D$58</f>
        <v>0</v>
      </c>
      <c r="I1186" s="77">
        <f t="shared" si="464"/>
        <v>0</v>
      </c>
      <c r="J1186" s="79">
        <f t="shared" si="465"/>
        <v>0</v>
      </c>
    </row>
    <row r="1187" spans="1:10">
      <c r="A1187" s="80">
        <v>8</v>
      </c>
      <c r="B1187" s="81"/>
      <c r="C1187" s="76" t="str">
        <f>IF(B1187="","",VLOOKUP(B1187,'Lista articole'!$D$4:$E$2255,2,FALSE))</f>
        <v/>
      </c>
      <c r="D1187" s="77">
        <v>0</v>
      </c>
      <c r="E1187" s="78">
        <f>IF(B1187="",0,VLOOKUP(B1187,'Lista articole'!$D$4:$F$2163,3,FALSE))</f>
        <v>0</v>
      </c>
      <c r="F1187" s="77">
        <f t="shared" si="462"/>
        <v>0</v>
      </c>
      <c r="G1187" s="77">
        <f t="shared" si="463"/>
        <v>0</v>
      </c>
      <c r="H1187" s="77">
        <f>F1187*'Date Generale'!$D$58</f>
        <v>0</v>
      </c>
      <c r="I1187" s="77">
        <f t="shared" si="464"/>
        <v>0</v>
      </c>
      <c r="J1187" s="79">
        <f t="shared" si="465"/>
        <v>0</v>
      </c>
    </row>
    <row r="1188" spans="1:10">
      <c r="A1188" s="80">
        <v>9</v>
      </c>
      <c r="B1188" s="81"/>
      <c r="C1188" s="76" t="str">
        <f>IF(B1188="","",VLOOKUP(B1188,'Lista articole'!$D$4:$E$2255,2,FALSE))</f>
        <v/>
      </c>
      <c r="D1188" s="77">
        <v>0</v>
      </c>
      <c r="E1188" s="78">
        <f>IF(B1188="",0,VLOOKUP(B1188,'Lista articole'!$D$4:$F$2163,3,FALSE))</f>
        <v>0</v>
      </c>
      <c r="F1188" s="77">
        <f t="shared" si="462"/>
        <v>0</v>
      </c>
      <c r="G1188" s="77">
        <f t="shared" si="463"/>
        <v>0</v>
      </c>
      <c r="H1188" s="77">
        <f>F1188*'Date Generale'!$D$58</f>
        <v>0</v>
      </c>
      <c r="I1188" s="77">
        <f t="shared" si="464"/>
        <v>0</v>
      </c>
      <c r="J1188" s="79">
        <f t="shared" si="465"/>
        <v>0</v>
      </c>
    </row>
    <row r="1189" spans="1:10">
      <c r="A1189" s="80">
        <v>10</v>
      </c>
      <c r="B1189" s="81"/>
      <c r="C1189" s="76" t="str">
        <f>IF(B1189="","",VLOOKUP(B1189,'Lista articole'!$D$4:$E$2255,2,FALSE))</f>
        <v/>
      </c>
      <c r="D1189" s="77">
        <v>0</v>
      </c>
      <c r="E1189" s="78">
        <f>IF(B1189="",0,VLOOKUP(B1189,'Lista articole'!$D$4:$F$2163,3,FALSE))</f>
        <v>0</v>
      </c>
      <c r="F1189" s="77">
        <f t="shared" si="462"/>
        <v>0</v>
      </c>
      <c r="G1189" s="77">
        <f t="shared" si="463"/>
        <v>0</v>
      </c>
      <c r="H1189" s="77">
        <f>F1189*'Date Generale'!$D$58</f>
        <v>0</v>
      </c>
      <c r="I1189" s="77">
        <f t="shared" si="464"/>
        <v>0</v>
      </c>
      <c r="J1189" s="79">
        <f t="shared" si="465"/>
        <v>0</v>
      </c>
    </row>
    <row r="1190" spans="1:10">
      <c r="A1190" s="80">
        <v>11</v>
      </c>
      <c r="B1190" s="81"/>
      <c r="C1190" s="76" t="str">
        <f>IF(B1190="","",VLOOKUP(B1190,'Lista articole'!$D$4:$E$2255,2,FALSE))</f>
        <v/>
      </c>
      <c r="D1190" s="77">
        <v>0</v>
      </c>
      <c r="E1190" s="78">
        <f>IF(B1190="",0,VLOOKUP(B1190,'Lista articole'!$D$4:$F$2163,3,FALSE))</f>
        <v>0</v>
      </c>
      <c r="F1190" s="77">
        <f t="shared" si="462"/>
        <v>0</v>
      </c>
      <c r="G1190" s="77">
        <f t="shared" si="463"/>
        <v>0</v>
      </c>
      <c r="H1190" s="77">
        <f>F1190*'Date Generale'!$D$58</f>
        <v>0</v>
      </c>
      <c r="I1190" s="77">
        <f t="shared" si="464"/>
        <v>0</v>
      </c>
      <c r="J1190" s="79">
        <f t="shared" si="465"/>
        <v>0</v>
      </c>
    </row>
    <row r="1191" spans="1:10">
      <c r="A1191" s="80">
        <v>12</v>
      </c>
      <c r="B1191" s="81"/>
      <c r="C1191" s="76" t="str">
        <f>IF(B1191="","",VLOOKUP(B1191,'Lista articole'!$D$4:$E$2255,2,FALSE))</f>
        <v/>
      </c>
      <c r="D1191" s="77">
        <v>0</v>
      </c>
      <c r="E1191" s="78">
        <f>IF(B1191="",0,VLOOKUP(B1191,'Lista articole'!$D$4:$F$2163,3,FALSE))</f>
        <v>0</v>
      </c>
      <c r="F1191" s="77">
        <f t="shared" si="462"/>
        <v>0</v>
      </c>
      <c r="G1191" s="77">
        <f t="shared" si="463"/>
        <v>0</v>
      </c>
      <c r="H1191" s="77">
        <f>F1191*'Date Generale'!$D$58</f>
        <v>0</v>
      </c>
      <c r="I1191" s="77">
        <f t="shared" si="464"/>
        <v>0</v>
      </c>
      <c r="J1191" s="79">
        <f t="shared" si="465"/>
        <v>0</v>
      </c>
    </row>
    <row r="1192" spans="1:10">
      <c r="A1192" s="80">
        <v>13</v>
      </c>
      <c r="B1192" s="81"/>
      <c r="C1192" s="76" t="str">
        <f>IF(B1192="","",VLOOKUP(B1192,'Lista articole'!$D$4:$E$2255,2,FALSE))</f>
        <v/>
      </c>
      <c r="D1192" s="77">
        <v>0</v>
      </c>
      <c r="E1192" s="78">
        <f>IF(B1192="",0,VLOOKUP(B1192,'Lista articole'!$D$4:$F$2163,3,FALSE))</f>
        <v>0</v>
      </c>
      <c r="F1192" s="77">
        <f t="shared" si="462"/>
        <v>0</v>
      </c>
      <c r="G1192" s="77">
        <f t="shared" si="463"/>
        <v>0</v>
      </c>
      <c r="H1192" s="77">
        <f>F1192*'Date Generale'!$D$58</f>
        <v>0</v>
      </c>
      <c r="I1192" s="77">
        <f t="shared" si="464"/>
        <v>0</v>
      </c>
      <c r="J1192" s="79">
        <f t="shared" si="465"/>
        <v>0</v>
      </c>
    </row>
    <row r="1193" spans="1:10">
      <c r="A1193" s="80">
        <v>14</v>
      </c>
      <c r="B1193" s="81"/>
      <c r="C1193" s="76" t="str">
        <f>IF(B1193="","",VLOOKUP(B1193,'Lista articole'!$D$4:$E$2255,2,FALSE))</f>
        <v/>
      </c>
      <c r="D1193" s="77">
        <v>0</v>
      </c>
      <c r="E1193" s="78">
        <f>IF(B1193="",0,VLOOKUP(B1193,'Lista articole'!$D$4:$F$2163,3,FALSE))</f>
        <v>0</v>
      </c>
      <c r="F1193" s="77">
        <f t="shared" si="462"/>
        <v>0</v>
      </c>
      <c r="G1193" s="77">
        <f t="shared" si="463"/>
        <v>0</v>
      </c>
      <c r="H1193" s="77">
        <f>F1193*'Date Generale'!$D$58</f>
        <v>0</v>
      </c>
      <c r="I1193" s="77">
        <f t="shared" si="464"/>
        <v>0</v>
      </c>
      <c r="J1193" s="79">
        <f t="shared" si="465"/>
        <v>0</v>
      </c>
    </row>
    <row r="1194" spans="1:10">
      <c r="A1194" s="693" t="s">
        <v>50</v>
      </c>
      <c r="B1194" s="694"/>
      <c r="C1194" s="694"/>
      <c r="D1194" s="694"/>
      <c r="E1194" s="694"/>
      <c r="F1194" s="56">
        <f>SUM(F1195:F1196)</f>
        <v>0</v>
      </c>
      <c r="G1194" s="56">
        <f>SUM(G1195:G1196)</f>
        <v>0</v>
      </c>
      <c r="H1194" s="56">
        <f>SUM(H1195:H1196)</f>
        <v>0</v>
      </c>
      <c r="I1194" s="56">
        <f>SUM(I1195:I1196)</f>
        <v>0</v>
      </c>
      <c r="J1194" s="57">
        <f>SUM(J1195:J1196)</f>
        <v>0</v>
      </c>
    </row>
    <row r="1195" spans="1:10">
      <c r="A1195" s="80">
        <v>1</v>
      </c>
      <c r="B1195" s="81"/>
      <c r="C1195" s="76" t="str">
        <f>IF(B1195="","",VLOOKUP(B1195,'Lista articole'!$D$4:$E$2255,2,FALSE))</f>
        <v/>
      </c>
      <c r="D1195" s="77">
        <v>0</v>
      </c>
      <c r="E1195" s="78">
        <f>IF(B1195="",0,VLOOKUP(B1195,'Lista articole'!$D$4:$F$2163,3,FALSE))</f>
        <v>0</v>
      </c>
      <c r="F1195" s="77">
        <f t="shared" ref="F1195:F1196" si="466">D1195*E1195</f>
        <v>0</v>
      </c>
      <c r="G1195" s="77">
        <f t="shared" ref="G1195:G1196" si="467">F1195/$H$9</f>
        <v>0</v>
      </c>
      <c r="H1195" s="77">
        <f>F1195*'Date Generale'!$D$58</f>
        <v>0</v>
      </c>
      <c r="I1195" s="77">
        <f t="shared" ref="I1195:I1196" si="468">H1195+F1195</f>
        <v>0</v>
      </c>
      <c r="J1195" s="79">
        <f t="shared" ref="J1195:J1196" si="469">I1195/$H$9</f>
        <v>0</v>
      </c>
    </row>
    <row r="1196" spans="1:10">
      <c r="A1196" s="74">
        <f>A1195+1</f>
        <v>2</v>
      </c>
      <c r="B1196" s="75"/>
      <c r="C1196" s="76" t="str">
        <f>IF(B1196="","",VLOOKUP(B1196,'Lista articole'!$D$4:$E$2255,2,FALSE))</f>
        <v/>
      </c>
      <c r="D1196" s="77">
        <v>0</v>
      </c>
      <c r="E1196" s="78">
        <f>IF(B1196="",0,VLOOKUP(B1196,'Lista articole'!$D$4:$F$2163,3,FALSE))</f>
        <v>0</v>
      </c>
      <c r="F1196" s="77">
        <f t="shared" si="466"/>
        <v>0</v>
      </c>
      <c r="G1196" s="77">
        <f t="shared" si="467"/>
        <v>0</v>
      </c>
      <c r="H1196" s="77">
        <f>F1196*'Date Generale'!$D$58</f>
        <v>0</v>
      </c>
      <c r="I1196" s="77">
        <f t="shared" si="468"/>
        <v>0</v>
      </c>
      <c r="J1196" s="79">
        <f t="shared" si="469"/>
        <v>0</v>
      </c>
    </row>
    <row r="1197" spans="1:10">
      <c r="A1197" s="693" t="s">
        <v>51</v>
      </c>
      <c r="B1197" s="694"/>
      <c r="C1197" s="694"/>
      <c r="D1197" s="694"/>
      <c r="E1197" s="694"/>
      <c r="F1197" s="56">
        <f>SUM(F1198:F1199)</f>
        <v>0</v>
      </c>
      <c r="G1197" s="56">
        <f>SUM(G1198:G1199)</f>
        <v>0</v>
      </c>
      <c r="H1197" s="56">
        <f>SUM(H1198:H1199)</f>
        <v>0</v>
      </c>
      <c r="I1197" s="56">
        <f>SUM(I1198:I1199)</f>
        <v>0</v>
      </c>
      <c r="J1197" s="57">
        <f>SUM(J1198:J1199)</f>
        <v>0</v>
      </c>
    </row>
    <row r="1198" spans="1:10">
      <c r="A1198" s="80">
        <v>1</v>
      </c>
      <c r="B1198" s="81"/>
      <c r="C1198" s="76" t="str">
        <f>IF(B1198="","",VLOOKUP(B1198,'Lista articole'!$D$4:$E$2255,2,FALSE))</f>
        <v/>
      </c>
      <c r="D1198" s="77">
        <v>0</v>
      </c>
      <c r="E1198" s="78">
        <f>IF(B1198="",0,VLOOKUP(B1198,'Lista articole'!$D$4:$F$2163,3,FALSE))</f>
        <v>0</v>
      </c>
      <c r="F1198" s="77">
        <f t="shared" ref="F1198:F1199" si="470">D1198*E1198</f>
        <v>0</v>
      </c>
      <c r="G1198" s="77">
        <f t="shared" ref="G1198:G1199" si="471">F1198/$H$9</f>
        <v>0</v>
      </c>
      <c r="H1198" s="77">
        <f>F1198*'Date Generale'!$D$58</f>
        <v>0</v>
      </c>
      <c r="I1198" s="77">
        <f t="shared" ref="I1198:I1199" si="472">H1198+F1198</f>
        <v>0</v>
      </c>
      <c r="J1198" s="79">
        <f t="shared" ref="J1198:J1199" si="473">I1198/$H$9</f>
        <v>0</v>
      </c>
    </row>
    <row r="1199" spans="1:10">
      <c r="A1199" s="74">
        <f>A1198+1</f>
        <v>2</v>
      </c>
      <c r="B1199" s="75"/>
      <c r="C1199" s="76" t="str">
        <f>IF(B1199="","",VLOOKUP(B1199,'Lista articole'!$D$4:$E$2255,2,FALSE))</f>
        <v/>
      </c>
      <c r="D1199" s="77">
        <v>0</v>
      </c>
      <c r="E1199" s="78">
        <f>IF(B1199="",0,VLOOKUP(B1199,'Lista articole'!$D$4:$F$2163,3,FALSE))</f>
        <v>0</v>
      </c>
      <c r="F1199" s="77">
        <f t="shared" si="470"/>
        <v>0</v>
      </c>
      <c r="G1199" s="77">
        <f t="shared" si="471"/>
        <v>0</v>
      </c>
      <c r="H1199" s="77">
        <f>F1199*'Date Generale'!$D$58</f>
        <v>0</v>
      </c>
      <c r="I1199" s="77">
        <f t="shared" si="472"/>
        <v>0</v>
      </c>
      <c r="J1199" s="79">
        <f t="shared" si="473"/>
        <v>0</v>
      </c>
    </row>
    <row r="1200" spans="1:10">
      <c r="A1200" s="693" t="s">
        <v>52</v>
      </c>
      <c r="B1200" s="694"/>
      <c r="C1200" s="694"/>
      <c r="D1200" s="694"/>
      <c r="E1200" s="694"/>
      <c r="F1200" s="56">
        <f>SUM(F1201:F1202)</f>
        <v>0</v>
      </c>
      <c r="G1200" s="56">
        <f>SUM(G1201:G1202)</f>
        <v>0</v>
      </c>
      <c r="H1200" s="56">
        <f>SUM(H1201:H1202)</f>
        <v>0</v>
      </c>
      <c r="I1200" s="56">
        <f>SUM(I1201:I1202)</f>
        <v>0</v>
      </c>
      <c r="J1200" s="57">
        <f>SUM(J1201:J1202)</f>
        <v>0</v>
      </c>
    </row>
    <row r="1201" spans="1:10">
      <c r="A1201" s="80">
        <v>1</v>
      </c>
      <c r="B1201" s="81"/>
      <c r="C1201" s="76" t="str">
        <f>IF(B1201="","",VLOOKUP(B1201,'Lista articole'!$D$4:$E$2255,2,FALSE))</f>
        <v/>
      </c>
      <c r="D1201" s="77">
        <v>0</v>
      </c>
      <c r="E1201" s="78">
        <f>IF(B1201="",0,VLOOKUP(B1201,'Lista articole'!$D$4:$F$2163,3,FALSE))</f>
        <v>0</v>
      </c>
      <c r="F1201" s="77">
        <f>D1201*E1201</f>
        <v>0</v>
      </c>
      <c r="G1201" s="77">
        <f>F1201/$H$9</f>
        <v>0</v>
      </c>
      <c r="H1201" s="77">
        <f>F1201*'Date Generale'!$D$58</f>
        <v>0</v>
      </c>
      <c r="I1201" s="77">
        <f t="shared" ref="I1201:I1202" si="474">H1201+F1201</f>
        <v>0</v>
      </c>
      <c r="J1201" s="79">
        <f t="shared" ref="J1201:J1202" si="475">I1201/$H$9</f>
        <v>0</v>
      </c>
    </row>
    <row r="1202" spans="1:10">
      <c r="A1202" s="74">
        <f>A1201+1</f>
        <v>2</v>
      </c>
      <c r="B1202" s="75"/>
      <c r="C1202" s="76" t="str">
        <f>IF(B1202="","",VLOOKUP(B1202,'Lista articole'!$D$4:$E$2255,2,FALSE))</f>
        <v/>
      </c>
      <c r="D1202" s="77">
        <v>0</v>
      </c>
      <c r="E1202" s="78">
        <f>IF(B1202="",0,VLOOKUP(B1202,'Lista articole'!$D$4:$F$2163,3,FALSE))</f>
        <v>0</v>
      </c>
      <c r="F1202" s="77">
        <f t="shared" ref="F1202" si="476">D1202*E1202</f>
        <v>0</v>
      </c>
      <c r="G1202" s="77">
        <f t="shared" ref="G1202" si="477">F1202/$H$9</f>
        <v>0</v>
      </c>
      <c r="H1202" s="77">
        <f>F1202*'Date Generale'!$D$58</f>
        <v>0</v>
      </c>
      <c r="I1202" s="77">
        <f t="shared" si="474"/>
        <v>0</v>
      </c>
      <c r="J1202" s="79">
        <f t="shared" si="475"/>
        <v>0</v>
      </c>
    </row>
    <row r="1203" spans="1:10">
      <c r="A1203" s="693" t="s">
        <v>53</v>
      </c>
      <c r="B1203" s="694"/>
      <c r="C1203" s="694"/>
      <c r="D1203" s="694"/>
      <c r="E1203" s="694"/>
      <c r="F1203" s="56">
        <f>SUM(F1204:F1205)</f>
        <v>0</v>
      </c>
      <c r="G1203" s="56">
        <f>SUM(G1204:G1205)</f>
        <v>0</v>
      </c>
      <c r="H1203" s="56">
        <f>SUM(H1204:H1205)</f>
        <v>0</v>
      </c>
      <c r="I1203" s="56">
        <f>SUM(I1204:I1205)</f>
        <v>0</v>
      </c>
      <c r="J1203" s="57">
        <f>SUM(J1204:J1205)</f>
        <v>0</v>
      </c>
    </row>
    <row r="1204" spans="1:10">
      <c r="A1204" s="80">
        <v>1</v>
      </c>
      <c r="B1204" s="81"/>
      <c r="C1204" s="76" t="str">
        <f>IF(B1204="","",VLOOKUP(B1204,'Lista articole'!$D$4:$E$2255,2,FALSE))</f>
        <v/>
      </c>
      <c r="D1204" s="77">
        <v>0</v>
      </c>
      <c r="E1204" s="78">
        <f>IF(B1204="",0,VLOOKUP(B1204,'Lista articole'!$D$4:$F$2163,3,FALSE))</f>
        <v>0</v>
      </c>
      <c r="F1204" s="77">
        <f>D1204*E1204</f>
        <v>0</v>
      </c>
      <c r="G1204" s="77">
        <f>F1204/$H$9</f>
        <v>0</v>
      </c>
      <c r="H1204" s="77">
        <f>F1204*'Date Generale'!$D$58</f>
        <v>0</v>
      </c>
      <c r="I1204" s="77">
        <f t="shared" ref="I1204:I1205" si="478">H1204+F1204</f>
        <v>0</v>
      </c>
      <c r="J1204" s="79">
        <f t="shared" ref="J1204:J1205" si="479">I1204/$H$9</f>
        <v>0</v>
      </c>
    </row>
    <row r="1205" spans="1:10" ht="15.75" thickBot="1">
      <c r="A1205" s="139">
        <f>A1204+1</f>
        <v>2</v>
      </c>
      <c r="B1205" s="140"/>
      <c r="C1205" s="141" t="str">
        <f>IF(B1205="","",VLOOKUP(B1205,'Lista articole'!$D$4:$E$2255,2,FALSE))</f>
        <v/>
      </c>
      <c r="D1205" s="142">
        <v>0</v>
      </c>
      <c r="E1205" s="143">
        <f>IF(B1205="",0,VLOOKUP(B1205,'Lista articole'!$D$4:$F$2163,3,FALSE))</f>
        <v>0</v>
      </c>
      <c r="F1205" s="142">
        <f t="shared" ref="F1205" si="480">D1205*E1205</f>
        <v>0</v>
      </c>
      <c r="G1205" s="142">
        <f t="shared" ref="G1205" si="481">F1205/$H$9</f>
        <v>0</v>
      </c>
      <c r="H1205" s="142">
        <f>F1205*'Date Generale'!$D$58</f>
        <v>0</v>
      </c>
      <c r="I1205" s="142">
        <f t="shared" si="478"/>
        <v>0</v>
      </c>
      <c r="J1205" s="144">
        <f t="shared" si="479"/>
        <v>0</v>
      </c>
    </row>
    <row r="1206" spans="1:10" ht="15.75" thickBot="1">
      <c r="A1206" s="685" t="s">
        <v>27</v>
      </c>
      <c r="B1206" s="686"/>
      <c r="C1206" s="686"/>
      <c r="D1206" s="686"/>
      <c r="E1206" s="686"/>
      <c r="F1206" s="82">
        <f>SUM(F1170,F1173,F1176,F1179,F1194,F1197,F1200,F1203)</f>
        <v>0</v>
      </c>
      <c r="G1206" s="82">
        <f>SUM(G1170,G1173,G1176,G1179,G1194,G1197,G1200,G1203)</f>
        <v>0</v>
      </c>
      <c r="H1206" s="82">
        <f>SUM(H1170,H1173,H1176,H1179,H1194,H1197,H1200,H1203)</f>
        <v>0</v>
      </c>
      <c r="I1206" s="82">
        <f>SUM(I1170,I1173,I1176,I1179,I1194,I1197,I1200,I1203)</f>
        <v>0</v>
      </c>
      <c r="J1206" s="83">
        <f>SUM(J1170,J1173,J1176,J1179,J1194,J1197,J1200,J1203)</f>
        <v>0</v>
      </c>
    </row>
    <row r="1207" spans="1:10" ht="15.75" thickBot="1">
      <c r="A1207" s="683" t="s">
        <v>28</v>
      </c>
      <c r="B1207" s="684"/>
      <c r="C1207" s="684"/>
      <c r="D1207" s="684"/>
      <c r="E1207" s="684"/>
      <c r="F1207" s="72"/>
      <c r="G1207" s="72"/>
      <c r="H1207" s="72"/>
      <c r="I1207" s="72"/>
      <c r="J1207" s="73"/>
    </row>
    <row r="1208" spans="1:10">
      <c r="A1208" s="145"/>
      <c r="B1208" s="695" t="s">
        <v>29</v>
      </c>
      <c r="C1208" s="695"/>
      <c r="D1208" s="695"/>
      <c r="E1208" s="695"/>
      <c r="F1208" s="146">
        <f>SUM(F1209:F1210)</f>
        <v>0</v>
      </c>
      <c r="G1208" s="146">
        <f>SUM(G1209:G1210)</f>
        <v>0</v>
      </c>
      <c r="H1208" s="146">
        <f>SUM(H1209:H1210)</f>
        <v>0</v>
      </c>
      <c r="I1208" s="146">
        <f>SUM(I1209:I1210)</f>
        <v>0</v>
      </c>
      <c r="J1208" s="147">
        <f>SUM(J1209:J1210)</f>
        <v>0</v>
      </c>
    </row>
    <row r="1209" spans="1:10">
      <c r="A1209" s="80">
        <v>1</v>
      </c>
      <c r="B1209" s="81"/>
      <c r="C1209" s="76" t="str">
        <f>IF(B1209="","",VLOOKUP(B1209,'Lista articole'!$D$4:$E$2255,2,FALSE))</f>
        <v/>
      </c>
      <c r="D1209" s="77">
        <v>0</v>
      </c>
      <c r="E1209" s="78">
        <f>IF(B1209="",0,VLOOKUP(B1209,'Lista articole'!$D$4:$F$2163,3,FALSE))</f>
        <v>0</v>
      </c>
      <c r="F1209" s="77">
        <f>D1209*E1209</f>
        <v>0</v>
      </c>
      <c r="G1209" s="77">
        <f>F1209/$H$9</f>
        <v>0</v>
      </c>
      <c r="H1209" s="77">
        <f>F1209*'Date Generale'!$D$58</f>
        <v>0</v>
      </c>
      <c r="I1209" s="77">
        <f t="shared" ref="I1209:I1210" si="482">H1209+F1209</f>
        <v>0</v>
      </c>
      <c r="J1209" s="79">
        <f t="shared" ref="J1209:J1210" si="483">I1209/$H$9</f>
        <v>0</v>
      </c>
    </row>
    <row r="1210" spans="1:10" ht="15.75" thickBot="1">
      <c r="A1210" s="139">
        <f>A1209+1</f>
        <v>2</v>
      </c>
      <c r="B1210" s="140"/>
      <c r="C1210" s="141" t="str">
        <f>IF(B1210="","",VLOOKUP(B1210,'Lista articole'!$D$4:$E$2255,2,FALSE))</f>
        <v/>
      </c>
      <c r="D1210" s="142">
        <v>0</v>
      </c>
      <c r="E1210" s="143">
        <f>IF(B1210="",0,VLOOKUP(B1210,'Lista articole'!$D$4:$F$2163,3,FALSE))</f>
        <v>0</v>
      </c>
      <c r="F1210" s="142">
        <f t="shared" ref="F1210" si="484">D1210*E1210</f>
        <v>0</v>
      </c>
      <c r="G1210" s="142">
        <f t="shared" ref="G1210" si="485">F1210/$H$9</f>
        <v>0</v>
      </c>
      <c r="H1210" s="142">
        <f>F1210*'Date Generale'!$D$58</f>
        <v>0</v>
      </c>
      <c r="I1210" s="142">
        <f t="shared" si="482"/>
        <v>0</v>
      </c>
      <c r="J1210" s="144">
        <f t="shared" si="483"/>
        <v>0</v>
      </c>
    </row>
    <row r="1211" spans="1:10" ht="15.75" thickBot="1">
      <c r="A1211" s="685" t="s">
        <v>30</v>
      </c>
      <c r="B1211" s="686"/>
      <c r="C1211" s="686"/>
      <c r="D1211" s="686"/>
      <c r="E1211" s="686"/>
      <c r="F1211" s="85">
        <f>F1208</f>
        <v>0</v>
      </c>
      <c r="G1211" s="85">
        <f>G1208</f>
        <v>0</v>
      </c>
      <c r="H1211" s="85">
        <f>H1208</f>
        <v>0</v>
      </c>
      <c r="I1211" s="85">
        <f>I1208</f>
        <v>0</v>
      </c>
      <c r="J1211" s="86">
        <f>J1208</f>
        <v>0</v>
      </c>
    </row>
    <row r="1212" spans="1:10" ht="15.75" thickBot="1">
      <c r="A1212" s="683" t="s">
        <v>31</v>
      </c>
      <c r="B1212" s="684"/>
      <c r="C1212" s="684"/>
      <c r="D1212" s="684"/>
      <c r="E1212" s="684"/>
      <c r="F1212" s="72"/>
      <c r="G1212" s="72"/>
      <c r="H1212" s="72"/>
      <c r="I1212" s="72"/>
      <c r="J1212" s="73"/>
    </row>
    <row r="1213" spans="1:10">
      <c r="A1213" s="145"/>
      <c r="B1213" s="695" t="s">
        <v>32</v>
      </c>
      <c r="C1213" s="695"/>
      <c r="D1213" s="695"/>
      <c r="E1213" s="695"/>
      <c r="F1213" s="148">
        <f>SUM(F1214:F1215)</f>
        <v>0</v>
      </c>
      <c r="G1213" s="148">
        <f>SUM(G1214:G1215)</f>
        <v>0</v>
      </c>
      <c r="H1213" s="148">
        <f>SUM(H1214:H1215)</f>
        <v>0</v>
      </c>
      <c r="I1213" s="148">
        <f>SUM(I1214:I1215)</f>
        <v>0</v>
      </c>
      <c r="J1213" s="149">
        <f>SUM(J1214:J1215)</f>
        <v>0</v>
      </c>
    </row>
    <row r="1214" spans="1:10">
      <c r="A1214" s="80">
        <v>1</v>
      </c>
      <c r="B1214" s="81"/>
      <c r="C1214" s="76" t="str">
        <f>IF(B1214="","",VLOOKUP(B1214,'Lista articole'!$D$4:$E$2255,2,FALSE))</f>
        <v/>
      </c>
      <c r="D1214" s="77">
        <v>0</v>
      </c>
      <c r="E1214" s="78">
        <f>IF(B1214="",0,VLOOKUP(B1214,'Lista articole'!$D$4:$F$2163,3,FALSE))</f>
        <v>0</v>
      </c>
      <c r="F1214" s="77">
        <f>D1214*E1214</f>
        <v>0</v>
      </c>
      <c r="G1214" s="77">
        <f>F1214/$H$9</f>
        <v>0</v>
      </c>
      <c r="H1214" s="77">
        <f>F1214*'Date Generale'!$D$58</f>
        <v>0</v>
      </c>
      <c r="I1214" s="77">
        <f t="shared" ref="I1214:I1215" si="486">H1214+F1214</f>
        <v>0</v>
      </c>
      <c r="J1214" s="79">
        <f t="shared" ref="J1214:J1215" si="487">I1214/$H$9</f>
        <v>0</v>
      </c>
    </row>
    <row r="1215" spans="1:10">
      <c r="A1215" s="74">
        <f>A1214+1</f>
        <v>2</v>
      </c>
      <c r="B1215" s="75"/>
      <c r="C1215" s="76" t="str">
        <f>IF(B1215="","",VLOOKUP(B1215,'Lista articole'!$D$4:$E$2255,2,FALSE))</f>
        <v/>
      </c>
      <c r="D1215" s="77">
        <v>0</v>
      </c>
      <c r="E1215" s="78">
        <f>IF(B1215="",0,VLOOKUP(B1215,'Lista articole'!$D$4:$F$2163,3,FALSE))</f>
        <v>0</v>
      </c>
      <c r="F1215" s="77">
        <f t="shared" ref="F1215" si="488">D1215*E1215</f>
        <v>0</v>
      </c>
      <c r="G1215" s="77">
        <f t="shared" ref="G1215" si="489">F1215/$H$9</f>
        <v>0</v>
      </c>
      <c r="H1215" s="77">
        <f>F1215*'Date Generale'!$D$58</f>
        <v>0</v>
      </c>
      <c r="I1215" s="77">
        <f t="shared" si="486"/>
        <v>0</v>
      </c>
      <c r="J1215" s="79">
        <f t="shared" si="487"/>
        <v>0</v>
      </c>
    </row>
    <row r="1216" spans="1:10">
      <c r="A1216" s="87"/>
      <c r="B1216" s="696" t="s">
        <v>33</v>
      </c>
      <c r="C1216" s="696"/>
      <c r="D1216" s="696"/>
      <c r="E1216" s="696"/>
      <c r="F1216" s="88">
        <f>SUM(F1217:F1218)</f>
        <v>0</v>
      </c>
      <c r="G1216" s="88">
        <f>SUM(G1217:G1218)</f>
        <v>0</v>
      </c>
      <c r="H1216" s="88">
        <f>SUM(H1217:H1218)</f>
        <v>0</v>
      </c>
      <c r="I1216" s="88">
        <f>SUM(I1217:I1218)</f>
        <v>0</v>
      </c>
      <c r="J1216" s="89">
        <f>SUM(J1217:J1218)</f>
        <v>0</v>
      </c>
    </row>
    <row r="1217" spans="1:11">
      <c r="A1217" s="80">
        <v>1</v>
      </c>
      <c r="B1217" s="81"/>
      <c r="C1217" s="76" t="str">
        <f>IF(B1217="","",VLOOKUP(B1217,'Lista articole'!$D$4:$E$2255,2,FALSE))</f>
        <v/>
      </c>
      <c r="D1217" s="77">
        <v>0</v>
      </c>
      <c r="E1217" s="78">
        <f>IF(B1217="",0,VLOOKUP(B1217,'Lista articole'!$D$4:$F$2163,3,FALSE))</f>
        <v>0</v>
      </c>
      <c r="F1217" s="77">
        <f>D1217*E1217</f>
        <v>0</v>
      </c>
      <c r="G1217" s="77">
        <f>F1217/$H$9</f>
        <v>0</v>
      </c>
      <c r="H1217" s="77">
        <f>F1217*'Date Generale'!$D$58</f>
        <v>0</v>
      </c>
      <c r="I1217" s="77">
        <f t="shared" ref="I1217:I1218" si="490">H1217+F1217</f>
        <v>0</v>
      </c>
      <c r="J1217" s="79">
        <f t="shared" ref="J1217:J1218" si="491">I1217/$H$9</f>
        <v>0</v>
      </c>
    </row>
    <row r="1218" spans="1:11">
      <c r="A1218" s="74">
        <f>A1217+1</f>
        <v>2</v>
      </c>
      <c r="B1218" s="75"/>
      <c r="C1218" s="76" t="str">
        <f>IF(B1218="","",VLOOKUP(B1218,'Lista articole'!$D$4:$E$2255,2,FALSE))</f>
        <v/>
      </c>
      <c r="D1218" s="77">
        <v>0</v>
      </c>
      <c r="E1218" s="78">
        <f>IF(B1218="",0,VLOOKUP(B1218,'Lista articole'!$D$4:$F$2163,3,FALSE))</f>
        <v>0</v>
      </c>
      <c r="F1218" s="77">
        <f t="shared" ref="F1218" si="492">D1218*E1218</f>
        <v>0</v>
      </c>
      <c r="G1218" s="77">
        <f t="shared" ref="G1218" si="493">F1218/$H$9</f>
        <v>0</v>
      </c>
      <c r="H1218" s="77">
        <f>F1218*'Date Generale'!$D$58</f>
        <v>0</v>
      </c>
      <c r="I1218" s="77">
        <f t="shared" si="490"/>
        <v>0</v>
      </c>
      <c r="J1218" s="79">
        <f t="shared" si="491"/>
        <v>0</v>
      </c>
    </row>
    <row r="1219" spans="1:11">
      <c r="A1219" s="87"/>
      <c r="B1219" s="696" t="s">
        <v>34</v>
      </c>
      <c r="C1219" s="696"/>
      <c r="D1219" s="696"/>
      <c r="E1219" s="696"/>
      <c r="F1219" s="88">
        <f>SUM(F1220:F1221)</f>
        <v>0</v>
      </c>
      <c r="G1219" s="88">
        <f>SUM(G1220:G1221)</f>
        <v>0</v>
      </c>
      <c r="H1219" s="88">
        <f>SUM(H1220:H1221)</f>
        <v>0</v>
      </c>
      <c r="I1219" s="88">
        <f>SUM(I1220:I1221)</f>
        <v>0</v>
      </c>
      <c r="J1219" s="89">
        <f>SUM(J1220:J1221)</f>
        <v>0</v>
      </c>
    </row>
    <row r="1220" spans="1:11">
      <c r="A1220" s="80">
        <v>1</v>
      </c>
      <c r="B1220" s="81"/>
      <c r="C1220" s="76" t="str">
        <f>IF(B1220="","",VLOOKUP(B1220,'Lista articole'!$D$4:$E$2255,2,FALSE))</f>
        <v/>
      </c>
      <c r="D1220" s="77">
        <v>0</v>
      </c>
      <c r="E1220" s="78">
        <f>IF(B1220="",0,VLOOKUP(B1220,'Lista articole'!$D$4:$F$2163,3,FALSE))</f>
        <v>0</v>
      </c>
      <c r="F1220" s="77">
        <f>D1220*E1220</f>
        <v>0</v>
      </c>
      <c r="G1220" s="77">
        <f>F1220/$H$9</f>
        <v>0</v>
      </c>
      <c r="H1220" s="77">
        <f>F1220*'Date Generale'!$D$58</f>
        <v>0</v>
      </c>
      <c r="I1220" s="77">
        <f t="shared" ref="I1220:I1221" si="494">H1220+F1220</f>
        <v>0</v>
      </c>
      <c r="J1220" s="79">
        <f t="shared" ref="J1220:J1221" si="495">I1220/$H$9</f>
        <v>0</v>
      </c>
    </row>
    <row r="1221" spans="1:11" ht="15.75" thickBot="1">
      <c r="A1221" s="139">
        <f>A1220+1</f>
        <v>2</v>
      </c>
      <c r="B1221" s="140"/>
      <c r="C1221" s="141" t="str">
        <f>IF(B1221="","",VLOOKUP(B1221,'Lista articole'!$D$4:$E$2255,2,FALSE))</f>
        <v/>
      </c>
      <c r="D1221" s="142">
        <v>0</v>
      </c>
      <c r="E1221" s="143">
        <f>IF(B1221="",0,VLOOKUP(B1221,'Lista articole'!$D$4:$F$2163,3,FALSE))</f>
        <v>0</v>
      </c>
      <c r="F1221" s="142">
        <f t="shared" ref="F1221" si="496">D1221*E1221</f>
        <v>0</v>
      </c>
      <c r="G1221" s="142">
        <f t="shared" ref="G1221" si="497">F1221/$H$9</f>
        <v>0</v>
      </c>
      <c r="H1221" s="142">
        <f>F1221*'Date Generale'!$D$58</f>
        <v>0</v>
      </c>
      <c r="I1221" s="142">
        <f t="shared" si="494"/>
        <v>0</v>
      </c>
      <c r="J1221" s="144">
        <f t="shared" si="495"/>
        <v>0</v>
      </c>
    </row>
    <row r="1222" spans="1:11" ht="15.75" thickBot="1">
      <c r="A1222" s="685" t="s">
        <v>35</v>
      </c>
      <c r="B1222" s="686"/>
      <c r="C1222" s="686"/>
      <c r="D1222" s="686"/>
      <c r="E1222" s="686"/>
      <c r="F1222" s="62">
        <f>SUM(F1219,F1216,F1213)</f>
        <v>0</v>
      </c>
      <c r="G1222" s="62">
        <f>SUM(G1219,G1216,G1213)</f>
        <v>0</v>
      </c>
      <c r="H1222" s="62">
        <f>SUM(H1219,H1216,H1213)</f>
        <v>0</v>
      </c>
      <c r="I1222" s="62">
        <f>SUM(I1219,I1216,I1213)</f>
        <v>0</v>
      </c>
      <c r="J1222" s="63">
        <f>SUM(J1219,J1216,J1213)</f>
        <v>0</v>
      </c>
    </row>
    <row r="1223" spans="1:11">
      <c r="A1223" s="38"/>
      <c r="B1223" s="39"/>
      <c r="C1223" s="39"/>
      <c r="D1223" s="39"/>
      <c r="E1223" s="39"/>
      <c r="F1223" s="39"/>
      <c r="G1223" s="39"/>
      <c r="H1223" s="39"/>
      <c r="I1223" s="39"/>
      <c r="J1223" s="39"/>
    </row>
    <row r="1224" spans="1:11">
      <c r="A1224" s="38"/>
      <c r="C1224" s="42"/>
      <c r="D1224" s="42"/>
      <c r="E1224" s="42"/>
      <c r="F1224" s="42"/>
      <c r="G1224" s="42"/>
      <c r="H1224" s="42"/>
      <c r="I1224" s="42"/>
      <c r="J1224" s="42"/>
    </row>
    <row r="1225" spans="1:11" ht="18.75">
      <c r="A1225" s="42"/>
      <c r="B1225" s="90" t="s">
        <v>37</v>
      </c>
      <c r="C1225" s="42"/>
      <c r="D1225" s="42"/>
      <c r="E1225" s="42"/>
      <c r="F1225" s="42"/>
      <c r="G1225" s="42"/>
      <c r="H1225" s="42"/>
      <c r="I1225" s="42"/>
      <c r="J1225" s="42"/>
    </row>
    <row r="1226" spans="1:11" ht="18.75">
      <c r="A1226" s="38"/>
      <c r="B1226" s="90" t="str">
        <f>'Date Generale'!$C$7</f>
        <v>S.C. Tehno Consoulting Solutions S.R.L.</v>
      </c>
      <c r="C1226" s="39"/>
      <c r="D1226" s="39"/>
      <c r="E1226" s="39"/>
      <c r="F1226" s="39"/>
      <c r="G1226" s="39"/>
      <c r="H1226" s="39"/>
      <c r="I1226" s="39"/>
      <c r="J1226" s="39"/>
    </row>
    <row r="1227" spans="1:11">
      <c r="A1227" s="35"/>
      <c r="B1227" s="93"/>
      <c r="C1227" s="94"/>
      <c r="D1227" s="95"/>
      <c r="E1227" s="96"/>
      <c r="F1227" s="96"/>
      <c r="G1227" s="95"/>
      <c r="H1227" s="95"/>
      <c r="I1227" s="95"/>
      <c r="J1227" s="95"/>
    </row>
    <row r="1228" spans="1:11">
      <c r="A1228" s="35"/>
      <c r="B1228" s="93"/>
      <c r="C1228" s="94"/>
      <c r="D1228" s="95"/>
      <c r="E1228" s="96"/>
      <c r="F1228" s="96"/>
      <c r="G1228" s="95"/>
      <c r="H1228" s="95"/>
      <c r="I1228" s="95"/>
      <c r="J1228" s="95"/>
    </row>
    <row r="1229" spans="1:11">
      <c r="A1229" s="35"/>
      <c r="B1229" s="98"/>
      <c r="C1229" s="94"/>
      <c r="D1229" s="95"/>
      <c r="E1229" s="96"/>
      <c r="F1229" s="96"/>
      <c r="G1229" s="95"/>
      <c r="H1229" s="95"/>
      <c r="I1229" s="95"/>
      <c r="J1229" s="95"/>
      <c r="K1229" s="67"/>
    </row>
    <row r="1230" spans="1:11" ht="15.75">
      <c r="A1230" s="41" t="str">
        <f>"Beneficiar: " &amp;'Date Generale'!$C$6</f>
        <v xml:space="preserve">Beneficiar: Judetul Arges </v>
      </c>
      <c r="B1230" s="41"/>
      <c r="C1230" s="42"/>
      <c r="D1230" s="42"/>
      <c r="E1230" s="69"/>
      <c r="F1230" s="42"/>
      <c r="G1230" s="42"/>
      <c r="H1230" s="42"/>
      <c r="I1230" s="42"/>
      <c r="J1230" s="42"/>
    </row>
    <row r="1231" spans="1:11" ht="15.75">
      <c r="A1231" s="41" t="str">
        <f>"Denumire proiect: " &amp; 'Date Generale'!$C$3</f>
        <v>Denumire proiect: Modernizare DJ 703B Serbanesti (DJ659) - Silistea, km 70+410 - 77+826, 7.416km, in comunele Rociu si Cateasca</v>
      </c>
      <c r="B1231" s="41"/>
      <c r="C1231" s="44"/>
      <c r="D1231" s="44"/>
      <c r="E1231" s="44"/>
      <c r="F1231" s="44"/>
      <c r="G1231" s="44"/>
      <c r="H1231" s="44"/>
      <c r="I1231" s="44"/>
      <c r="J1231" s="44"/>
    </row>
    <row r="1232" spans="1:11" ht="15.75">
      <c r="A1232" s="41"/>
      <c r="B1232" s="41"/>
      <c r="C1232" s="44"/>
      <c r="D1232" s="44"/>
      <c r="E1232" s="44"/>
      <c r="F1232" s="44"/>
      <c r="G1232" s="44"/>
      <c r="H1232" s="44"/>
      <c r="I1232" s="44"/>
      <c r="J1232" s="44"/>
    </row>
    <row r="1233" spans="1:10" ht="15.75">
      <c r="A1233" s="41" t="str">
        <f>'Date Generale'!$E$76</f>
        <v>Obiect 016:0</v>
      </c>
      <c r="B1233" s="41"/>
      <c r="C1233" s="44"/>
      <c r="D1233" s="44"/>
      <c r="E1233" s="44"/>
      <c r="F1233" s="44"/>
      <c r="G1233" s="44"/>
      <c r="H1233" s="44"/>
      <c r="I1233" s="44"/>
      <c r="J1233" s="44"/>
    </row>
    <row r="1234" spans="1:10" ht="15.75">
      <c r="A1234" s="70"/>
      <c r="B1234" s="44"/>
      <c r="C1234" s="44"/>
      <c r="D1234" s="44"/>
      <c r="E1234" s="44"/>
      <c r="F1234" s="44"/>
      <c r="G1234" s="44"/>
      <c r="H1234" s="44"/>
      <c r="I1234" s="44"/>
      <c r="J1234" s="44"/>
    </row>
    <row r="1235" spans="1:10">
      <c r="A1235" s="687" t="s">
        <v>38</v>
      </c>
      <c r="B1235" s="687"/>
      <c r="C1235" s="687"/>
      <c r="D1235" s="687"/>
      <c r="E1235" s="687"/>
      <c r="F1235" s="687"/>
      <c r="G1235" s="687"/>
      <c r="H1235" s="687"/>
      <c r="I1235" s="687"/>
      <c r="J1235" s="687"/>
    </row>
    <row r="1236" spans="1:10">
      <c r="A1236" s="371"/>
      <c r="B1236" s="371"/>
      <c r="C1236" s="371"/>
      <c r="D1236" s="371"/>
      <c r="E1236" s="371"/>
      <c r="F1236" s="371"/>
      <c r="G1236" s="371"/>
      <c r="H1236" s="371"/>
      <c r="I1236" s="371"/>
      <c r="J1236" s="371"/>
    </row>
    <row r="1237" spans="1:10" ht="15.75" thickBot="1">
      <c r="A1237" s="42"/>
      <c r="B1237" s="46"/>
      <c r="C1237" s="71"/>
      <c r="D1237" s="71"/>
      <c r="E1237" s="71"/>
      <c r="F1237" s="33"/>
      <c r="G1237" s="47" t="s">
        <v>2</v>
      </c>
      <c r="H1237" s="48">
        <f>'Date Generale'!$C$54</f>
        <v>4.7233000000000001</v>
      </c>
      <c r="I1237" s="49" t="s">
        <v>3</v>
      </c>
      <c r="J1237" s="50" t="str">
        <f>'Date Generale'!$D$54</f>
        <v>21,06,2019</v>
      </c>
    </row>
    <row r="1238" spans="1:10" ht="15.75" thickBot="1">
      <c r="A1238" s="688" t="s">
        <v>4</v>
      </c>
      <c r="B1238" s="688" t="s">
        <v>5</v>
      </c>
      <c r="C1238" s="688" t="s">
        <v>39</v>
      </c>
      <c r="D1238" s="688" t="s">
        <v>40</v>
      </c>
      <c r="E1238" s="688" t="s">
        <v>228</v>
      </c>
      <c r="F1238" s="689" t="s">
        <v>160</v>
      </c>
      <c r="G1238" s="689"/>
      <c r="H1238" s="372" t="s">
        <v>7</v>
      </c>
      <c r="I1238" s="689" t="s">
        <v>159</v>
      </c>
      <c r="J1238" s="689"/>
    </row>
    <row r="1239" spans="1:10" ht="15.75" thickBot="1">
      <c r="A1239" s="688"/>
      <c r="B1239" s="688"/>
      <c r="C1239" s="688"/>
      <c r="D1239" s="688"/>
      <c r="E1239" s="688"/>
      <c r="F1239" s="51" t="s">
        <v>9</v>
      </c>
      <c r="G1239" s="51" t="s">
        <v>10</v>
      </c>
      <c r="H1239" s="51" t="s">
        <v>9</v>
      </c>
      <c r="I1239" s="51" t="s">
        <v>9</v>
      </c>
      <c r="J1239" s="51" t="s">
        <v>10</v>
      </c>
    </row>
    <row r="1240" spans="1:10" ht="15.75" thickBot="1">
      <c r="A1240" s="3">
        <v>1</v>
      </c>
      <c r="B1240" s="1">
        <v>2</v>
      </c>
      <c r="C1240" s="1">
        <v>3</v>
      </c>
      <c r="D1240" s="1">
        <v>4</v>
      </c>
      <c r="E1240" s="1">
        <v>5</v>
      </c>
      <c r="F1240" s="1">
        <v>6</v>
      </c>
      <c r="G1240" s="1">
        <v>7</v>
      </c>
      <c r="H1240" s="1">
        <v>8</v>
      </c>
      <c r="I1240" s="1">
        <v>9</v>
      </c>
      <c r="J1240" s="1">
        <v>10</v>
      </c>
    </row>
    <row r="1241" spans="1:10" ht="15.75" thickBot="1">
      <c r="A1241" s="683" t="s">
        <v>11</v>
      </c>
      <c r="B1241" s="684"/>
      <c r="C1241" s="684"/>
      <c r="D1241" s="684"/>
      <c r="E1241" s="684"/>
      <c r="F1241" s="72"/>
      <c r="G1241" s="72"/>
      <c r="H1241" s="72"/>
      <c r="I1241" s="72"/>
      <c r="J1241" s="73"/>
    </row>
    <row r="1242" spans="1:10">
      <c r="A1242" s="691" t="s">
        <v>41</v>
      </c>
      <c r="B1242" s="692"/>
      <c r="C1242" s="692"/>
      <c r="D1242" s="692"/>
      <c r="E1242" s="692"/>
      <c r="F1242" s="137">
        <f>SUM(F1243:F1244)</f>
        <v>0</v>
      </c>
      <c r="G1242" s="137">
        <f>SUM(G1243:G1244)</f>
        <v>0</v>
      </c>
      <c r="H1242" s="137">
        <f>SUM(H1243:H1244)</f>
        <v>0</v>
      </c>
      <c r="I1242" s="137">
        <f>SUM(I1243:I1244)</f>
        <v>0</v>
      </c>
      <c r="J1242" s="138">
        <f>SUM(J1243:J1244)</f>
        <v>0</v>
      </c>
    </row>
    <row r="1243" spans="1:10">
      <c r="A1243" s="74">
        <v>1</v>
      </c>
      <c r="B1243" s="75"/>
      <c r="C1243" s="76" t="str">
        <f>IF(B1243="","",VLOOKUP(B1243,'Lista articole'!$D$4:$E$2255,2,FALSE))</f>
        <v/>
      </c>
      <c r="D1243" s="77">
        <v>0</v>
      </c>
      <c r="E1243" s="78">
        <f>IF(B1243="",0,VLOOKUP(B1243,'Lista articole'!$D$4:$F$2163,3,FALSE))</f>
        <v>0</v>
      </c>
      <c r="F1243" s="77">
        <f>D1243*E1243</f>
        <v>0</v>
      </c>
      <c r="G1243" s="77">
        <f t="shared" ref="G1243:G1244" si="498">F1243/$H$9</f>
        <v>0</v>
      </c>
      <c r="H1243" s="77">
        <f>F1243*'Date Generale'!$D$58</f>
        <v>0</v>
      </c>
      <c r="I1243" s="77">
        <f>H1243+F1243</f>
        <v>0</v>
      </c>
      <c r="J1243" s="79">
        <f>I1243/$H$9</f>
        <v>0</v>
      </c>
    </row>
    <row r="1244" spans="1:10">
      <c r="A1244" s="74">
        <v>2</v>
      </c>
      <c r="B1244" s="75"/>
      <c r="C1244" s="76" t="str">
        <f>IF(B1244="","",VLOOKUP(B1244,'Lista articole'!$D$4:$E$2255,2,FALSE))</f>
        <v/>
      </c>
      <c r="D1244" s="77">
        <v>0</v>
      </c>
      <c r="E1244" s="78">
        <f>IF(B1244="",0,VLOOKUP(B1244,'Lista articole'!$D$4:$F$2163,3,FALSE))</f>
        <v>0</v>
      </c>
      <c r="F1244" s="77">
        <f>D1244*E1244</f>
        <v>0</v>
      </c>
      <c r="G1244" s="77">
        <f t="shared" si="498"/>
        <v>0</v>
      </c>
      <c r="H1244" s="77">
        <f>F1244*'Date Generale'!$D$58</f>
        <v>0</v>
      </c>
      <c r="I1244" s="77">
        <f>H1244+F1244</f>
        <v>0</v>
      </c>
      <c r="J1244" s="79">
        <f>I1244/$H$9</f>
        <v>0</v>
      </c>
    </row>
    <row r="1245" spans="1:10">
      <c r="A1245" s="693" t="s">
        <v>44</v>
      </c>
      <c r="B1245" s="694"/>
      <c r="C1245" s="694"/>
      <c r="D1245" s="694"/>
      <c r="E1245" s="694"/>
      <c r="F1245" s="56">
        <f>SUM(F1246:F1247)</f>
        <v>0</v>
      </c>
      <c r="G1245" s="56">
        <f>SUM(G1246:G1247)</f>
        <v>0</v>
      </c>
      <c r="H1245" s="56">
        <f>SUM(H1246:H1247)</f>
        <v>0</v>
      </c>
      <c r="I1245" s="56">
        <f>SUM(I1246:I1247)</f>
        <v>0</v>
      </c>
      <c r="J1245" s="57">
        <f>SUM(J1246:J1247)</f>
        <v>0</v>
      </c>
    </row>
    <row r="1246" spans="1:10">
      <c r="A1246" s="80">
        <v>1</v>
      </c>
      <c r="B1246" s="81"/>
      <c r="C1246" s="76" t="str">
        <f>IF(B1246="","",VLOOKUP(B1246,'Lista articole'!$D$4:$E$2255,2,FALSE))</f>
        <v/>
      </c>
      <c r="D1246" s="77">
        <v>0</v>
      </c>
      <c r="E1246" s="78">
        <f>IF(B1246="",0,VLOOKUP(B1246,'Lista articole'!$D$4:$F$2163,3,FALSE))</f>
        <v>0</v>
      </c>
      <c r="F1246" s="77">
        <f t="shared" ref="F1246:F1247" si="499">D1246*E1246</f>
        <v>0</v>
      </c>
      <c r="G1246" s="77">
        <f t="shared" ref="G1246:G1247" si="500">F1246/$H$9</f>
        <v>0</v>
      </c>
      <c r="H1246" s="77">
        <f>F1246*'Date Generale'!$D$58</f>
        <v>0</v>
      </c>
      <c r="I1246" s="77">
        <f t="shared" ref="I1246:I1247" si="501">H1246+F1246</f>
        <v>0</v>
      </c>
      <c r="J1246" s="79">
        <f t="shared" ref="J1246:J1247" si="502">I1246/$H$9</f>
        <v>0</v>
      </c>
    </row>
    <row r="1247" spans="1:10">
      <c r="A1247" s="80">
        <f t="shared" ref="A1247" si="503">A1246+1</f>
        <v>2</v>
      </c>
      <c r="B1247" s="81"/>
      <c r="C1247" s="76" t="str">
        <f>IF(B1247="","",VLOOKUP(B1247,'Lista articole'!$D$4:$E$2255,2,FALSE))</f>
        <v/>
      </c>
      <c r="D1247" s="77">
        <v>0</v>
      </c>
      <c r="E1247" s="78">
        <f>IF(B1247="",0,VLOOKUP(B1247,'Lista articole'!$D$4:$F$2163,3,FALSE))</f>
        <v>0</v>
      </c>
      <c r="F1247" s="77">
        <f t="shared" si="499"/>
        <v>0</v>
      </c>
      <c r="G1247" s="77">
        <f t="shared" si="500"/>
        <v>0</v>
      </c>
      <c r="H1247" s="77">
        <f>F1247*'Date Generale'!$D$58</f>
        <v>0</v>
      </c>
      <c r="I1247" s="77">
        <f t="shared" si="501"/>
        <v>0</v>
      </c>
      <c r="J1247" s="79">
        <f t="shared" si="502"/>
        <v>0</v>
      </c>
    </row>
    <row r="1248" spans="1:10">
      <c r="A1248" s="693" t="s">
        <v>45</v>
      </c>
      <c r="B1248" s="694"/>
      <c r="C1248" s="694"/>
      <c r="D1248" s="694"/>
      <c r="E1248" s="694"/>
      <c r="F1248" s="56">
        <f>SUM(F1249:F1250)</f>
        <v>0</v>
      </c>
      <c r="G1248" s="56">
        <f>SUM(G1249:G1250)</f>
        <v>0</v>
      </c>
      <c r="H1248" s="56">
        <f>SUM(H1249:H1250)</f>
        <v>0</v>
      </c>
      <c r="I1248" s="56">
        <f>SUM(I1249:I1250)</f>
        <v>0</v>
      </c>
      <c r="J1248" s="57">
        <f>SUM(J1249:J1250)</f>
        <v>0</v>
      </c>
    </row>
    <row r="1249" spans="1:10">
      <c r="A1249" s="80">
        <v>1</v>
      </c>
      <c r="B1249" s="81"/>
      <c r="C1249" s="76" t="str">
        <f>IF(B1249="","",VLOOKUP(B1249,'Lista articole'!$D$4:$E$2255,2,FALSE))</f>
        <v/>
      </c>
      <c r="D1249" s="77">
        <v>0</v>
      </c>
      <c r="E1249" s="78">
        <f>IF(B1249="",0,VLOOKUP(B1249,'Lista articole'!$D$4:$F$2163,3,FALSE))</f>
        <v>0</v>
      </c>
      <c r="F1249" s="77">
        <f t="shared" ref="F1249:F1250" si="504">D1249*E1249</f>
        <v>0</v>
      </c>
      <c r="G1249" s="77">
        <f t="shared" ref="G1249:G1250" si="505">F1249/$H$9</f>
        <v>0</v>
      </c>
      <c r="H1249" s="77">
        <f>F1249*'Date Generale'!$D$58</f>
        <v>0</v>
      </c>
      <c r="I1249" s="77">
        <f t="shared" ref="I1249:I1250" si="506">H1249+F1249</f>
        <v>0</v>
      </c>
      <c r="J1249" s="79">
        <f t="shared" ref="J1249:J1250" si="507">I1249/$H$9</f>
        <v>0</v>
      </c>
    </row>
    <row r="1250" spans="1:10">
      <c r="A1250" s="80">
        <v>2</v>
      </c>
      <c r="B1250" s="81"/>
      <c r="C1250" s="76" t="str">
        <f>IF(B1250="","",VLOOKUP(B1250,'Lista articole'!$D$4:$E$2255,2,FALSE))</f>
        <v/>
      </c>
      <c r="D1250" s="77">
        <v>0</v>
      </c>
      <c r="E1250" s="78">
        <f>IF(B1250="",0,VLOOKUP(B1250,'Lista articole'!$D$4:$F$2163,3,FALSE))</f>
        <v>0</v>
      </c>
      <c r="F1250" s="77">
        <f t="shared" si="504"/>
        <v>0</v>
      </c>
      <c r="G1250" s="77">
        <f t="shared" si="505"/>
        <v>0</v>
      </c>
      <c r="H1250" s="77">
        <f>F1250*'Date Generale'!$D$58</f>
        <v>0</v>
      </c>
      <c r="I1250" s="77">
        <f t="shared" si="506"/>
        <v>0</v>
      </c>
      <c r="J1250" s="79">
        <f t="shared" si="507"/>
        <v>0</v>
      </c>
    </row>
    <row r="1251" spans="1:10">
      <c r="A1251" s="693" t="s">
        <v>46</v>
      </c>
      <c r="B1251" s="694"/>
      <c r="C1251" s="694"/>
      <c r="D1251" s="694"/>
      <c r="E1251" s="694"/>
      <c r="F1251" s="56">
        <f>SUM(F1252:F1265)</f>
        <v>0</v>
      </c>
      <c r="G1251" s="56">
        <f>SUM(G1252:G1265)</f>
        <v>0</v>
      </c>
      <c r="H1251" s="56">
        <f>SUM(H1252:H1265)</f>
        <v>0</v>
      </c>
      <c r="I1251" s="56">
        <f>SUM(I1252:I1265)</f>
        <v>0</v>
      </c>
      <c r="J1251" s="57">
        <f>SUM(J1252:J1265)</f>
        <v>0</v>
      </c>
    </row>
    <row r="1252" spans="1:10">
      <c r="A1252" s="80">
        <v>1</v>
      </c>
      <c r="B1252" s="81"/>
      <c r="C1252" s="76" t="str">
        <f>IF(B1252="","",VLOOKUP(B1252,'Lista articole'!$D$4:$E$2255,2,FALSE))</f>
        <v/>
      </c>
      <c r="D1252" s="77">
        <v>0</v>
      </c>
      <c r="E1252" s="78">
        <f>IF(B1252="",0,VLOOKUP(B1252,'Lista articole'!$D$4:$F$2163,3,FALSE))</f>
        <v>0</v>
      </c>
      <c r="F1252" s="77">
        <f t="shared" ref="F1252:F1265" si="508">D1252*E1252</f>
        <v>0</v>
      </c>
      <c r="G1252" s="77">
        <f t="shared" ref="G1252:G1265" si="509">F1252/$H$9</f>
        <v>0</v>
      </c>
      <c r="H1252" s="77">
        <f>F1252*'Date Generale'!$D$58</f>
        <v>0</v>
      </c>
      <c r="I1252" s="77">
        <f t="shared" ref="I1252:I1265" si="510">H1252+F1252</f>
        <v>0</v>
      </c>
      <c r="J1252" s="79">
        <f t="shared" ref="J1252:J1265" si="511">I1252/$H$9</f>
        <v>0</v>
      </c>
    </row>
    <row r="1253" spans="1:10">
      <c r="A1253" s="80">
        <v>2</v>
      </c>
      <c r="B1253" s="81"/>
      <c r="C1253" s="76" t="str">
        <f>IF(B1253="","",VLOOKUP(B1253,'Lista articole'!$D$4:$E$2255,2,FALSE))</f>
        <v/>
      </c>
      <c r="D1253" s="77">
        <v>0</v>
      </c>
      <c r="E1253" s="78">
        <f>IF(B1253="",0,VLOOKUP(B1253,'Lista articole'!$D$4:$F$2163,3,FALSE))</f>
        <v>0</v>
      </c>
      <c r="F1253" s="77">
        <f t="shared" si="508"/>
        <v>0</v>
      </c>
      <c r="G1253" s="77">
        <f t="shared" si="509"/>
        <v>0</v>
      </c>
      <c r="H1253" s="77">
        <f>F1253*'Date Generale'!$D$58</f>
        <v>0</v>
      </c>
      <c r="I1253" s="77">
        <f t="shared" si="510"/>
        <v>0</v>
      </c>
      <c r="J1253" s="79">
        <f t="shared" si="511"/>
        <v>0</v>
      </c>
    </row>
    <row r="1254" spans="1:10">
      <c r="A1254" s="80">
        <v>3</v>
      </c>
      <c r="B1254" s="81"/>
      <c r="C1254" s="76" t="str">
        <f>IF(B1254="","",VLOOKUP(B1254,'Lista articole'!$D$4:$E$2255,2,FALSE))</f>
        <v/>
      </c>
      <c r="D1254" s="77">
        <v>0</v>
      </c>
      <c r="E1254" s="78">
        <f>IF(B1254="",0,VLOOKUP(B1254,'Lista articole'!$D$4:$F$2163,3,FALSE))</f>
        <v>0</v>
      </c>
      <c r="F1254" s="77">
        <f t="shared" si="508"/>
        <v>0</v>
      </c>
      <c r="G1254" s="77">
        <f t="shared" si="509"/>
        <v>0</v>
      </c>
      <c r="H1254" s="77">
        <f>F1254*'Date Generale'!$D$58</f>
        <v>0</v>
      </c>
      <c r="I1254" s="77">
        <f t="shared" si="510"/>
        <v>0</v>
      </c>
      <c r="J1254" s="79">
        <f t="shared" si="511"/>
        <v>0</v>
      </c>
    </row>
    <row r="1255" spans="1:10">
      <c r="A1255" s="80">
        <v>4</v>
      </c>
      <c r="B1255" s="81"/>
      <c r="C1255" s="76" t="str">
        <f>IF(B1255="","",VLOOKUP(B1255,'Lista articole'!$D$4:$E$2255,2,FALSE))</f>
        <v/>
      </c>
      <c r="D1255" s="77">
        <v>0</v>
      </c>
      <c r="E1255" s="78">
        <f>IF(B1255="",0,VLOOKUP(B1255,'Lista articole'!$D$4:$F$2163,3,FALSE))</f>
        <v>0</v>
      </c>
      <c r="F1255" s="77">
        <f t="shared" si="508"/>
        <v>0</v>
      </c>
      <c r="G1255" s="77">
        <f t="shared" si="509"/>
        <v>0</v>
      </c>
      <c r="H1255" s="77">
        <f>F1255*'Date Generale'!$D$58</f>
        <v>0</v>
      </c>
      <c r="I1255" s="77">
        <f t="shared" si="510"/>
        <v>0</v>
      </c>
      <c r="J1255" s="79">
        <f t="shared" si="511"/>
        <v>0</v>
      </c>
    </row>
    <row r="1256" spans="1:10">
      <c r="A1256" s="80">
        <v>5</v>
      </c>
      <c r="B1256" s="81"/>
      <c r="C1256" s="76" t="str">
        <f>IF(B1256="","",VLOOKUP(B1256,'Lista articole'!$D$4:$E$2255,2,FALSE))</f>
        <v/>
      </c>
      <c r="D1256" s="77">
        <v>0</v>
      </c>
      <c r="E1256" s="78">
        <f>IF(B1256="",0,VLOOKUP(B1256,'Lista articole'!$D$4:$F$2163,3,FALSE))</f>
        <v>0</v>
      </c>
      <c r="F1256" s="77">
        <f t="shared" si="508"/>
        <v>0</v>
      </c>
      <c r="G1256" s="77">
        <f t="shared" si="509"/>
        <v>0</v>
      </c>
      <c r="H1256" s="77">
        <f>F1256*'Date Generale'!$D$58</f>
        <v>0</v>
      </c>
      <c r="I1256" s="77">
        <f t="shared" si="510"/>
        <v>0</v>
      </c>
      <c r="J1256" s="79">
        <f t="shared" si="511"/>
        <v>0</v>
      </c>
    </row>
    <row r="1257" spans="1:10">
      <c r="A1257" s="80">
        <v>6</v>
      </c>
      <c r="B1257" s="81"/>
      <c r="C1257" s="76" t="str">
        <f>IF(B1257="","",VLOOKUP(B1257,'Lista articole'!$D$4:$E$2255,2,FALSE))</f>
        <v/>
      </c>
      <c r="D1257" s="77">
        <v>0</v>
      </c>
      <c r="E1257" s="78">
        <f>IF(B1257="",0,VLOOKUP(B1257,'Lista articole'!$D$4:$F$2163,3,FALSE))</f>
        <v>0</v>
      </c>
      <c r="F1257" s="77">
        <f t="shared" si="508"/>
        <v>0</v>
      </c>
      <c r="G1257" s="77">
        <f t="shared" si="509"/>
        <v>0</v>
      </c>
      <c r="H1257" s="77">
        <f>F1257*'Date Generale'!$D$58</f>
        <v>0</v>
      </c>
      <c r="I1257" s="77">
        <f t="shared" si="510"/>
        <v>0</v>
      </c>
      <c r="J1257" s="79">
        <f t="shared" si="511"/>
        <v>0</v>
      </c>
    </row>
    <row r="1258" spans="1:10">
      <c r="A1258" s="80">
        <v>7</v>
      </c>
      <c r="B1258" s="81"/>
      <c r="C1258" s="76" t="str">
        <f>IF(B1258="","",VLOOKUP(B1258,'Lista articole'!$D$4:$E$2255,2,FALSE))</f>
        <v/>
      </c>
      <c r="D1258" s="77">
        <v>0</v>
      </c>
      <c r="E1258" s="78">
        <f>IF(B1258="",0,VLOOKUP(B1258,'Lista articole'!$D$4:$F$2163,3,FALSE))</f>
        <v>0</v>
      </c>
      <c r="F1258" s="77">
        <f t="shared" si="508"/>
        <v>0</v>
      </c>
      <c r="G1258" s="77">
        <f t="shared" si="509"/>
        <v>0</v>
      </c>
      <c r="H1258" s="77">
        <f>F1258*'Date Generale'!$D$58</f>
        <v>0</v>
      </c>
      <c r="I1258" s="77">
        <f t="shared" si="510"/>
        <v>0</v>
      </c>
      <c r="J1258" s="79">
        <f t="shared" si="511"/>
        <v>0</v>
      </c>
    </row>
    <row r="1259" spans="1:10">
      <c r="A1259" s="80">
        <v>8</v>
      </c>
      <c r="B1259" s="81"/>
      <c r="C1259" s="76" t="str">
        <f>IF(B1259="","",VLOOKUP(B1259,'Lista articole'!$D$4:$E$2255,2,FALSE))</f>
        <v/>
      </c>
      <c r="D1259" s="77">
        <v>0</v>
      </c>
      <c r="E1259" s="78">
        <f>IF(B1259="",0,VLOOKUP(B1259,'Lista articole'!$D$4:$F$2163,3,FALSE))</f>
        <v>0</v>
      </c>
      <c r="F1259" s="77">
        <f t="shared" si="508"/>
        <v>0</v>
      </c>
      <c r="G1259" s="77">
        <f t="shared" si="509"/>
        <v>0</v>
      </c>
      <c r="H1259" s="77">
        <f>F1259*'Date Generale'!$D$58</f>
        <v>0</v>
      </c>
      <c r="I1259" s="77">
        <f t="shared" si="510"/>
        <v>0</v>
      </c>
      <c r="J1259" s="79">
        <f t="shared" si="511"/>
        <v>0</v>
      </c>
    </row>
    <row r="1260" spans="1:10">
      <c r="A1260" s="80">
        <v>9</v>
      </c>
      <c r="B1260" s="81"/>
      <c r="C1260" s="76" t="str">
        <f>IF(B1260="","",VLOOKUP(B1260,'Lista articole'!$D$4:$E$2255,2,FALSE))</f>
        <v/>
      </c>
      <c r="D1260" s="77">
        <v>0</v>
      </c>
      <c r="E1260" s="78">
        <f>IF(B1260="",0,VLOOKUP(B1260,'Lista articole'!$D$4:$F$2163,3,FALSE))</f>
        <v>0</v>
      </c>
      <c r="F1260" s="77">
        <f t="shared" si="508"/>
        <v>0</v>
      </c>
      <c r="G1260" s="77">
        <f t="shared" si="509"/>
        <v>0</v>
      </c>
      <c r="H1260" s="77">
        <f>F1260*'Date Generale'!$D$58</f>
        <v>0</v>
      </c>
      <c r="I1260" s="77">
        <f t="shared" si="510"/>
        <v>0</v>
      </c>
      <c r="J1260" s="79">
        <f t="shared" si="511"/>
        <v>0</v>
      </c>
    </row>
    <row r="1261" spans="1:10">
      <c r="A1261" s="80">
        <v>10</v>
      </c>
      <c r="B1261" s="81"/>
      <c r="C1261" s="76" t="str">
        <f>IF(B1261="","",VLOOKUP(B1261,'Lista articole'!$D$4:$E$2255,2,FALSE))</f>
        <v/>
      </c>
      <c r="D1261" s="77">
        <v>0</v>
      </c>
      <c r="E1261" s="78">
        <f>IF(B1261="",0,VLOOKUP(B1261,'Lista articole'!$D$4:$F$2163,3,FALSE))</f>
        <v>0</v>
      </c>
      <c r="F1261" s="77">
        <f t="shared" si="508"/>
        <v>0</v>
      </c>
      <c r="G1261" s="77">
        <f t="shared" si="509"/>
        <v>0</v>
      </c>
      <c r="H1261" s="77">
        <f>F1261*'Date Generale'!$D$58</f>
        <v>0</v>
      </c>
      <c r="I1261" s="77">
        <f t="shared" si="510"/>
        <v>0</v>
      </c>
      <c r="J1261" s="79">
        <f t="shared" si="511"/>
        <v>0</v>
      </c>
    </row>
    <row r="1262" spans="1:10">
      <c r="A1262" s="80">
        <v>11</v>
      </c>
      <c r="B1262" s="81"/>
      <c r="C1262" s="76" t="str">
        <f>IF(B1262="","",VLOOKUP(B1262,'Lista articole'!$D$4:$E$2255,2,FALSE))</f>
        <v/>
      </c>
      <c r="D1262" s="77">
        <v>0</v>
      </c>
      <c r="E1262" s="78">
        <f>IF(B1262="",0,VLOOKUP(B1262,'Lista articole'!$D$4:$F$2163,3,FALSE))</f>
        <v>0</v>
      </c>
      <c r="F1262" s="77">
        <f t="shared" si="508"/>
        <v>0</v>
      </c>
      <c r="G1262" s="77">
        <f t="shared" si="509"/>
        <v>0</v>
      </c>
      <c r="H1262" s="77">
        <f>F1262*'Date Generale'!$D$58</f>
        <v>0</v>
      </c>
      <c r="I1262" s="77">
        <f t="shared" si="510"/>
        <v>0</v>
      </c>
      <c r="J1262" s="79">
        <f t="shared" si="511"/>
        <v>0</v>
      </c>
    </row>
    <row r="1263" spans="1:10">
      <c r="A1263" s="80">
        <v>12</v>
      </c>
      <c r="B1263" s="81"/>
      <c r="C1263" s="76" t="str">
        <f>IF(B1263="","",VLOOKUP(B1263,'Lista articole'!$D$4:$E$2255,2,FALSE))</f>
        <v/>
      </c>
      <c r="D1263" s="77">
        <v>0</v>
      </c>
      <c r="E1263" s="78">
        <f>IF(B1263="",0,VLOOKUP(B1263,'Lista articole'!$D$4:$F$2163,3,FALSE))</f>
        <v>0</v>
      </c>
      <c r="F1263" s="77">
        <f t="shared" si="508"/>
        <v>0</v>
      </c>
      <c r="G1263" s="77">
        <f t="shared" si="509"/>
        <v>0</v>
      </c>
      <c r="H1263" s="77">
        <f>F1263*'Date Generale'!$D$58</f>
        <v>0</v>
      </c>
      <c r="I1263" s="77">
        <f t="shared" si="510"/>
        <v>0</v>
      </c>
      <c r="J1263" s="79">
        <f t="shared" si="511"/>
        <v>0</v>
      </c>
    </row>
    <row r="1264" spans="1:10">
      <c r="A1264" s="80">
        <v>13</v>
      </c>
      <c r="B1264" s="81"/>
      <c r="C1264" s="76" t="str">
        <f>IF(B1264="","",VLOOKUP(B1264,'Lista articole'!$D$4:$E$2255,2,FALSE))</f>
        <v/>
      </c>
      <c r="D1264" s="77">
        <v>0</v>
      </c>
      <c r="E1264" s="78">
        <f>IF(B1264="",0,VLOOKUP(B1264,'Lista articole'!$D$4:$F$2163,3,FALSE))</f>
        <v>0</v>
      </c>
      <c r="F1264" s="77">
        <f t="shared" si="508"/>
        <v>0</v>
      </c>
      <c r="G1264" s="77">
        <f t="shared" si="509"/>
        <v>0</v>
      </c>
      <c r="H1264" s="77">
        <f>F1264*'Date Generale'!$D$58</f>
        <v>0</v>
      </c>
      <c r="I1264" s="77">
        <f t="shared" si="510"/>
        <v>0</v>
      </c>
      <c r="J1264" s="79">
        <f t="shared" si="511"/>
        <v>0</v>
      </c>
    </row>
    <row r="1265" spans="1:10">
      <c r="A1265" s="80">
        <v>14</v>
      </c>
      <c r="B1265" s="81"/>
      <c r="C1265" s="76" t="str">
        <f>IF(B1265="","",VLOOKUP(B1265,'Lista articole'!$D$4:$E$2255,2,FALSE))</f>
        <v/>
      </c>
      <c r="D1265" s="77">
        <v>0</v>
      </c>
      <c r="E1265" s="78">
        <f>IF(B1265="",0,VLOOKUP(B1265,'Lista articole'!$D$4:$F$2163,3,FALSE))</f>
        <v>0</v>
      </c>
      <c r="F1265" s="77">
        <f t="shared" si="508"/>
        <v>0</v>
      </c>
      <c r="G1265" s="77">
        <f t="shared" si="509"/>
        <v>0</v>
      </c>
      <c r="H1265" s="77">
        <f>F1265*'Date Generale'!$D$58</f>
        <v>0</v>
      </c>
      <c r="I1265" s="77">
        <f t="shared" si="510"/>
        <v>0</v>
      </c>
      <c r="J1265" s="79">
        <f t="shared" si="511"/>
        <v>0</v>
      </c>
    </row>
    <row r="1266" spans="1:10">
      <c r="A1266" s="693" t="s">
        <v>50</v>
      </c>
      <c r="B1266" s="694"/>
      <c r="C1266" s="694"/>
      <c r="D1266" s="694"/>
      <c r="E1266" s="694"/>
      <c r="F1266" s="56">
        <f>SUM(F1267:F1268)</f>
        <v>0</v>
      </c>
      <c r="G1266" s="56">
        <f>SUM(G1267:G1268)</f>
        <v>0</v>
      </c>
      <c r="H1266" s="56">
        <f>SUM(H1267:H1268)</f>
        <v>0</v>
      </c>
      <c r="I1266" s="56">
        <f>SUM(I1267:I1268)</f>
        <v>0</v>
      </c>
      <c r="J1266" s="57">
        <f>SUM(J1267:J1268)</f>
        <v>0</v>
      </c>
    </row>
    <row r="1267" spans="1:10">
      <c r="A1267" s="80">
        <v>1</v>
      </c>
      <c r="B1267" s="81"/>
      <c r="C1267" s="76" t="str">
        <f>IF(B1267="","",VLOOKUP(B1267,'Lista articole'!$D$4:$E$2255,2,FALSE))</f>
        <v/>
      </c>
      <c r="D1267" s="77">
        <v>0</v>
      </c>
      <c r="E1267" s="78">
        <f>IF(B1267="",0,VLOOKUP(B1267,'Lista articole'!$D$4:$F$2163,3,FALSE))</f>
        <v>0</v>
      </c>
      <c r="F1267" s="77">
        <f t="shared" ref="F1267:F1268" si="512">D1267*E1267</f>
        <v>0</v>
      </c>
      <c r="G1267" s="77">
        <f t="shared" ref="G1267:G1268" si="513">F1267/$H$9</f>
        <v>0</v>
      </c>
      <c r="H1267" s="77">
        <f>F1267*'Date Generale'!$D$58</f>
        <v>0</v>
      </c>
      <c r="I1267" s="77">
        <f t="shared" ref="I1267:I1268" si="514">H1267+F1267</f>
        <v>0</v>
      </c>
      <c r="J1267" s="79">
        <f t="shared" ref="J1267:J1268" si="515">I1267/$H$9</f>
        <v>0</v>
      </c>
    </row>
    <row r="1268" spans="1:10">
      <c r="A1268" s="74">
        <f>A1267+1</f>
        <v>2</v>
      </c>
      <c r="B1268" s="75"/>
      <c r="C1268" s="76" t="str">
        <f>IF(B1268="","",VLOOKUP(B1268,'Lista articole'!$D$4:$E$2255,2,FALSE))</f>
        <v/>
      </c>
      <c r="D1268" s="77">
        <v>0</v>
      </c>
      <c r="E1268" s="78">
        <f>IF(B1268="",0,VLOOKUP(B1268,'Lista articole'!$D$4:$F$2163,3,FALSE))</f>
        <v>0</v>
      </c>
      <c r="F1268" s="77">
        <f t="shared" si="512"/>
        <v>0</v>
      </c>
      <c r="G1268" s="77">
        <f t="shared" si="513"/>
        <v>0</v>
      </c>
      <c r="H1268" s="77">
        <f>F1268*'Date Generale'!$D$58</f>
        <v>0</v>
      </c>
      <c r="I1268" s="77">
        <f t="shared" si="514"/>
        <v>0</v>
      </c>
      <c r="J1268" s="79">
        <f t="shared" si="515"/>
        <v>0</v>
      </c>
    </row>
    <row r="1269" spans="1:10">
      <c r="A1269" s="693" t="s">
        <v>51</v>
      </c>
      <c r="B1269" s="694"/>
      <c r="C1269" s="694"/>
      <c r="D1269" s="694"/>
      <c r="E1269" s="694"/>
      <c r="F1269" s="56">
        <f>SUM(F1270:F1271)</f>
        <v>0</v>
      </c>
      <c r="G1269" s="56">
        <f>SUM(G1270:G1271)</f>
        <v>0</v>
      </c>
      <c r="H1269" s="56">
        <f>SUM(H1270:H1271)</f>
        <v>0</v>
      </c>
      <c r="I1269" s="56">
        <f>SUM(I1270:I1271)</f>
        <v>0</v>
      </c>
      <c r="J1269" s="57">
        <f>SUM(J1270:J1271)</f>
        <v>0</v>
      </c>
    </row>
    <row r="1270" spans="1:10">
      <c r="A1270" s="80">
        <v>1</v>
      </c>
      <c r="B1270" s="81"/>
      <c r="C1270" s="76" t="str">
        <f>IF(B1270="","",VLOOKUP(B1270,'Lista articole'!$D$4:$E$2255,2,FALSE))</f>
        <v/>
      </c>
      <c r="D1270" s="77">
        <v>0</v>
      </c>
      <c r="E1270" s="78">
        <f>IF(B1270="",0,VLOOKUP(B1270,'Lista articole'!$D$4:$F$2163,3,FALSE))</f>
        <v>0</v>
      </c>
      <c r="F1270" s="77">
        <f t="shared" ref="F1270:F1271" si="516">D1270*E1270</f>
        <v>0</v>
      </c>
      <c r="G1270" s="77">
        <f t="shared" ref="G1270:G1271" si="517">F1270/$H$9</f>
        <v>0</v>
      </c>
      <c r="H1270" s="77">
        <f>F1270*'Date Generale'!$D$58</f>
        <v>0</v>
      </c>
      <c r="I1270" s="77">
        <f t="shared" ref="I1270:I1271" si="518">H1270+F1270</f>
        <v>0</v>
      </c>
      <c r="J1270" s="79">
        <f t="shared" ref="J1270:J1271" si="519">I1270/$H$9</f>
        <v>0</v>
      </c>
    </row>
    <row r="1271" spans="1:10">
      <c r="A1271" s="74">
        <f>A1270+1</f>
        <v>2</v>
      </c>
      <c r="B1271" s="75"/>
      <c r="C1271" s="76" t="str">
        <f>IF(B1271="","",VLOOKUP(B1271,'Lista articole'!$D$4:$E$2255,2,FALSE))</f>
        <v/>
      </c>
      <c r="D1271" s="77">
        <v>0</v>
      </c>
      <c r="E1271" s="78">
        <f>IF(B1271="",0,VLOOKUP(B1271,'Lista articole'!$D$4:$F$2163,3,FALSE))</f>
        <v>0</v>
      </c>
      <c r="F1271" s="77">
        <f t="shared" si="516"/>
        <v>0</v>
      </c>
      <c r="G1271" s="77">
        <f t="shared" si="517"/>
        <v>0</v>
      </c>
      <c r="H1271" s="77">
        <f>F1271*'Date Generale'!$D$58</f>
        <v>0</v>
      </c>
      <c r="I1271" s="77">
        <f t="shared" si="518"/>
        <v>0</v>
      </c>
      <c r="J1271" s="79">
        <f t="shared" si="519"/>
        <v>0</v>
      </c>
    </row>
    <row r="1272" spans="1:10">
      <c r="A1272" s="693" t="s">
        <v>52</v>
      </c>
      <c r="B1272" s="694"/>
      <c r="C1272" s="694"/>
      <c r="D1272" s="694"/>
      <c r="E1272" s="694"/>
      <c r="F1272" s="56">
        <f>SUM(F1273:F1274)</f>
        <v>0</v>
      </c>
      <c r="G1272" s="56">
        <f>SUM(G1273:G1274)</f>
        <v>0</v>
      </c>
      <c r="H1272" s="56">
        <f>SUM(H1273:H1274)</f>
        <v>0</v>
      </c>
      <c r="I1272" s="56">
        <f>SUM(I1273:I1274)</f>
        <v>0</v>
      </c>
      <c r="J1272" s="57">
        <f>SUM(J1273:J1274)</f>
        <v>0</v>
      </c>
    </row>
    <row r="1273" spans="1:10">
      <c r="A1273" s="80">
        <v>1</v>
      </c>
      <c r="B1273" s="81"/>
      <c r="C1273" s="76" t="str">
        <f>IF(B1273="","",VLOOKUP(B1273,'Lista articole'!$D$4:$E$2255,2,FALSE))</f>
        <v/>
      </c>
      <c r="D1273" s="77">
        <v>0</v>
      </c>
      <c r="E1273" s="78">
        <f>IF(B1273="",0,VLOOKUP(B1273,'Lista articole'!$D$4:$F$2163,3,FALSE))</f>
        <v>0</v>
      </c>
      <c r="F1273" s="77">
        <f>D1273*E1273</f>
        <v>0</v>
      </c>
      <c r="G1273" s="77">
        <f>F1273/$H$9</f>
        <v>0</v>
      </c>
      <c r="H1273" s="77">
        <f>F1273*'Date Generale'!$D$58</f>
        <v>0</v>
      </c>
      <c r="I1273" s="77">
        <f t="shared" ref="I1273:I1274" si="520">H1273+F1273</f>
        <v>0</v>
      </c>
      <c r="J1273" s="79">
        <f t="shared" ref="J1273:J1274" si="521">I1273/$H$9</f>
        <v>0</v>
      </c>
    </row>
    <row r="1274" spans="1:10">
      <c r="A1274" s="74">
        <f>A1273+1</f>
        <v>2</v>
      </c>
      <c r="B1274" s="75"/>
      <c r="C1274" s="76" t="str">
        <f>IF(B1274="","",VLOOKUP(B1274,'Lista articole'!$D$4:$E$2255,2,FALSE))</f>
        <v/>
      </c>
      <c r="D1274" s="77">
        <v>0</v>
      </c>
      <c r="E1274" s="78">
        <f>IF(B1274="",0,VLOOKUP(B1274,'Lista articole'!$D$4:$F$2163,3,FALSE))</f>
        <v>0</v>
      </c>
      <c r="F1274" s="77">
        <f t="shared" ref="F1274" si="522">D1274*E1274</f>
        <v>0</v>
      </c>
      <c r="G1274" s="77">
        <f t="shared" ref="G1274" si="523">F1274/$H$9</f>
        <v>0</v>
      </c>
      <c r="H1274" s="77">
        <f>F1274*'Date Generale'!$D$58</f>
        <v>0</v>
      </c>
      <c r="I1274" s="77">
        <f t="shared" si="520"/>
        <v>0</v>
      </c>
      <c r="J1274" s="79">
        <f t="shared" si="521"/>
        <v>0</v>
      </c>
    </row>
    <row r="1275" spans="1:10">
      <c r="A1275" s="693" t="s">
        <v>53</v>
      </c>
      <c r="B1275" s="694"/>
      <c r="C1275" s="694"/>
      <c r="D1275" s="694"/>
      <c r="E1275" s="694"/>
      <c r="F1275" s="56">
        <f>SUM(F1276:F1277)</f>
        <v>0</v>
      </c>
      <c r="G1275" s="56">
        <f>SUM(G1276:G1277)</f>
        <v>0</v>
      </c>
      <c r="H1275" s="56">
        <f>SUM(H1276:H1277)</f>
        <v>0</v>
      </c>
      <c r="I1275" s="56">
        <f>SUM(I1276:I1277)</f>
        <v>0</v>
      </c>
      <c r="J1275" s="57">
        <f>SUM(J1276:J1277)</f>
        <v>0</v>
      </c>
    </row>
    <row r="1276" spans="1:10">
      <c r="A1276" s="80">
        <v>1</v>
      </c>
      <c r="B1276" s="81"/>
      <c r="C1276" s="76" t="str">
        <f>IF(B1276="","",VLOOKUP(B1276,'Lista articole'!$D$4:$E$2255,2,FALSE))</f>
        <v/>
      </c>
      <c r="D1276" s="77">
        <v>0</v>
      </c>
      <c r="E1276" s="78">
        <f>IF(B1276="",0,VLOOKUP(B1276,'Lista articole'!$D$4:$F$2163,3,FALSE))</f>
        <v>0</v>
      </c>
      <c r="F1276" s="77">
        <f>D1276*E1276</f>
        <v>0</v>
      </c>
      <c r="G1276" s="77">
        <f>F1276/$H$9</f>
        <v>0</v>
      </c>
      <c r="H1276" s="77">
        <f>F1276*'Date Generale'!$D$58</f>
        <v>0</v>
      </c>
      <c r="I1276" s="77">
        <f t="shared" ref="I1276:I1277" si="524">H1276+F1276</f>
        <v>0</v>
      </c>
      <c r="J1276" s="79">
        <f t="shared" ref="J1276:J1277" si="525">I1276/$H$9</f>
        <v>0</v>
      </c>
    </row>
    <row r="1277" spans="1:10" ht="15.75" thickBot="1">
      <c r="A1277" s="139">
        <f>A1276+1</f>
        <v>2</v>
      </c>
      <c r="B1277" s="140"/>
      <c r="C1277" s="141" t="str">
        <f>IF(B1277="","",VLOOKUP(B1277,'Lista articole'!$D$4:$E$2255,2,FALSE))</f>
        <v/>
      </c>
      <c r="D1277" s="142">
        <v>0</v>
      </c>
      <c r="E1277" s="143">
        <f>IF(B1277="",0,VLOOKUP(B1277,'Lista articole'!$D$4:$F$2163,3,FALSE))</f>
        <v>0</v>
      </c>
      <c r="F1277" s="142">
        <f t="shared" ref="F1277" si="526">D1277*E1277</f>
        <v>0</v>
      </c>
      <c r="G1277" s="142">
        <f t="shared" ref="G1277" si="527">F1277/$H$9</f>
        <v>0</v>
      </c>
      <c r="H1277" s="142">
        <f>F1277*'Date Generale'!$D$58</f>
        <v>0</v>
      </c>
      <c r="I1277" s="142">
        <f t="shared" si="524"/>
        <v>0</v>
      </c>
      <c r="J1277" s="144">
        <f t="shared" si="525"/>
        <v>0</v>
      </c>
    </row>
    <row r="1278" spans="1:10" ht="15.75" thickBot="1">
      <c r="A1278" s="685" t="s">
        <v>27</v>
      </c>
      <c r="B1278" s="686"/>
      <c r="C1278" s="686"/>
      <c r="D1278" s="686"/>
      <c r="E1278" s="686"/>
      <c r="F1278" s="82">
        <f>SUM(F1242,F1245,F1248,F1251,F1266,F1269,F1272,F1275)</f>
        <v>0</v>
      </c>
      <c r="G1278" s="82">
        <f>SUM(G1242,G1245,G1248,G1251,G1266,G1269,G1272,G1275)</f>
        <v>0</v>
      </c>
      <c r="H1278" s="82">
        <f>SUM(H1242,H1245,H1248,H1251,H1266,H1269,H1272,H1275)</f>
        <v>0</v>
      </c>
      <c r="I1278" s="82">
        <f>SUM(I1242,I1245,I1248,I1251,I1266,I1269,I1272,I1275)</f>
        <v>0</v>
      </c>
      <c r="J1278" s="83">
        <f>SUM(J1242,J1245,J1248,J1251,J1266,J1269,J1272,J1275)</f>
        <v>0</v>
      </c>
    </row>
    <row r="1279" spans="1:10" ht="15.75" thickBot="1">
      <c r="A1279" s="683" t="s">
        <v>28</v>
      </c>
      <c r="B1279" s="684"/>
      <c r="C1279" s="684"/>
      <c r="D1279" s="684"/>
      <c r="E1279" s="684"/>
      <c r="F1279" s="72"/>
      <c r="G1279" s="72"/>
      <c r="H1279" s="72"/>
      <c r="I1279" s="72"/>
      <c r="J1279" s="73"/>
    </row>
    <row r="1280" spans="1:10">
      <c r="A1280" s="145"/>
      <c r="B1280" s="695" t="s">
        <v>29</v>
      </c>
      <c r="C1280" s="695"/>
      <c r="D1280" s="695"/>
      <c r="E1280" s="695"/>
      <c r="F1280" s="146">
        <f>SUM(F1281:F1282)</f>
        <v>0</v>
      </c>
      <c r="G1280" s="146">
        <f>SUM(G1281:G1282)</f>
        <v>0</v>
      </c>
      <c r="H1280" s="146">
        <f>SUM(H1281:H1282)</f>
        <v>0</v>
      </c>
      <c r="I1280" s="146">
        <f>SUM(I1281:I1282)</f>
        <v>0</v>
      </c>
      <c r="J1280" s="147">
        <f>SUM(J1281:J1282)</f>
        <v>0</v>
      </c>
    </row>
    <row r="1281" spans="1:10">
      <c r="A1281" s="80">
        <v>1</v>
      </c>
      <c r="B1281" s="81"/>
      <c r="C1281" s="76" t="str">
        <f>IF(B1281="","",VLOOKUP(B1281,'Lista articole'!$D$4:$E$2255,2,FALSE))</f>
        <v/>
      </c>
      <c r="D1281" s="77">
        <v>0</v>
      </c>
      <c r="E1281" s="78">
        <f>IF(B1281="",0,VLOOKUP(B1281,'Lista articole'!$D$4:$F$2163,3,FALSE))</f>
        <v>0</v>
      </c>
      <c r="F1281" s="77">
        <f>D1281*E1281</f>
        <v>0</v>
      </c>
      <c r="G1281" s="77">
        <f>F1281/$H$9</f>
        <v>0</v>
      </c>
      <c r="H1281" s="77">
        <f>F1281*'Date Generale'!$D$58</f>
        <v>0</v>
      </c>
      <c r="I1281" s="77">
        <f t="shared" ref="I1281:I1282" si="528">H1281+F1281</f>
        <v>0</v>
      </c>
      <c r="J1281" s="79">
        <f t="shared" ref="J1281:J1282" si="529">I1281/$H$9</f>
        <v>0</v>
      </c>
    </row>
    <row r="1282" spans="1:10" ht="15.75" thickBot="1">
      <c r="A1282" s="139">
        <f>A1281+1</f>
        <v>2</v>
      </c>
      <c r="B1282" s="140"/>
      <c r="C1282" s="141" t="str">
        <f>IF(B1282="","",VLOOKUP(B1282,'Lista articole'!$D$4:$E$2255,2,FALSE))</f>
        <v/>
      </c>
      <c r="D1282" s="142">
        <v>0</v>
      </c>
      <c r="E1282" s="143">
        <f>IF(B1282="",0,VLOOKUP(B1282,'Lista articole'!$D$4:$F$2163,3,FALSE))</f>
        <v>0</v>
      </c>
      <c r="F1282" s="142">
        <f t="shared" ref="F1282" si="530">D1282*E1282</f>
        <v>0</v>
      </c>
      <c r="G1282" s="142">
        <f t="shared" ref="G1282" si="531">F1282/$H$9</f>
        <v>0</v>
      </c>
      <c r="H1282" s="142">
        <f>F1282*'Date Generale'!$D$58</f>
        <v>0</v>
      </c>
      <c r="I1282" s="142">
        <f t="shared" si="528"/>
        <v>0</v>
      </c>
      <c r="J1282" s="144">
        <f t="shared" si="529"/>
        <v>0</v>
      </c>
    </row>
    <row r="1283" spans="1:10" ht="15.75" thickBot="1">
      <c r="A1283" s="685" t="s">
        <v>30</v>
      </c>
      <c r="B1283" s="686"/>
      <c r="C1283" s="686"/>
      <c r="D1283" s="686"/>
      <c r="E1283" s="686"/>
      <c r="F1283" s="85">
        <f>F1280</f>
        <v>0</v>
      </c>
      <c r="G1283" s="85">
        <f>G1280</f>
        <v>0</v>
      </c>
      <c r="H1283" s="85">
        <f>H1280</f>
        <v>0</v>
      </c>
      <c r="I1283" s="85">
        <f>I1280</f>
        <v>0</v>
      </c>
      <c r="J1283" s="86">
        <f>J1280</f>
        <v>0</v>
      </c>
    </row>
    <row r="1284" spans="1:10" ht="15.75" thickBot="1">
      <c r="A1284" s="683" t="s">
        <v>31</v>
      </c>
      <c r="B1284" s="684"/>
      <c r="C1284" s="684"/>
      <c r="D1284" s="684"/>
      <c r="E1284" s="684"/>
      <c r="F1284" s="72"/>
      <c r="G1284" s="72"/>
      <c r="H1284" s="72"/>
      <c r="I1284" s="72"/>
      <c r="J1284" s="73"/>
    </row>
    <row r="1285" spans="1:10">
      <c r="A1285" s="145"/>
      <c r="B1285" s="695" t="s">
        <v>32</v>
      </c>
      <c r="C1285" s="695"/>
      <c r="D1285" s="695"/>
      <c r="E1285" s="695"/>
      <c r="F1285" s="148">
        <f>SUM(F1286:F1287)</f>
        <v>0</v>
      </c>
      <c r="G1285" s="148">
        <f>SUM(G1286:G1287)</f>
        <v>0</v>
      </c>
      <c r="H1285" s="148">
        <f>SUM(H1286:H1287)</f>
        <v>0</v>
      </c>
      <c r="I1285" s="148">
        <f>SUM(I1286:I1287)</f>
        <v>0</v>
      </c>
      <c r="J1285" s="149">
        <f>SUM(J1286:J1287)</f>
        <v>0</v>
      </c>
    </row>
    <row r="1286" spans="1:10">
      <c r="A1286" s="80">
        <v>1</v>
      </c>
      <c r="B1286" s="81"/>
      <c r="C1286" s="76" t="str">
        <f>IF(B1286="","",VLOOKUP(B1286,'Lista articole'!$D$4:$E$2255,2,FALSE))</f>
        <v/>
      </c>
      <c r="D1286" s="77">
        <v>0</v>
      </c>
      <c r="E1286" s="78">
        <f>IF(B1286="",0,VLOOKUP(B1286,'Lista articole'!$D$4:$F$2163,3,FALSE))</f>
        <v>0</v>
      </c>
      <c r="F1286" s="77">
        <f>D1286*E1286</f>
        <v>0</v>
      </c>
      <c r="G1286" s="77">
        <f>F1286/$H$9</f>
        <v>0</v>
      </c>
      <c r="H1286" s="77">
        <f>F1286*'Date Generale'!$D$58</f>
        <v>0</v>
      </c>
      <c r="I1286" s="77">
        <f t="shared" ref="I1286:I1287" si="532">H1286+F1286</f>
        <v>0</v>
      </c>
      <c r="J1286" s="79">
        <f t="shared" ref="J1286:J1287" si="533">I1286/$H$9</f>
        <v>0</v>
      </c>
    </row>
    <row r="1287" spans="1:10">
      <c r="A1287" s="74">
        <f>A1286+1</f>
        <v>2</v>
      </c>
      <c r="B1287" s="75"/>
      <c r="C1287" s="76" t="str">
        <f>IF(B1287="","",VLOOKUP(B1287,'Lista articole'!$D$4:$E$2255,2,FALSE))</f>
        <v/>
      </c>
      <c r="D1287" s="77">
        <v>0</v>
      </c>
      <c r="E1287" s="78">
        <f>IF(B1287="",0,VLOOKUP(B1287,'Lista articole'!$D$4:$F$2163,3,FALSE))</f>
        <v>0</v>
      </c>
      <c r="F1287" s="77">
        <f t="shared" ref="F1287" si="534">D1287*E1287</f>
        <v>0</v>
      </c>
      <c r="G1287" s="77">
        <f t="shared" ref="G1287" si="535">F1287/$H$9</f>
        <v>0</v>
      </c>
      <c r="H1287" s="77">
        <f>F1287*'Date Generale'!$D$58</f>
        <v>0</v>
      </c>
      <c r="I1287" s="77">
        <f t="shared" si="532"/>
        <v>0</v>
      </c>
      <c r="J1287" s="79">
        <f t="shared" si="533"/>
        <v>0</v>
      </c>
    </row>
    <row r="1288" spans="1:10">
      <c r="A1288" s="87"/>
      <c r="B1288" s="696" t="s">
        <v>33</v>
      </c>
      <c r="C1288" s="696"/>
      <c r="D1288" s="696"/>
      <c r="E1288" s="696"/>
      <c r="F1288" s="88">
        <f>SUM(F1289:F1290)</f>
        <v>0</v>
      </c>
      <c r="G1288" s="88">
        <f>SUM(G1289:G1290)</f>
        <v>0</v>
      </c>
      <c r="H1288" s="88">
        <f>SUM(H1289:H1290)</f>
        <v>0</v>
      </c>
      <c r="I1288" s="88">
        <f>SUM(I1289:I1290)</f>
        <v>0</v>
      </c>
      <c r="J1288" s="89">
        <f>SUM(J1289:J1290)</f>
        <v>0</v>
      </c>
    </row>
    <row r="1289" spans="1:10">
      <c r="A1289" s="80">
        <v>1</v>
      </c>
      <c r="B1289" s="81"/>
      <c r="C1289" s="76" t="str">
        <f>IF(B1289="","",VLOOKUP(B1289,'Lista articole'!$D$4:$E$2255,2,FALSE))</f>
        <v/>
      </c>
      <c r="D1289" s="77">
        <v>0</v>
      </c>
      <c r="E1289" s="78">
        <f>IF(B1289="",0,VLOOKUP(B1289,'Lista articole'!$D$4:$F$2163,3,FALSE))</f>
        <v>0</v>
      </c>
      <c r="F1289" s="77">
        <f>D1289*E1289</f>
        <v>0</v>
      </c>
      <c r="G1289" s="77">
        <f>F1289/$H$9</f>
        <v>0</v>
      </c>
      <c r="H1289" s="77">
        <f>F1289*'Date Generale'!$D$58</f>
        <v>0</v>
      </c>
      <c r="I1289" s="77">
        <f t="shared" ref="I1289:I1290" si="536">H1289+F1289</f>
        <v>0</v>
      </c>
      <c r="J1289" s="79">
        <f t="shared" ref="J1289:J1290" si="537">I1289/$H$9</f>
        <v>0</v>
      </c>
    </row>
    <row r="1290" spans="1:10">
      <c r="A1290" s="74">
        <f>A1289+1</f>
        <v>2</v>
      </c>
      <c r="B1290" s="75"/>
      <c r="C1290" s="76" t="str">
        <f>IF(B1290="","",VLOOKUP(B1290,'Lista articole'!$D$4:$E$2255,2,FALSE))</f>
        <v/>
      </c>
      <c r="D1290" s="77">
        <v>0</v>
      </c>
      <c r="E1290" s="78">
        <f>IF(B1290="",0,VLOOKUP(B1290,'Lista articole'!$D$4:$F$2163,3,FALSE))</f>
        <v>0</v>
      </c>
      <c r="F1290" s="77">
        <f t="shared" ref="F1290" si="538">D1290*E1290</f>
        <v>0</v>
      </c>
      <c r="G1290" s="77">
        <f t="shared" ref="G1290" si="539">F1290/$H$9</f>
        <v>0</v>
      </c>
      <c r="H1290" s="77">
        <f>F1290*'Date Generale'!$D$58</f>
        <v>0</v>
      </c>
      <c r="I1290" s="77">
        <f t="shared" si="536"/>
        <v>0</v>
      </c>
      <c r="J1290" s="79">
        <f t="shared" si="537"/>
        <v>0</v>
      </c>
    </row>
    <row r="1291" spans="1:10">
      <c r="A1291" s="87"/>
      <c r="B1291" s="696" t="s">
        <v>34</v>
      </c>
      <c r="C1291" s="696"/>
      <c r="D1291" s="696"/>
      <c r="E1291" s="696"/>
      <c r="F1291" s="88">
        <f>SUM(F1292:F1293)</f>
        <v>0</v>
      </c>
      <c r="G1291" s="88">
        <f>SUM(G1292:G1293)</f>
        <v>0</v>
      </c>
      <c r="H1291" s="88">
        <f>SUM(H1292:H1293)</f>
        <v>0</v>
      </c>
      <c r="I1291" s="88">
        <f>SUM(I1292:I1293)</f>
        <v>0</v>
      </c>
      <c r="J1291" s="89">
        <f>SUM(J1292:J1293)</f>
        <v>0</v>
      </c>
    </row>
    <row r="1292" spans="1:10">
      <c r="A1292" s="80">
        <v>1</v>
      </c>
      <c r="B1292" s="81"/>
      <c r="C1292" s="76" t="str">
        <f>IF(B1292="","",VLOOKUP(B1292,'Lista articole'!$D$4:$E$2255,2,FALSE))</f>
        <v/>
      </c>
      <c r="D1292" s="77">
        <v>0</v>
      </c>
      <c r="E1292" s="78">
        <f>IF(B1292="",0,VLOOKUP(B1292,'Lista articole'!$D$4:$F$2163,3,FALSE))</f>
        <v>0</v>
      </c>
      <c r="F1292" s="77">
        <f>D1292*E1292</f>
        <v>0</v>
      </c>
      <c r="G1292" s="77">
        <f>F1292/$H$9</f>
        <v>0</v>
      </c>
      <c r="H1292" s="77">
        <f>F1292*'Date Generale'!$D$58</f>
        <v>0</v>
      </c>
      <c r="I1292" s="77">
        <f t="shared" ref="I1292:I1293" si="540">H1292+F1292</f>
        <v>0</v>
      </c>
      <c r="J1292" s="79">
        <f t="shared" ref="J1292:J1293" si="541">I1292/$H$9</f>
        <v>0</v>
      </c>
    </row>
    <row r="1293" spans="1:10" ht="15.75" thickBot="1">
      <c r="A1293" s="139">
        <f>A1292+1</f>
        <v>2</v>
      </c>
      <c r="B1293" s="140"/>
      <c r="C1293" s="141" t="str">
        <f>IF(B1293="","",VLOOKUP(B1293,'Lista articole'!$D$4:$E$2255,2,FALSE))</f>
        <v/>
      </c>
      <c r="D1293" s="142">
        <v>0</v>
      </c>
      <c r="E1293" s="143">
        <f>IF(B1293="",0,VLOOKUP(B1293,'Lista articole'!$D$4:$F$2163,3,FALSE))</f>
        <v>0</v>
      </c>
      <c r="F1293" s="142">
        <f t="shared" ref="F1293" si="542">D1293*E1293</f>
        <v>0</v>
      </c>
      <c r="G1293" s="142">
        <f t="shared" ref="G1293" si="543">F1293/$H$9</f>
        <v>0</v>
      </c>
      <c r="H1293" s="142">
        <f>F1293*'Date Generale'!$D$58</f>
        <v>0</v>
      </c>
      <c r="I1293" s="142">
        <f t="shared" si="540"/>
        <v>0</v>
      </c>
      <c r="J1293" s="144">
        <f t="shared" si="541"/>
        <v>0</v>
      </c>
    </row>
    <row r="1294" spans="1:10" ht="15.75" thickBot="1">
      <c r="A1294" s="685" t="s">
        <v>35</v>
      </c>
      <c r="B1294" s="686"/>
      <c r="C1294" s="686"/>
      <c r="D1294" s="686"/>
      <c r="E1294" s="686"/>
      <c r="F1294" s="62">
        <f>SUM(F1291,F1288,F1285)</f>
        <v>0</v>
      </c>
      <c r="G1294" s="62">
        <f>SUM(G1291,G1288,G1285)</f>
        <v>0</v>
      </c>
      <c r="H1294" s="62">
        <f>SUM(H1291,H1288,H1285)</f>
        <v>0</v>
      </c>
      <c r="I1294" s="62">
        <f>SUM(I1291,I1288,I1285)</f>
        <v>0</v>
      </c>
      <c r="J1294" s="63">
        <f>SUM(J1291,J1288,J1285)</f>
        <v>0</v>
      </c>
    </row>
    <row r="1295" spans="1:10">
      <c r="A1295" s="38"/>
      <c r="B1295" s="39"/>
      <c r="C1295" s="39"/>
      <c r="D1295" s="39"/>
      <c r="E1295" s="39"/>
      <c r="F1295" s="39"/>
      <c r="G1295" s="39"/>
      <c r="H1295" s="39"/>
      <c r="I1295" s="39"/>
      <c r="J1295" s="39"/>
    </row>
    <row r="1296" spans="1:10">
      <c r="A1296" s="38"/>
      <c r="C1296" s="42"/>
      <c r="D1296" s="42"/>
      <c r="E1296" s="42"/>
      <c r="F1296" s="42"/>
      <c r="G1296" s="42"/>
      <c r="H1296" s="42"/>
      <c r="I1296" s="42"/>
      <c r="J1296" s="42"/>
    </row>
    <row r="1297" spans="1:11" ht="18.75">
      <c r="A1297" s="42"/>
      <c r="B1297" s="90" t="s">
        <v>37</v>
      </c>
      <c r="C1297" s="42"/>
      <c r="D1297" s="42"/>
      <c r="E1297" s="42"/>
      <c r="F1297" s="42"/>
      <c r="G1297" s="42"/>
      <c r="H1297" s="42"/>
      <c r="I1297" s="42"/>
      <c r="J1297" s="42"/>
    </row>
    <row r="1298" spans="1:11" ht="18.75">
      <c r="A1298" s="38"/>
      <c r="B1298" s="90" t="str">
        <f>'Date Generale'!$C$7</f>
        <v>S.C. Tehno Consoulting Solutions S.R.L.</v>
      </c>
      <c r="C1298" s="39"/>
      <c r="D1298" s="39"/>
      <c r="E1298" s="39"/>
      <c r="F1298" s="39"/>
      <c r="G1298" s="39"/>
      <c r="H1298" s="39"/>
      <c r="I1298" s="39"/>
      <c r="J1298" s="39"/>
    </row>
    <row r="1299" spans="1:11">
      <c r="A1299" s="35"/>
      <c r="B1299" s="93"/>
      <c r="C1299" s="94"/>
      <c r="D1299" s="95"/>
      <c r="E1299" s="96"/>
      <c r="F1299" s="96"/>
      <c r="G1299" s="95"/>
      <c r="H1299" s="95"/>
      <c r="I1299" s="95"/>
      <c r="J1299" s="95"/>
    </row>
    <row r="1300" spans="1:11">
      <c r="A1300" s="35"/>
      <c r="B1300" s="93"/>
      <c r="C1300" s="94"/>
      <c r="D1300" s="95"/>
      <c r="E1300" s="96"/>
      <c r="F1300" s="96"/>
      <c r="G1300" s="95"/>
      <c r="H1300" s="95"/>
      <c r="I1300" s="95"/>
      <c r="J1300" s="95"/>
    </row>
    <row r="1301" spans="1:11">
      <c r="A1301" s="35"/>
      <c r="B1301" s="98"/>
      <c r="C1301" s="94"/>
      <c r="D1301" s="95"/>
      <c r="E1301" s="96"/>
      <c r="F1301" s="96"/>
      <c r="G1301" s="95"/>
      <c r="H1301" s="95"/>
      <c r="I1301" s="95"/>
      <c r="J1301" s="95"/>
      <c r="K1301" s="67"/>
    </row>
    <row r="1302" spans="1:11" ht="15.75">
      <c r="A1302" s="41" t="str">
        <f>"Beneficiar: " &amp;'Date Generale'!$C$6</f>
        <v xml:space="preserve">Beneficiar: Judetul Arges </v>
      </c>
      <c r="B1302" s="41"/>
      <c r="C1302" s="42"/>
      <c r="D1302" s="42"/>
      <c r="E1302" s="69"/>
      <c r="F1302" s="42"/>
      <c r="G1302" s="42"/>
      <c r="H1302" s="42"/>
      <c r="I1302" s="42"/>
      <c r="J1302" s="42"/>
    </row>
    <row r="1303" spans="1:11" ht="15.75">
      <c r="A1303" s="41" t="str">
        <f>"Denumire proiect: " &amp; 'Date Generale'!$C$3</f>
        <v>Denumire proiect: Modernizare DJ 703B Serbanesti (DJ659) - Silistea, km 70+410 - 77+826, 7.416km, in comunele Rociu si Cateasca</v>
      </c>
      <c r="B1303" s="41"/>
      <c r="C1303" s="44"/>
      <c r="D1303" s="44"/>
      <c r="E1303" s="44"/>
      <c r="F1303" s="44"/>
      <c r="G1303" s="44"/>
      <c r="H1303" s="44"/>
      <c r="I1303" s="44"/>
      <c r="J1303" s="44"/>
    </row>
    <row r="1304" spans="1:11" ht="15.75">
      <c r="A1304" s="41"/>
      <c r="B1304" s="41"/>
      <c r="C1304" s="44"/>
      <c r="D1304" s="44"/>
      <c r="E1304" s="44"/>
      <c r="F1304" s="44"/>
      <c r="G1304" s="44"/>
      <c r="H1304" s="44"/>
      <c r="I1304" s="44"/>
      <c r="J1304" s="44"/>
    </row>
    <row r="1305" spans="1:11" ht="15.75">
      <c r="A1305" s="41" t="str">
        <f>'Date Generale'!$E$77</f>
        <v>Obiect 017:0</v>
      </c>
      <c r="B1305" s="41"/>
      <c r="C1305" s="44"/>
      <c r="D1305" s="44"/>
      <c r="E1305" s="44"/>
      <c r="F1305" s="44"/>
      <c r="G1305" s="44"/>
      <c r="H1305" s="44"/>
      <c r="I1305" s="44"/>
      <c r="J1305" s="44"/>
    </row>
    <row r="1306" spans="1:11" ht="15.75">
      <c r="A1306" s="70"/>
      <c r="B1306" s="44"/>
      <c r="C1306" s="44"/>
      <c r="D1306" s="44"/>
      <c r="E1306" s="44"/>
      <c r="F1306" s="44"/>
      <c r="G1306" s="44"/>
      <c r="H1306" s="44"/>
      <c r="I1306" s="44"/>
      <c r="J1306" s="44"/>
    </row>
    <row r="1307" spans="1:11">
      <c r="A1307" s="687" t="s">
        <v>38</v>
      </c>
      <c r="B1307" s="687"/>
      <c r="C1307" s="687"/>
      <c r="D1307" s="687"/>
      <c r="E1307" s="687"/>
      <c r="F1307" s="687"/>
      <c r="G1307" s="687"/>
      <c r="H1307" s="687"/>
      <c r="I1307" s="687"/>
      <c r="J1307" s="687"/>
    </row>
    <row r="1308" spans="1:11">
      <c r="A1308" s="371"/>
      <c r="B1308" s="371"/>
      <c r="C1308" s="371"/>
      <c r="D1308" s="371"/>
      <c r="E1308" s="371"/>
      <c r="F1308" s="371"/>
      <c r="G1308" s="371"/>
      <c r="H1308" s="371"/>
      <c r="I1308" s="371"/>
      <c r="J1308" s="371"/>
    </row>
    <row r="1309" spans="1:11" ht="15.75" thickBot="1">
      <c r="A1309" s="42"/>
      <c r="B1309" s="46"/>
      <c r="C1309" s="71"/>
      <c r="D1309" s="71"/>
      <c r="E1309" s="71"/>
      <c r="F1309" s="33"/>
      <c r="G1309" s="47" t="s">
        <v>2</v>
      </c>
      <c r="H1309" s="48">
        <f>'Date Generale'!$C$54</f>
        <v>4.7233000000000001</v>
      </c>
      <c r="I1309" s="49" t="s">
        <v>3</v>
      </c>
      <c r="J1309" s="50" t="str">
        <f>'Date Generale'!$D$54</f>
        <v>21,06,2019</v>
      </c>
    </row>
    <row r="1310" spans="1:11" ht="15.75" thickBot="1">
      <c r="A1310" s="688" t="s">
        <v>4</v>
      </c>
      <c r="B1310" s="688" t="s">
        <v>5</v>
      </c>
      <c r="C1310" s="688" t="s">
        <v>39</v>
      </c>
      <c r="D1310" s="688" t="s">
        <v>40</v>
      </c>
      <c r="E1310" s="688" t="s">
        <v>228</v>
      </c>
      <c r="F1310" s="689" t="s">
        <v>160</v>
      </c>
      <c r="G1310" s="689"/>
      <c r="H1310" s="372" t="s">
        <v>7</v>
      </c>
      <c r="I1310" s="689" t="s">
        <v>159</v>
      </c>
      <c r="J1310" s="689"/>
    </row>
    <row r="1311" spans="1:11" ht="15.75" thickBot="1">
      <c r="A1311" s="688"/>
      <c r="B1311" s="688"/>
      <c r="C1311" s="688"/>
      <c r="D1311" s="688"/>
      <c r="E1311" s="688"/>
      <c r="F1311" s="51" t="s">
        <v>9</v>
      </c>
      <c r="G1311" s="51" t="s">
        <v>10</v>
      </c>
      <c r="H1311" s="51" t="s">
        <v>9</v>
      </c>
      <c r="I1311" s="51" t="s">
        <v>9</v>
      </c>
      <c r="J1311" s="51" t="s">
        <v>10</v>
      </c>
    </row>
    <row r="1312" spans="1:11" ht="15.75" thickBot="1">
      <c r="A1312" s="3">
        <v>1</v>
      </c>
      <c r="B1312" s="1">
        <v>2</v>
      </c>
      <c r="C1312" s="1">
        <v>3</v>
      </c>
      <c r="D1312" s="1">
        <v>4</v>
      </c>
      <c r="E1312" s="1">
        <v>5</v>
      </c>
      <c r="F1312" s="1">
        <v>6</v>
      </c>
      <c r="G1312" s="1">
        <v>7</v>
      </c>
      <c r="H1312" s="1">
        <v>8</v>
      </c>
      <c r="I1312" s="1">
        <v>9</v>
      </c>
      <c r="J1312" s="1">
        <v>10</v>
      </c>
    </row>
    <row r="1313" spans="1:10" ht="15.75" thickBot="1">
      <c r="A1313" s="683" t="s">
        <v>11</v>
      </c>
      <c r="B1313" s="684"/>
      <c r="C1313" s="684"/>
      <c r="D1313" s="684"/>
      <c r="E1313" s="684"/>
      <c r="F1313" s="72"/>
      <c r="G1313" s="72"/>
      <c r="H1313" s="72"/>
      <c r="I1313" s="72"/>
      <c r="J1313" s="73"/>
    </row>
    <row r="1314" spans="1:10">
      <c r="A1314" s="691" t="s">
        <v>41</v>
      </c>
      <c r="B1314" s="692"/>
      <c r="C1314" s="692"/>
      <c r="D1314" s="692"/>
      <c r="E1314" s="692"/>
      <c r="F1314" s="137">
        <f>SUM(F1315:F1316)</f>
        <v>0</v>
      </c>
      <c r="G1314" s="137">
        <f>SUM(G1315:G1316)</f>
        <v>0</v>
      </c>
      <c r="H1314" s="137">
        <f>SUM(H1315:H1316)</f>
        <v>0</v>
      </c>
      <c r="I1314" s="137">
        <f>SUM(I1315:I1316)</f>
        <v>0</v>
      </c>
      <c r="J1314" s="138">
        <f>SUM(J1315:J1316)</f>
        <v>0</v>
      </c>
    </row>
    <row r="1315" spans="1:10">
      <c r="A1315" s="74">
        <v>1</v>
      </c>
      <c r="B1315" s="75"/>
      <c r="C1315" s="76" t="str">
        <f>IF(B1315="","",VLOOKUP(B1315,'Lista articole'!$D$4:$E$2255,2,FALSE))</f>
        <v/>
      </c>
      <c r="D1315" s="77">
        <v>0</v>
      </c>
      <c r="E1315" s="78">
        <f>IF(B1315="",0,VLOOKUP(B1315,'Lista articole'!$D$4:$F$2163,3,FALSE))</f>
        <v>0</v>
      </c>
      <c r="F1315" s="77">
        <f>D1315*E1315</f>
        <v>0</v>
      </c>
      <c r="G1315" s="77">
        <f t="shared" ref="G1315:G1316" si="544">F1315/$H$9</f>
        <v>0</v>
      </c>
      <c r="H1315" s="77">
        <f>F1315*'Date Generale'!$D$58</f>
        <v>0</v>
      </c>
      <c r="I1315" s="77">
        <f>H1315+F1315</f>
        <v>0</v>
      </c>
      <c r="J1315" s="79">
        <f>I1315/$H$9</f>
        <v>0</v>
      </c>
    </row>
    <row r="1316" spans="1:10">
      <c r="A1316" s="74">
        <v>2</v>
      </c>
      <c r="B1316" s="75"/>
      <c r="C1316" s="76" t="str">
        <f>IF(B1316="","",VLOOKUP(B1316,'Lista articole'!$D$4:$E$2255,2,FALSE))</f>
        <v/>
      </c>
      <c r="D1316" s="77">
        <v>0</v>
      </c>
      <c r="E1316" s="78">
        <f>IF(B1316="",0,VLOOKUP(B1316,'Lista articole'!$D$4:$F$2163,3,FALSE))</f>
        <v>0</v>
      </c>
      <c r="F1316" s="77">
        <f>D1316*E1316</f>
        <v>0</v>
      </c>
      <c r="G1316" s="77">
        <f t="shared" si="544"/>
        <v>0</v>
      </c>
      <c r="H1316" s="77">
        <f>F1316*'Date Generale'!$D$58</f>
        <v>0</v>
      </c>
      <c r="I1316" s="77">
        <f>H1316+F1316</f>
        <v>0</v>
      </c>
      <c r="J1316" s="79">
        <f>I1316/$H$9</f>
        <v>0</v>
      </c>
    </row>
    <row r="1317" spans="1:10">
      <c r="A1317" s="693" t="s">
        <v>44</v>
      </c>
      <c r="B1317" s="694"/>
      <c r="C1317" s="694"/>
      <c r="D1317" s="694"/>
      <c r="E1317" s="694"/>
      <c r="F1317" s="56">
        <f>SUM(F1318:F1319)</f>
        <v>0</v>
      </c>
      <c r="G1317" s="56">
        <f>SUM(G1318:G1319)</f>
        <v>0</v>
      </c>
      <c r="H1317" s="56">
        <f>SUM(H1318:H1319)</f>
        <v>0</v>
      </c>
      <c r="I1317" s="56">
        <f>SUM(I1318:I1319)</f>
        <v>0</v>
      </c>
      <c r="J1317" s="57">
        <f>SUM(J1318:J1319)</f>
        <v>0</v>
      </c>
    </row>
    <row r="1318" spans="1:10">
      <c r="A1318" s="80">
        <v>1</v>
      </c>
      <c r="B1318" s="81"/>
      <c r="C1318" s="76" t="str">
        <f>IF(B1318="","",VLOOKUP(B1318,'Lista articole'!$D$4:$E$2255,2,FALSE))</f>
        <v/>
      </c>
      <c r="D1318" s="77">
        <v>0</v>
      </c>
      <c r="E1318" s="78">
        <f>IF(B1318="",0,VLOOKUP(B1318,'Lista articole'!$D$4:$F$2163,3,FALSE))</f>
        <v>0</v>
      </c>
      <c r="F1318" s="77">
        <f t="shared" ref="F1318:F1319" si="545">D1318*E1318</f>
        <v>0</v>
      </c>
      <c r="G1318" s="77">
        <f t="shared" ref="G1318:G1319" si="546">F1318/$H$9</f>
        <v>0</v>
      </c>
      <c r="H1318" s="77">
        <f>F1318*'Date Generale'!$D$58</f>
        <v>0</v>
      </c>
      <c r="I1318" s="77">
        <f t="shared" ref="I1318:I1319" si="547">H1318+F1318</f>
        <v>0</v>
      </c>
      <c r="J1318" s="79">
        <f t="shared" ref="J1318:J1319" si="548">I1318/$H$9</f>
        <v>0</v>
      </c>
    </row>
    <row r="1319" spans="1:10">
      <c r="A1319" s="80">
        <f t="shared" ref="A1319" si="549">A1318+1</f>
        <v>2</v>
      </c>
      <c r="B1319" s="81"/>
      <c r="C1319" s="76" t="str">
        <f>IF(B1319="","",VLOOKUP(B1319,'Lista articole'!$D$4:$E$2255,2,FALSE))</f>
        <v/>
      </c>
      <c r="D1319" s="77">
        <v>0</v>
      </c>
      <c r="E1319" s="78">
        <f>IF(B1319="",0,VLOOKUP(B1319,'Lista articole'!$D$4:$F$2163,3,FALSE))</f>
        <v>0</v>
      </c>
      <c r="F1319" s="77">
        <f t="shared" si="545"/>
        <v>0</v>
      </c>
      <c r="G1319" s="77">
        <f t="shared" si="546"/>
        <v>0</v>
      </c>
      <c r="H1319" s="77">
        <f>F1319*'Date Generale'!$D$58</f>
        <v>0</v>
      </c>
      <c r="I1319" s="77">
        <f t="shared" si="547"/>
        <v>0</v>
      </c>
      <c r="J1319" s="79">
        <f t="shared" si="548"/>
        <v>0</v>
      </c>
    </row>
    <row r="1320" spans="1:10">
      <c r="A1320" s="693" t="s">
        <v>45</v>
      </c>
      <c r="B1320" s="694"/>
      <c r="C1320" s="694"/>
      <c r="D1320" s="694"/>
      <c r="E1320" s="694"/>
      <c r="F1320" s="56">
        <f>SUM(F1321:F1322)</f>
        <v>0</v>
      </c>
      <c r="G1320" s="56">
        <f>SUM(G1321:G1322)</f>
        <v>0</v>
      </c>
      <c r="H1320" s="56">
        <f>SUM(H1321:H1322)</f>
        <v>0</v>
      </c>
      <c r="I1320" s="56">
        <f>SUM(I1321:I1322)</f>
        <v>0</v>
      </c>
      <c r="J1320" s="57">
        <f>SUM(J1321:J1322)</f>
        <v>0</v>
      </c>
    </row>
    <row r="1321" spans="1:10">
      <c r="A1321" s="80">
        <v>1</v>
      </c>
      <c r="B1321" s="81"/>
      <c r="C1321" s="76" t="str">
        <f>IF(B1321="","",VLOOKUP(B1321,'Lista articole'!$D$4:$E$2255,2,FALSE))</f>
        <v/>
      </c>
      <c r="D1321" s="77">
        <v>0</v>
      </c>
      <c r="E1321" s="78">
        <f>IF(B1321="",0,VLOOKUP(B1321,'Lista articole'!$D$4:$F$2163,3,FALSE))</f>
        <v>0</v>
      </c>
      <c r="F1321" s="77">
        <f t="shared" ref="F1321:F1322" si="550">D1321*E1321</f>
        <v>0</v>
      </c>
      <c r="G1321" s="77">
        <f t="shared" ref="G1321:G1322" si="551">F1321/$H$9</f>
        <v>0</v>
      </c>
      <c r="H1321" s="77">
        <f>F1321*'Date Generale'!$D$58</f>
        <v>0</v>
      </c>
      <c r="I1321" s="77">
        <f t="shared" ref="I1321:I1322" si="552">H1321+F1321</f>
        <v>0</v>
      </c>
      <c r="J1321" s="79">
        <f t="shared" ref="J1321:J1322" si="553">I1321/$H$9</f>
        <v>0</v>
      </c>
    </row>
    <row r="1322" spans="1:10">
      <c r="A1322" s="80">
        <v>2</v>
      </c>
      <c r="B1322" s="81"/>
      <c r="C1322" s="76" t="str">
        <f>IF(B1322="","",VLOOKUP(B1322,'Lista articole'!$D$4:$E$2255,2,FALSE))</f>
        <v/>
      </c>
      <c r="D1322" s="77">
        <v>0</v>
      </c>
      <c r="E1322" s="78">
        <f>IF(B1322="",0,VLOOKUP(B1322,'Lista articole'!$D$4:$F$2163,3,FALSE))</f>
        <v>0</v>
      </c>
      <c r="F1322" s="77">
        <f t="shared" si="550"/>
        <v>0</v>
      </c>
      <c r="G1322" s="77">
        <f t="shared" si="551"/>
        <v>0</v>
      </c>
      <c r="H1322" s="77">
        <f>F1322*'Date Generale'!$D$58</f>
        <v>0</v>
      </c>
      <c r="I1322" s="77">
        <f t="shared" si="552"/>
        <v>0</v>
      </c>
      <c r="J1322" s="79">
        <f t="shared" si="553"/>
        <v>0</v>
      </c>
    </row>
    <row r="1323" spans="1:10">
      <c r="A1323" s="693" t="s">
        <v>46</v>
      </c>
      <c r="B1323" s="694"/>
      <c r="C1323" s="694"/>
      <c r="D1323" s="694"/>
      <c r="E1323" s="694"/>
      <c r="F1323" s="56">
        <f>SUM(F1324:F1337)</f>
        <v>0</v>
      </c>
      <c r="G1323" s="56">
        <f>SUM(G1324:G1337)</f>
        <v>0</v>
      </c>
      <c r="H1323" s="56">
        <f>SUM(H1324:H1337)</f>
        <v>0</v>
      </c>
      <c r="I1323" s="56">
        <f>SUM(I1324:I1337)</f>
        <v>0</v>
      </c>
      <c r="J1323" s="57">
        <f>SUM(J1324:J1337)</f>
        <v>0</v>
      </c>
    </row>
    <row r="1324" spans="1:10">
      <c r="A1324" s="80">
        <v>1</v>
      </c>
      <c r="B1324" s="81"/>
      <c r="C1324" s="76" t="str">
        <f>IF(B1324="","",VLOOKUP(B1324,'Lista articole'!$D$4:$E$2255,2,FALSE))</f>
        <v/>
      </c>
      <c r="D1324" s="77">
        <v>0</v>
      </c>
      <c r="E1324" s="78">
        <f>IF(B1324="",0,VLOOKUP(B1324,'Lista articole'!$D$4:$F$2163,3,FALSE))</f>
        <v>0</v>
      </c>
      <c r="F1324" s="77">
        <f t="shared" ref="F1324:F1337" si="554">D1324*E1324</f>
        <v>0</v>
      </c>
      <c r="G1324" s="77">
        <f t="shared" ref="G1324:G1337" si="555">F1324/$H$9</f>
        <v>0</v>
      </c>
      <c r="H1324" s="77">
        <f>F1324*'Date Generale'!$D$58</f>
        <v>0</v>
      </c>
      <c r="I1324" s="77">
        <f t="shared" ref="I1324:I1337" si="556">H1324+F1324</f>
        <v>0</v>
      </c>
      <c r="J1324" s="79">
        <f t="shared" ref="J1324:J1337" si="557">I1324/$H$9</f>
        <v>0</v>
      </c>
    </row>
    <row r="1325" spans="1:10">
      <c r="A1325" s="80">
        <v>2</v>
      </c>
      <c r="B1325" s="81"/>
      <c r="C1325" s="76" t="str">
        <f>IF(B1325="","",VLOOKUP(B1325,'Lista articole'!$D$4:$E$2255,2,FALSE))</f>
        <v/>
      </c>
      <c r="D1325" s="77">
        <v>0</v>
      </c>
      <c r="E1325" s="78">
        <f>IF(B1325="",0,VLOOKUP(B1325,'Lista articole'!$D$4:$F$2163,3,FALSE))</f>
        <v>0</v>
      </c>
      <c r="F1325" s="77">
        <f t="shared" si="554"/>
        <v>0</v>
      </c>
      <c r="G1325" s="77">
        <f t="shared" si="555"/>
        <v>0</v>
      </c>
      <c r="H1325" s="77">
        <f>F1325*'Date Generale'!$D$58</f>
        <v>0</v>
      </c>
      <c r="I1325" s="77">
        <f t="shared" si="556"/>
        <v>0</v>
      </c>
      <c r="J1325" s="79">
        <f t="shared" si="557"/>
        <v>0</v>
      </c>
    </row>
    <row r="1326" spans="1:10">
      <c r="A1326" s="80">
        <v>3</v>
      </c>
      <c r="B1326" s="81"/>
      <c r="C1326" s="76" t="str">
        <f>IF(B1326="","",VLOOKUP(B1326,'Lista articole'!$D$4:$E$2255,2,FALSE))</f>
        <v/>
      </c>
      <c r="D1326" s="77">
        <v>0</v>
      </c>
      <c r="E1326" s="78">
        <f>IF(B1326="",0,VLOOKUP(B1326,'Lista articole'!$D$4:$F$2163,3,FALSE))</f>
        <v>0</v>
      </c>
      <c r="F1326" s="77">
        <f t="shared" si="554"/>
        <v>0</v>
      </c>
      <c r="G1326" s="77">
        <f t="shared" si="555"/>
        <v>0</v>
      </c>
      <c r="H1326" s="77">
        <f>F1326*'Date Generale'!$D$58</f>
        <v>0</v>
      </c>
      <c r="I1326" s="77">
        <f t="shared" si="556"/>
        <v>0</v>
      </c>
      <c r="J1326" s="79">
        <f t="shared" si="557"/>
        <v>0</v>
      </c>
    </row>
    <row r="1327" spans="1:10">
      <c r="A1327" s="80">
        <v>4</v>
      </c>
      <c r="B1327" s="81"/>
      <c r="C1327" s="76" t="str">
        <f>IF(B1327="","",VLOOKUP(B1327,'Lista articole'!$D$4:$E$2255,2,FALSE))</f>
        <v/>
      </c>
      <c r="D1327" s="77">
        <v>0</v>
      </c>
      <c r="E1327" s="78">
        <f>IF(B1327="",0,VLOOKUP(B1327,'Lista articole'!$D$4:$F$2163,3,FALSE))</f>
        <v>0</v>
      </c>
      <c r="F1327" s="77">
        <f t="shared" si="554"/>
        <v>0</v>
      </c>
      <c r="G1327" s="77">
        <f t="shared" si="555"/>
        <v>0</v>
      </c>
      <c r="H1327" s="77">
        <f>F1327*'Date Generale'!$D$58</f>
        <v>0</v>
      </c>
      <c r="I1327" s="77">
        <f t="shared" si="556"/>
        <v>0</v>
      </c>
      <c r="J1327" s="79">
        <f t="shared" si="557"/>
        <v>0</v>
      </c>
    </row>
    <row r="1328" spans="1:10">
      <c r="A1328" s="80">
        <v>5</v>
      </c>
      <c r="B1328" s="81"/>
      <c r="C1328" s="76" t="str">
        <f>IF(B1328="","",VLOOKUP(B1328,'Lista articole'!$D$4:$E$2255,2,FALSE))</f>
        <v/>
      </c>
      <c r="D1328" s="77">
        <v>0</v>
      </c>
      <c r="E1328" s="78">
        <f>IF(B1328="",0,VLOOKUP(B1328,'Lista articole'!$D$4:$F$2163,3,FALSE))</f>
        <v>0</v>
      </c>
      <c r="F1328" s="77">
        <f t="shared" si="554"/>
        <v>0</v>
      </c>
      <c r="G1328" s="77">
        <f t="shared" si="555"/>
        <v>0</v>
      </c>
      <c r="H1328" s="77">
        <f>F1328*'Date Generale'!$D$58</f>
        <v>0</v>
      </c>
      <c r="I1328" s="77">
        <f t="shared" si="556"/>
        <v>0</v>
      </c>
      <c r="J1328" s="79">
        <f t="shared" si="557"/>
        <v>0</v>
      </c>
    </row>
    <row r="1329" spans="1:10">
      <c r="A1329" s="80">
        <v>6</v>
      </c>
      <c r="B1329" s="81"/>
      <c r="C1329" s="76" t="str">
        <f>IF(B1329="","",VLOOKUP(B1329,'Lista articole'!$D$4:$E$2255,2,FALSE))</f>
        <v/>
      </c>
      <c r="D1329" s="77">
        <v>0</v>
      </c>
      <c r="E1329" s="78">
        <f>IF(B1329="",0,VLOOKUP(B1329,'Lista articole'!$D$4:$F$2163,3,FALSE))</f>
        <v>0</v>
      </c>
      <c r="F1329" s="77">
        <f t="shared" si="554"/>
        <v>0</v>
      </c>
      <c r="G1329" s="77">
        <f t="shared" si="555"/>
        <v>0</v>
      </c>
      <c r="H1329" s="77">
        <f>F1329*'Date Generale'!$D$58</f>
        <v>0</v>
      </c>
      <c r="I1329" s="77">
        <f t="shared" si="556"/>
        <v>0</v>
      </c>
      <c r="J1329" s="79">
        <f t="shared" si="557"/>
        <v>0</v>
      </c>
    </row>
    <row r="1330" spans="1:10">
      <c r="A1330" s="80">
        <v>7</v>
      </c>
      <c r="B1330" s="81"/>
      <c r="C1330" s="76" t="str">
        <f>IF(B1330="","",VLOOKUP(B1330,'Lista articole'!$D$4:$E$2255,2,FALSE))</f>
        <v/>
      </c>
      <c r="D1330" s="77">
        <v>0</v>
      </c>
      <c r="E1330" s="78">
        <f>IF(B1330="",0,VLOOKUP(B1330,'Lista articole'!$D$4:$F$2163,3,FALSE))</f>
        <v>0</v>
      </c>
      <c r="F1330" s="77">
        <f t="shared" si="554"/>
        <v>0</v>
      </c>
      <c r="G1330" s="77">
        <f t="shared" si="555"/>
        <v>0</v>
      </c>
      <c r="H1330" s="77">
        <f>F1330*'Date Generale'!$D$58</f>
        <v>0</v>
      </c>
      <c r="I1330" s="77">
        <f t="shared" si="556"/>
        <v>0</v>
      </c>
      <c r="J1330" s="79">
        <f t="shared" si="557"/>
        <v>0</v>
      </c>
    </row>
    <row r="1331" spans="1:10">
      <c r="A1331" s="80">
        <v>8</v>
      </c>
      <c r="B1331" s="81"/>
      <c r="C1331" s="76" t="str">
        <f>IF(B1331="","",VLOOKUP(B1331,'Lista articole'!$D$4:$E$2255,2,FALSE))</f>
        <v/>
      </c>
      <c r="D1331" s="77">
        <v>0</v>
      </c>
      <c r="E1331" s="78">
        <f>IF(B1331="",0,VLOOKUP(B1331,'Lista articole'!$D$4:$F$2163,3,FALSE))</f>
        <v>0</v>
      </c>
      <c r="F1331" s="77">
        <f t="shared" si="554"/>
        <v>0</v>
      </c>
      <c r="G1331" s="77">
        <f t="shared" si="555"/>
        <v>0</v>
      </c>
      <c r="H1331" s="77">
        <f>F1331*'Date Generale'!$D$58</f>
        <v>0</v>
      </c>
      <c r="I1331" s="77">
        <f t="shared" si="556"/>
        <v>0</v>
      </c>
      <c r="J1331" s="79">
        <f t="shared" si="557"/>
        <v>0</v>
      </c>
    </row>
    <row r="1332" spans="1:10">
      <c r="A1332" s="80">
        <v>9</v>
      </c>
      <c r="B1332" s="81"/>
      <c r="C1332" s="76" t="str">
        <f>IF(B1332="","",VLOOKUP(B1332,'Lista articole'!$D$4:$E$2255,2,FALSE))</f>
        <v/>
      </c>
      <c r="D1332" s="77">
        <v>0</v>
      </c>
      <c r="E1332" s="78">
        <f>IF(B1332="",0,VLOOKUP(B1332,'Lista articole'!$D$4:$F$2163,3,FALSE))</f>
        <v>0</v>
      </c>
      <c r="F1332" s="77">
        <f t="shared" si="554"/>
        <v>0</v>
      </c>
      <c r="G1332" s="77">
        <f t="shared" si="555"/>
        <v>0</v>
      </c>
      <c r="H1332" s="77">
        <f>F1332*'Date Generale'!$D$58</f>
        <v>0</v>
      </c>
      <c r="I1332" s="77">
        <f t="shared" si="556"/>
        <v>0</v>
      </c>
      <c r="J1332" s="79">
        <f t="shared" si="557"/>
        <v>0</v>
      </c>
    </row>
    <row r="1333" spans="1:10">
      <c r="A1333" s="80">
        <v>10</v>
      </c>
      <c r="B1333" s="81"/>
      <c r="C1333" s="76" t="str">
        <f>IF(B1333="","",VLOOKUP(B1333,'Lista articole'!$D$4:$E$2255,2,FALSE))</f>
        <v/>
      </c>
      <c r="D1333" s="77">
        <v>0</v>
      </c>
      <c r="E1333" s="78">
        <f>IF(B1333="",0,VLOOKUP(B1333,'Lista articole'!$D$4:$F$2163,3,FALSE))</f>
        <v>0</v>
      </c>
      <c r="F1333" s="77">
        <f t="shared" si="554"/>
        <v>0</v>
      </c>
      <c r="G1333" s="77">
        <f t="shared" si="555"/>
        <v>0</v>
      </c>
      <c r="H1333" s="77">
        <f>F1333*'Date Generale'!$D$58</f>
        <v>0</v>
      </c>
      <c r="I1333" s="77">
        <f t="shared" si="556"/>
        <v>0</v>
      </c>
      <c r="J1333" s="79">
        <f t="shared" si="557"/>
        <v>0</v>
      </c>
    </row>
    <row r="1334" spans="1:10">
      <c r="A1334" s="80">
        <v>11</v>
      </c>
      <c r="B1334" s="81"/>
      <c r="C1334" s="76" t="str">
        <f>IF(B1334="","",VLOOKUP(B1334,'Lista articole'!$D$4:$E$2255,2,FALSE))</f>
        <v/>
      </c>
      <c r="D1334" s="77">
        <v>0</v>
      </c>
      <c r="E1334" s="78">
        <f>IF(B1334="",0,VLOOKUP(B1334,'Lista articole'!$D$4:$F$2163,3,FALSE))</f>
        <v>0</v>
      </c>
      <c r="F1334" s="77">
        <f t="shared" si="554"/>
        <v>0</v>
      </c>
      <c r="G1334" s="77">
        <f t="shared" si="555"/>
        <v>0</v>
      </c>
      <c r="H1334" s="77">
        <f>F1334*'Date Generale'!$D$58</f>
        <v>0</v>
      </c>
      <c r="I1334" s="77">
        <f t="shared" si="556"/>
        <v>0</v>
      </c>
      <c r="J1334" s="79">
        <f t="shared" si="557"/>
        <v>0</v>
      </c>
    </row>
    <row r="1335" spans="1:10">
      <c r="A1335" s="80">
        <v>12</v>
      </c>
      <c r="B1335" s="81"/>
      <c r="C1335" s="76" t="str">
        <f>IF(B1335="","",VLOOKUP(B1335,'Lista articole'!$D$4:$E$2255,2,FALSE))</f>
        <v/>
      </c>
      <c r="D1335" s="77">
        <v>0</v>
      </c>
      <c r="E1335" s="78">
        <f>IF(B1335="",0,VLOOKUP(B1335,'Lista articole'!$D$4:$F$2163,3,FALSE))</f>
        <v>0</v>
      </c>
      <c r="F1335" s="77">
        <f t="shared" si="554"/>
        <v>0</v>
      </c>
      <c r="G1335" s="77">
        <f t="shared" si="555"/>
        <v>0</v>
      </c>
      <c r="H1335" s="77">
        <f>F1335*'Date Generale'!$D$58</f>
        <v>0</v>
      </c>
      <c r="I1335" s="77">
        <f t="shared" si="556"/>
        <v>0</v>
      </c>
      <c r="J1335" s="79">
        <f t="shared" si="557"/>
        <v>0</v>
      </c>
    </row>
    <row r="1336" spans="1:10">
      <c r="A1336" s="80">
        <v>13</v>
      </c>
      <c r="B1336" s="81"/>
      <c r="C1336" s="76" t="str">
        <f>IF(B1336="","",VLOOKUP(B1336,'Lista articole'!$D$4:$E$2255,2,FALSE))</f>
        <v/>
      </c>
      <c r="D1336" s="77">
        <v>0</v>
      </c>
      <c r="E1336" s="78">
        <f>IF(B1336="",0,VLOOKUP(B1336,'Lista articole'!$D$4:$F$2163,3,FALSE))</f>
        <v>0</v>
      </c>
      <c r="F1336" s="77">
        <f t="shared" si="554"/>
        <v>0</v>
      </c>
      <c r="G1336" s="77">
        <f t="shared" si="555"/>
        <v>0</v>
      </c>
      <c r="H1336" s="77">
        <f>F1336*'Date Generale'!$D$58</f>
        <v>0</v>
      </c>
      <c r="I1336" s="77">
        <f t="shared" si="556"/>
        <v>0</v>
      </c>
      <c r="J1336" s="79">
        <f t="shared" si="557"/>
        <v>0</v>
      </c>
    </row>
    <row r="1337" spans="1:10">
      <c r="A1337" s="80">
        <v>14</v>
      </c>
      <c r="B1337" s="81"/>
      <c r="C1337" s="76" t="str">
        <f>IF(B1337="","",VLOOKUP(B1337,'Lista articole'!$D$4:$E$2255,2,FALSE))</f>
        <v/>
      </c>
      <c r="D1337" s="77">
        <v>0</v>
      </c>
      <c r="E1337" s="78">
        <f>IF(B1337="",0,VLOOKUP(B1337,'Lista articole'!$D$4:$F$2163,3,FALSE))</f>
        <v>0</v>
      </c>
      <c r="F1337" s="77">
        <f t="shared" si="554"/>
        <v>0</v>
      </c>
      <c r="G1337" s="77">
        <f t="shared" si="555"/>
        <v>0</v>
      </c>
      <c r="H1337" s="77">
        <f>F1337*'Date Generale'!$D$58</f>
        <v>0</v>
      </c>
      <c r="I1337" s="77">
        <f t="shared" si="556"/>
        <v>0</v>
      </c>
      <c r="J1337" s="79">
        <f t="shared" si="557"/>
        <v>0</v>
      </c>
    </row>
    <row r="1338" spans="1:10">
      <c r="A1338" s="693" t="s">
        <v>50</v>
      </c>
      <c r="B1338" s="694"/>
      <c r="C1338" s="694"/>
      <c r="D1338" s="694"/>
      <c r="E1338" s="694"/>
      <c r="F1338" s="56">
        <f>SUM(F1339:F1340)</f>
        <v>0</v>
      </c>
      <c r="G1338" s="56">
        <f>SUM(G1339:G1340)</f>
        <v>0</v>
      </c>
      <c r="H1338" s="56">
        <f>SUM(H1339:H1340)</f>
        <v>0</v>
      </c>
      <c r="I1338" s="56">
        <f>SUM(I1339:I1340)</f>
        <v>0</v>
      </c>
      <c r="J1338" s="57">
        <f>SUM(J1339:J1340)</f>
        <v>0</v>
      </c>
    </row>
    <row r="1339" spans="1:10">
      <c r="A1339" s="80">
        <v>1</v>
      </c>
      <c r="B1339" s="81"/>
      <c r="C1339" s="76" t="str">
        <f>IF(B1339="","",VLOOKUP(B1339,'Lista articole'!$D$4:$E$2255,2,FALSE))</f>
        <v/>
      </c>
      <c r="D1339" s="77">
        <v>0</v>
      </c>
      <c r="E1339" s="78">
        <f>IF(B1339="",0,VLOOKUP(B1339,'Lista articole'!$D$4:$F$2163,3,FALSE))</f>
        <v>0</v>
      </c>
      <c r="F1339" s="77">
        <f t="shared" ref="F1339:F1340" si="558">D1339*E1339</f>
        <v>0</v>
      </c>
      <c r="G1339" s="77">
        <f t="shared" ref="G1339:G1340" si="559">F1339/$H$9</f>
        <v>0</v>
      </c>
      <c r="H1339" s="77">
        <f>F1339*'Date Generale'!$D$58</f>
        <v>0</v>
      </c>
      <c r="I1339" s="77">
        <f t="shared" ref="I1339:I1340" si="560">H1339+F1339</f>
        <v>0</v>
      </c>
      <c r="J1339" s="79">
        <f t="shared" ref="J1339:J1340" si="561">I1339/$H$9</f>
        <v>0</v>
      </c>
    </row>
    <row r="1340" spans="1:10">
      <c r="A1340" s="74">
        <f>A1339+1</f>
        <v>2</v>
      </c>
      <c r="B1340" s="75"/>
      <c r="C1340" s="76" t="str">
        <f>IF(B1340="","",VLOOKUP(B1340,'Lista articole'!$D$4:$E$2255,2,FALSE))</f>
        <v/>
      </c>
      <c r="D1340" s="77">
        <v>0</v>
      </c>
      <c r="E1340" s="78">
        <f>IF(B1340="",0,VLOOKUP(B1340,'Lista articole'!$D$4:$F$2163,3,FALSE))</f>
        <v>0</v>
      </c>
      <c r="F1340" s="77">
        <f t="shared" si="558"/>
        <v>0</v>
      </c>
      <c r="G1340" s="77">
        <f t="shared" si="559"/>
        <v>0</v>
      </c>
      <c r="H1340" s="77">
        <f>F1340*'Date Generale'!$D$58</f>
        <v>0</v>
      </c>
      <c r="I1340" s="77">
        <f t="shared" si="560"/>
        <v>0</v>
      </c>
      <c r="J1340" s="79">
        <f t="shared" si="561"/>
        <v>0</v>
      </c>
    </row>
    <row r="1341" spans="1:10">
      <c r="A1341" s="693" t="s">
        <v>51</v>
      </c>
      <c r="B1341" s="694"/>
      <c r="C1341" s="694"/>
      <c r="D1341" s="694"/>
      <c r="E1341" s="694"/>
      <c r="F1341" s="56">
        <f>SUM(F1342:F1343)</f>
        <v>0</v>
      </c>
      <c r="G1341" s="56">
        <f>SUM(G1342:G1343)</f>
        <v>0</v>
      </c>
      <c r="H1341" s="56">
        <f>SUM(H1342:H1343)</f>
        <v>0</v>
      </c>
      <c r="I1341" s="56">
        <f>SUM(I1342:I1343)</f>
        <v>0</v>
      </c>
      <c r="J1341" s="57">
        <f>SUM(J1342:J1343)</f>
        <v>0</v>
      </c>
    </row>
    <row r="1342" spans="1:10">
      <c r="A1342" s="80">
        <v>1</v>
      </c>
      <c r="B1342" s="81"/>
      <c r="C1342" s="76" t="str">
        <f>IF(B1342="","",VLOOKUP(B1342,'Lista articole'!$D$4:$E$2255,2,FALSE))</f>
        <v/>
      </c>
      <c r="D1342" s="77">
        <v>0</v>
      </c>
      <c r="E1342" s="78">
        <f>IF(B1342="",0,VLOOKUP(B1342,'Lista articole'!$D$4:$F$2163,3,FALSE))</f>
        <v>0</v>
      </c>
      <c r="F1342" s="77">
        <f t="shared" ref="F1342:F1343" si="562">D1342*E1342</f>
        <v>0</v>
      </c>
      <c r="G1342" s="77">
        <f t="shared" ref="G1342:G1343" si="563">F1342/$H$9</f>
        <v>0</v>
      </c>
      <c r="H1342" s="77">
        <f>F1342*'Date Generale'!$D$58</f>
        <v>0</v>
      </c>
      <c r="I1342" s="77">
        <f t="shared" ref="I1342:I1343" si="564">H1342+F1342</f>
        <v>0</v>
      </c>
      <c r="J1342" s="79">
        <f t="shared" ref="J1342:J1343" si="565">I1342/$H$9</f>
        <v>0</v>
      </c>
    </row>
    <row r="1343" spans="1:10">
      <c r="A1343" s="74">
        <f>A1342+1</f>
        <v>2</v>
      </c>
      <c r="B1343" s="75"/>
      <c r="C1343" s="76" t="str">
        <f>IF(B1343="","",VLOOKUP(B1343,'Lista articole'!$D$4:$E$2255,2,FALSE))</f>
        <v/>
      </c>
      <c r="D1343" s="77">
        <v>0</v>
      </c>
      <c r="E1343" s="78">
        <f>IF(B1343="",0,VLOOKUP(B1343,'Lista articole'!$D$4:$F$2163,3,FALSE))</f>
        <v>0</v>
      </c>
      <c r="F1343" s="77">
        <f t="shared" si="562"/>
        <v>0</v>
      </c>
      <c r="G1343" s="77">
        <f t="shared" si="563"/>
        <v>0</v>
      </c>
      <c r="H1343" s="77">
        <f>F1343*'Date Generale'!$D$58</f>
        <v>0</v>
      </c>
      <c r="I1343" s="77">
        <f t="shared" si="564"/>
        <v>0</v>
      </c>
      <c r="J1343" s="79">
        <f t="shared" si="565"/>
        <v>0</v>
      </c>
    </row>
    <row r="1344" spans="1:10">
      <c r="A1344" s="693" t="s">
        <v>52</v>
      </c>
      <c r="B1344" s="694"/>
      <c r="C1344" s="694"/>
      <c r="D1344" s="694"/>
      <c r="E1344" s="694"/>
      <c r="F1344" s="56">
        <f>SUM(F1345:F1346)</f>
        <v>0</v>
      </c>
      <c r="G1344" s="56">
        <f>SUM(G1345:G1346)</f>
        <v>0</v>
      </c>
      <c r="H1344" s="56">
        <f>SUM(H1345:H1346)</f>
        <v>0</v>
      </c>
      <c r="I1344" s="56">
        <f>SUM(I1345:I1346)</f>
        <v>0</v>
      </c>
      <c r="J1344" s="57">
        <f>SUM(J1345:J1346)</f>
        <v>0</v>
      </c>
    </row>
    <row r="1345" spans="1:10">
      <c r="A1345" s="80">
        <v>1</v>
      </c>
      <c r="B1345" s="81"/>
      <c r="C1345" s="76" t="str">
        <f>IF(B1345="","",VLOOKUP(B1345,'Lista articole'!$D$4:$E$2255,2,FALSE))</f>
        <v/>
      </c>
      <c r="D1345" s="77">
        <v>0</v>
      </c>
      <c r="E1345" s="78">
        <f>IF(B1345="",0,VLOOKUP(B1345,'Lista articole'!$D$4:$F$2163,3,FALSE))</f>
        <v>0</v>
      </c>
      <c r="F1345" s="77">
        <f>D1345*E1345</f>
        <v>0</v>
      </c>
      <c r="G1345" s="77">
        <f>F1345/$H$9</f>
        <v>0</v>
      </c>
      <c r="H1345" s="77">
        <f>F1345*'Date Generale'!$D$58</f>
        <v>0</v>
      </c>
      <c r="I1345" s="77">
        <f t="shared" ref="I1345:I1346" si="566">H1345+F1345</f>
        <v>0</v>
      </c>
      <c r="J1345" s="79">
        <f t="shared" ref="J1345:J1346" si="567">I1345/$H$9</f>
        <v>0</v>
      </c>
    </row>
    <row r="1346" spans="1:10">
      <c r="A1346" s="74">
        <f>A1345+1</f>
        <v>2</v>
      </c>
      <c r="B1346" s="75"/>
      <c r="C1346" s="76" t="str">
        <f>IF(B1346="","",VLOOKUP(B1346,'Lista articole'!$D$4:$E$2255,2,FALSE))</f>
        <v/>
      </c>
      <c r="D1346" s="77">
        <v>0</v>
      </c>
      <c r="E1346" s="78">
        <f>IF(B1346="",0,VLOOKUP(B1346,'Lista articole'!$D$4:$F$2163,3,FALSE))</f>
        <v>0</v>
      </c>
      <c r="F1346" s="77">
        <f t="shared" ref="F1346" si="568">D1346*E1346</f>
        <v>0</v>
      </c>
      <c r="G1346" s="77">
        <f t="shared" ref="G1346" si="569">F1346/$H$9</f>
        <v>0</v>
      </c>
      <c r="H1346" s="77">
        <f>F1346*'Date Generale'!$D$58</f>
        <v>0</v>
      </c>
      <c r="I1346" s="77">
        <f t="shared" si="566"/>
        <v>0</v>
      </c>
      <c r="J1346" s="79">
        <f t="shared" si="567"/>
        <v>0</v>
      </c>
    </row>
    <row r="1347" spans="1:10">
      <c r="A1347" s="693" t="s">
        <v>53</v>
      </c>
      <c r="B1347" s="694"/>
      <c r="C1347" s="694"/>
      <c r="D1347" s="694"/>
      <c r="E1347" s="694"/>
      <c r="F1347" s="56">
        <f>SUM(F1348:F1349)</f>
        <v>0</v>
      </c>
      <c r="G1347" s="56">
        <f>SUM(G1348:G1349)</f>
        <v>0</v>
      </c>
      <c r="H1347" s="56">
        <f>SUM(H1348:H1349)</f>
        <v>0</v>
      </c>
      <c r="I1347" s="56">
        <f>SUM(I1348:I1349)</f>
        <v>0</v>
      </c>
      <c r="J1347" s="57">
        <f>SUM(J1348:J1349)</f>
        <v>0</v>
      </c>
    </row>
    <row r="1348" spans="1:10">
      <c r="A1348" s="80">
        <v>1</v>
      </c>
      <c r="B1348" s="81"/>
      <c r="C1348" s="76" t="str">
        <f>IF(B1348="","",VLOOKUP(B1348,'Lista articole'!$D$4:$E$2255,2,FALSE))</f>
        <v/>
      </c>
      <c r="D1348" s="77">
        <v>0</v>
      </c>
      <c r="E1348" s="78">
        <f>IF(B1348="",0,VLOOKUP(B1348,'Lista articole'!$D$4:$F$2163,3,FALSE))</f>
        <v>0</v>
      </c>
      <c r="F1348" s="77">
        <f>D1348*E1348</f>
        <v>0</v>
      </c>
      <c r="G1348" s="77">
        <f>F1348/$H$9</f>
        <v>0</v>
      </c>
      <c r="H1348" s="77">
        <f>F1348*'Date Generale'!$D$58</f>
        <v>0</v>
      </c>
      <c r="I1348" s="77">
        <f t="shared" ref="I1348:I1349" si="570">H1348+F1348</f>
        <v>0</v>
      </c>
      <c r="J1348" s="79">
        <f t="shared" ref="J1348:J1349" si="571">I1348/$H$9</f>
        <v>0</v>
      </c>
    </row>
    <row r="1349" spans="1:10" ht="15.75" thickBot="1">
      <c r="A1349" s="139">
        <f>A1348+1</f>
        <v>2</v>
      </c>
      <c r="B1349" s="140"/>
      <c r="C1349" s="141" t="str">
        <f>IF(B1349="","",VLOOKUP(B1349,'Lista articole'!$D$4:$E$2255,2,FALSE))</f>
        <v/>
      </c>
      <c r="D1349" s="142">
        <v>0</v>
      </c>
      <c r="E1349" s="143">
        <f>IF(B1349="",0,VLOOKUP(B1349,'Lista articole'!$D$4:$F$2163,3,FALSE))</f>
        <v>0</v>
      </c>
      <c r="F1349" s="142">
        <f t="shared" ref="F1349" si="572">D1349*E1349</f>
        <v>0</v>
      </c>
      <c r="G1349" s="142">
        <f t="shared" ref="G1349" si="573">F1349/$H$9</f>
        <v>0</v>
      </c>
      <c r="H1349" s="142">
        <f>F1349*'Date Generale'!$D$58</f>
        <v>0</v>
      </c>
      <c r="I1349" s="142">
        <f t="shared" si="570"/>
        <v>0</v>
      </c>
      <c r="J1349" s="144">
        <f t="shared" si="571"/>
        <v>0</v>
      </c>
    </row>
    <row r="1350" spans="1:10" ht="15.75" thickBot="1">
      <c r="A1350" s="685" t="s">
        <v>27</v>
      </c>
      <c r="B1350" s="686"/>
      <c r="C1350" s="686"/>
      <c r="D1350" s="686"/>
      <c r="E1350" s="686"/>
      <c r="F1350" s="82">
        <f>SUM(F1314,F1317,F1320,F1323,F1338,F1341,F1344,F1347)</f>
        <v>0</v>
      </c>
      <c r="G1350" s="82">
        <f>SUM(G1314,G1317,G1320,G1323,G1338,G1341,G1344,G1347)</f>
        <v>0</v>
      </c>
      <c r="H1350" s="82">
        <f>SUM(H1314,H1317,H1320,H1323,H1338,H1341,H1344,H1347)</f>
        <v>0</v>
      </c>
      <c r="I1350" s="82">
        <f>SUM(I1314,I1317,I1320,I1323,I1338,I1341,I1344,I1347)</f>
        <v>0</v>
      </c>
      <c r="J1350" s="83">
        <f>SUM(J1314,J1317,J1320,J1323,J1338,J1341,J1344,J1347)</f>
        <v>0</v>
      </c>
    </row>
    <row r="1351" spans="1:10" ht="15.75" thickBot="1">
      <c r="A1351" s="683" t="s">
        <v>28</v>
      </c>
      <c r="B1351" s="684"/>
      <c r="C1351" s="684"/>
      <c r="D1351" s="684"/>
      <c r="E1351" s="684"/>
      <c r="F1351" s="72"/>
      <c r="G1351" s="72"/>
      <c r="H1351" s="72"/>
      <c r="I1351" s="72"/>
      <c r="J1351" s="73"/>
    </row>
    <row r="1352" spans="1:10">
      <c r="A1352" s="145"/>
      <c r="B1352" s="695" t="s">
        <v>29</v>
      </c>
      <c r="C1352" s="695"/>
      <c r="D1352" s="695"/>
      <c r="E1352" s="695"/>
      <c r="F1352" s="146">
        <f>SUM(F1353:F1354)</f>
        <v>0</v>
      </c>
      <c r="G1352" s="146">
        <f>SUM(G1353:G1354)</f>
        <v>0</v>
      </c>
      <c r="H1352" s="146">
        <f>SUM(H1353:H1354)</f>
        <v>0</v>
      </c>
      <c r="I1352" s="146">
        <f>SUM(I1353:I1354)</f>
        <v>0</v>
      </c>
      <c r="J1352" s="147">
        <f>SUM(J1353:J1354)</f>
        <v>0</v>
      </c>
    </row>
    <row r="1353" spans="1:10">
      <c r="A1353" s="80">
        <v>1</v>
      </c>
      <c r="B1353" s="81"/>
      <c r="C1353" s="76" t="str">
        <f>IF(B1353="","",VLOOKUP(B1353,'Lista articole'!$D$4:$E$2255,2,FALSE))</f>
        <v/>
      </c>
      <c r="D1353" s="77">
        <v>0</v>
      </c>
      <c r="E1353" s="78">
        <f>IF(B1353="",0,VLOOKUP(B1353,'Lista articole'!$D$4:$F$2163,3,FALSE))</f>
        <v>0</v>
      </c>
      <c r="F1353" s="77">
        <f>D1353*E1353</f>
        <v>0</v>
      </c>
      <c r="G1353" s="77">
        <f>F1353/$H$9</f>
        <v>0</v>
      </c>
      <c r="H1353" s="77">
        <f>F1353*'Date Generale'!$D$58</f>
        <v>0</v>
      </c>
      <c r="I1353" s="77">
        <f t="shared" ref="I1353:I1354" si="574">H1353+F1353</f>
        <v>0</v>
      </c>
      <c r="J1353" s="79">
        <f t="shared" ref="J1353:J1354" si="575">I1353/$H$9</f>
        <v>0</v>
      </c>
    </row>
    <row r="1354" spans="1:10" ht="15.75" thickBot="1">
      <c r="A1354" s="139">
        <f>A1353+1</f>
        <v>2</v>
      </c>
      <c r="B1354" s="140"/>
      <c r="C1354" s="141" t="str">
        <f>IF(B1354="","",VLOOKUP(B1354,'Lista articole'!$D$4:$E$2255,2,FALSE))</f>
        <v/>
      </c>
      <c r="D1354" s="142">
        <v>0</v>
      </c>
      <c r="E1354" s="143">
        <f>IF(B1354="",0,VLOOKUP(B1354,'Lista articole'!$D$4:$F$2163,3,FALSE))</f>
        <v>0</v>
      </c>
      <c r="F1354" s="142">
        <f t="shared" ref="F1354" si="576">D1354*E1354</f>
        <v>0</v>
      </c>
      <c r="G1354" s="142">
        <f t="shared" ref="G1354" si="577">F1354/$H$9</f>
        <v>0</v>
      </c>
      <c r="H1354" s="142">
        <f>F1354*'Date Generale'!$D$58</f>
        <v>0</v>
      </c>
      <c r="I1354" s="142">
        <f t="shared" si="574"/>
        <v>0</v>
      </c>
      <c r="J1354" s="144">
        <f t="shared" si="575"/>
        <v>0</v>
      </c>
    </row>
    <row r="1355" spans="1:10" ht="15.75" thickBot="1">
      <c r="A1355" s="685" t="s">
        <v>30</v>
      </c>
      <c r="B1355" s="686"/>
      <c r="C1355" s="686"/>
      <c r="D1355" s="686"/>
      <c r="E1355" s="686"/>
      <c r="F1355" s="85">
        <f>F1352</f>
        <v>0</v>
      </c>
      <c r="G1355" s="85">
        <f>G1352</f>
        <v>0</v>
      </c>
      <c r="H1355" s="85">
        <f>H1352</f>
        <v>0</v>
      </c>
      <c r="I1355" s="85">
        <f>I1352</f>
        <v>0</v>
      </c>
      <c r="J1355" s="86">
        <f>J1352</f>
        <v>0</v>
      </c>
    </row>
    <row r="1356" spans="1:10" ht="15.75" thickBot="1">
      <c r="A1356" s="683" t="s">
        <v>31</v>
      </c>
      <c r="B1356" s="684"/>
      <c r="C1356" s="684"/>
      <c r="D1356" s="684"/>
      <c r="E1356" s="684"/>
      <c r="F1356" s="72"/>
      <c r="G1356" s="72"/>
      <c r="H1356" s="72"/>
      <c r="I1356" s="72"/>
      <c r="J1356" s="73"/>
    </row>
    <row r="1357" spans="1:10">
      <c r="A1357" s="145"/>
      <c r="B1357" s="695" t="s">
        <v>32</v>
      </c>
      <c r="C1357" s="695"/>
      <c r="D1357" s="695"/>
      <c r="E1357" s="695"/>
      <c r="F1357" s="148">
        <f>SUM(F1358:F1359)</f>
        <v>0</v>
      </c>
      <c r="G1357" s="148">
        <f>SUM(G1358:G1359)</f>
        <v>0</v>
      </c>
      <c r="H1357" s="148">
        <f>SUM(H1358:H1359)</f>
        <v>0</v>
      </c>
      <c r="I1357" s="148">
        <f>SUM(I1358:I1359)</f>
        <v>0</v>
      </c>
      <c r="J1357" s="149">
        <f>SUM(J1358:J1359)</f>
        <v>0</v>
      </c>
    </row>
    <row r="1358" spans="1:10">
      <c r="A1358" s="80">
        <v>1</v>
      </c>
      <c r="B1358" s="81"/>
      <c r="C1358" s="76" t="str">
        <f>IF(B1358="","",VLOOKUP(B1358,'Lista articole'!$D$4:$E$2255,2,FALSE))</f>
        <v/>
      </c>
      <c r="D1358" s="77">
        <v>0</v>
      </c>
      <c r="E1358" s="78">
        <f>IF(B1358="",0,VLOOKUP(B1358,'Lista articole'!$D$4:$F$2163,3,FALSE))</f>
        <v>0</v>
      </c>
      <c r="F1358" s="77">
        <f>D1358*E1358</f>
        <v>0</v>
      </c>
      <c r="G1358" s="77">
        <f>F1358/$H$9</f>
        <v>0</v>
      </c>
      <c r="H1358" s="77">
        <f>F1358*'Date Generale'!$D$58</f>
        <v>0</v>
      </c>
      <c r="I1358" s="77">
        <f t="shared" ref="I1358:I1359" si="578">H1358+F1358</f>
        <v>0</v>
      </c>
      <c r="J1358" s="79">
        <f t="shared" ref="J1358:J1359" si="579">I1358/$H$9</f>
        <v>0</v>
      </c>
    </row>
    <row r="1359" spans="1:10">
      <c r="A1359" s="74">
        <f>A1358+1</f>
        <v>2</v>
      </c>
      <c r="B1359" s="75"/>
      <c r="C1359" s="76" t="str">
        <f>IF(B1359="","",VLOOKUP(B1359,'Lista articole'!$D$4:$E$2255,2,FALSE))</f>
        <v/>
      </c>
      <c r="D1359" s="77">
        <v>0</v>
      </c>
      <c r="E1359" s="78">
        <f>IF(B1359="",0,VLOOKUP(B1359,'Lista articole'!$D$4:$F$2163,3,FALSE))</f>
        <v>0</v>
      </c>
      <c r="F1359" s="77">
        <f t="shared" ref="F1359" si="580">D1359*E1359</f>
        <v>0</v>
      </c>
      <c r="G1359" s="77">
        <f t="shared" ref="G1359" si="581">F1359/$H$9</f>
        <v>0</v>
      </c>
      <c r="H1359" s="77">
        <f>F1359*'Date Generale'!$D$58</f>
        <v>0</v>
      </c>
      <c r="I1359" s="77">
        <f t="shared" si="578"/>
        <v>0</v>
      </c>
      <c r="J1359" s="79">
        <f t="shared" si="579"/>
        <v>0</v>
      </c>
    </row>
    <row r="1360" spans="1:10">
      <c r="A1360" s="87"/>
      <c r="B1360" s="696" t="s">
        <v>33</v>
      </c>
      <c r="C1360" s="696"/>
      <c r="D1360" s="696"/>
      <c r="E1360" s="696"/>
      <c r="F1360" s="88">
        <f>SUM(F1361:F1362)</f>
        <v>0</v>
      </c>
      <c r="G1360" s="88">
        <f>SUM(G1361:G1362)</f>
        <v>0</v>
      </c>
      <c r="H1360" s="88">
        <f>SUM(H1361:H1362)</f>
        <v>0</v>
      </c>
      <c r="I1360" s="88">
        <f>SUM(I1361:I1362)</f>
        <v>0</v>
      </c>
      <c r="J1360" s="89">
        <f>SUM(J1361:J1362)</f>
        <v>0</v>
      </c>
    </row>
    <row r="1361" spans="1:11">
      <c r="A1361" s="80">
        <v>1</v>
      </c>
      <c r="B1361" s="81"/>
      <c r="C1361" s="76" t="str">
        <f>IF(B1361="","",VLOOKUP(B1361,'Lista articole'!$D$4:$E$2255,2,FALSE))</f>
        <v/>
      </c>
      <c r="D1361" s="77">
        <v>0</v>
      </c>
      <c r="E1361" s="78">
        <f>IF(B1361="",0,VLOOKUP(B1361,'Lista articole'!$D$4:$F$2163,3,FALSE))</f>
        <v>0</v>
      </c>
      <c r="F1361" s="77">
        <f>D1361*E1361</f>
        <v>0</v>
      </c>
      <c r="G1361" s="77">
        <f>F1361/$H$9</f>
        <v>0</v>
      </c>
      <c r="H1361" s="77">
        <f>F1361*'Date Generale'!$D$58</f>
        <v>0</v>
      </c>
      <c r="I1361" s="77">
        <f t="shared" ref="I1361:I1362" si="582">H1361+F1361</f>
        <v>0</v>
      </c>
      <c r="J1361" s="79">
        <f t="shared" ref="J1361:J1362" si="583">I1361/$H$9</f>
        <v>0</v>
      </c>
    </row>
    <row r="1362" spans="1:11">
      <c r="A1362" s="74">
        <f>A1361+1</f>
        <v>2</v>
      </c>
      <c r="B1362" s="75"/>
      <c r="C1362" s="76" t="str">
        <f>IF(B1362="","",VLOOKUP(B1362,'Lista articole'!$D$4:$E$2255,2,FALSE))</f>
        <v/>
      </c>
      <c r="D1362" s="77">
        <v>0</v>
      </c>
      <c r="E1362" s="78">
        <f>IF(B1362="",0,VLOOKUP(B1362,'Lista articole'!$D$4:$F$2163,3,FALSE))</f>
        <v>0</v>
      </c>
      <c r="F1362" s="77">
        <f t="shared" ref="F1362" si="584">D1362*E1362</f>
        <v>0</v>
      </c>
      <c r="G1362" s="77">
        <f t="shared" ref="G1362" si="585">F1362/$H$9</f>
        <v>0</v>
      </c>
      <c r="H1362" s="77">
        <f>F1362*'Date Generale'!$D$58</f>
        <v>0</v>
      </c>
      <c r="I1362" s="77">
        <f t="shared" si="582"/>
        <v>0</v>
      </c>
      <c r="J1362" s="79">
        <f t="shared" si="583"/>
        <v>0</v>
      </c>
    </row>
    <row r="1363" spans="1:11">
      <c r="A1363" s="87"/>
      <c r="B1363" s="696" t="s">
        <v>34</v>
      </c>
      <c r="C1363" s="696"/>
      <c r="D1363" s="696"/>
      <c r="E1363" s="696"/>
      <c r="F1363" s="88">
        <f>SUM(F1364:F1365)</f>
        <v>0</v>
      </c>
      <c r="G1363" s="88">
        <f>SUM(G1364:G1365)</f>
        <v>0</v>
      </c>
      <c r="H1363" s="88">
        <f>SUM(H1364:H1365)</f>
        <v>0</v>
      </c>
      <c r="I1363" s="88">
        <f>SUM(I1364:I1365)</f>
        <v>0</v>
      </c>
      <c r="J1363" s="89">
        <f>SUM(J1364:J1365)</f>
        <v>0</v>
      </c>
    </row>
    <row r="1364" spans="1:11">
      <c r="A1364" s="80">
        <v>1</v>
      </c>
      <c r="B1364" s="81"/>
      <c r="C1364" s="76" t="str">
        <f>IF(B1364="","",VLOOKUP(B1364,'Lista articole'!$D$4:$E$2255,2,FALSE))</f>
        <v/>
      </c>
      <c r="D1364" s="77">
        <v>0</v>
      </c>
      <c r="E1364" s="78">
        <f>IF(B1364="",0,VLOOKUP(B1364,'Lista articole'!$D$4:$F$2163,3,FALSE))</f>
        <v>0</v>
      </c>
      <c r="F1364" s="77">
        <f>D1364*E1364</f>
        <v>0</v>
      </c>
      <c r="G1364" s="77">
        <f>F1364/$H$9</f>
        <v>0</v>
      </c>
      <c r="H1364" s="77">
        <f>F1364*'Date Generale'!$D$58</f>
        <v>0</v>
      </c>
      <c r="I1364" s="77">
        <f t="shared" ref="I1364:I1365" si="586">H1364+F1364</f>
        <v>0</v>
      </c>
      <c r="J1364" s="79">
        <f t="shared" ref="J1364:J1365" si="587">I1364/$H$9</f>
        <v>0</v>
      </c>
    </row>
    <row r="1365" spans="1:11" ht="15.75" thickBot="1">
      <c r="A1365" s="139">
        <f>A1364+1</f>
        <v>2</v>
      </c>
      <c r="B1365" s="140"/>
      <c r="C1365" s="141" t="str">
        <f>IF(B1365="","",VLOOKUP(B1365,'Lista articole'!$D$4:$E$2255,2,FALSE))</f>
        <v/>
      </c>
      <c r="D1365" s="142">
        <v>0</v>
      </c>
      <c r="E1365" s="143">
        <f>IF(B1365="",0,VLOOKUP(B1365,'Lista articole'!$D$4:$F$2163,3,FALSE))</f>
        <v>0</v>
      </c>
      <c r="F1365" s="142">
        <f t="shared" ref="F1365" si="588">D1365*E1365</f>
        <v>0</v>
      </c>
      <c r="G1365" s="142">
        <f t="shared" ref="G1365" si="589">F1365/$H$9</f>
        <v>0</v>
      </c>
      <c r="H1365" s="142">
        <f>F1365*'Date Generale'!$D$58</f>
        <v>0</v>
      </c>
      <c r="I1365" s="142">
        <f t="shared" si="586"/>
        <v>0</v>
      </c>
      <c r="J1365" s="144">
        <f t="shared" si="587"/>
        <v>0</v>
      </c>
    </row>
    <row r="1366" spans="1:11" ht="15.75" thickBot="1">
      <c r="A1366" s="685" t="s">
        <v>35</v>
      </c>
      <c r="B1366" s="686"/>
      <c r="C1366" s="686"/>
      <c r="D1366" s="686"/>
      <c r="E1366" s="686"/>
      <c r="F1366" s="62">
        <f>SUM(F1363,F1360,F1357)</f>
        <v>0</v>
      </c>
      <c r="G1366" s="62">
        <f>SUM(G1363,G1360,G1357)</f>
        <v>0</v>
      </c>
      <c r="H1366" s="62">
        <f>SUM(H1363,H1360,H1357)</f>
        <v>0</v>
      </c>
      <c r="I1366" s="62">
        <f>SUM(I1363,I1360,I1357)</f>
        <v>0</v>
      </c>
      <c r="J1366" s="63">
        <f>SUM(J1363,J1360,J1357)</f>
        <v>0</v>
      </c>
    </row>
    <row r="1367" spans="1:11">
      <c r="A1367" s="38"/>
      <c r="B1367" s="39"/>
      <c r="C1367" s="39"/>
      <c r="D1367" s="39"/>
      <c r="E1367" s="39"/>
      <c r="F1367" s="39"/>
      <c r="G1367" s="39"/>
      <c r="H1367" s="39"/>
      <c r="I1367" s="39"/>
      <c r="J1367" s="39"/>
    </row>
    <row r="1368" spans="1:11">
      <c r="A1368" s="38"/>
      <c r="C1368" s="42"/>
      <c r="D1368" s="42"/>
      <c r="E1368" s="42"/>
      <c r="F1368" s="42"/>
      <c r="G1368" s="42"/>
      <c r="H1368" s="42"/>
      <c r="I1368" s="42"/>
      <c r="J1368" s="42"/>
    </row>
    <row r="1369" spans="1:11" ht="18.75">
      <c r="A1369" s="42"/>
      <c r="B1369" s="90" t="s">
        <v>37</v>
      </c>
      <c r="C1369" s="42"/>
      <c r="D1369" s="42"/>
      <c r="E1369" s="42"/>
      <c r="F1369" s="42"/>
      <c r="G1369" s="42"/>
      <c r="H1369" s="42"/>
      <c r="I1369" s="42"/>
      <c r="J1369" s="42"/>
    </row>
    <row r="1370" spans="1:11" ht="18.75">
      <c r="A1370" s="38"/>
      <c r="B1370" s="90" t="str">
        <f>'Date Generale'!$C$7</f>
        <v>S.C. Tehno Consoulting Solutions S.R.L.</v>
      </c>
      <c r="C1370" s="39"/>
      <c r="D1370" s="39"/>
      <c r="E1370" s="39"/>
      <c r="F1370" s="39"/>
      <c r="G1370" s="39"/>
      <c r="H1370" s="39"/>
      <c r="I1370" s="39"/>
      <c r="J1370" s="39"/>
    </row>
    <row r="1371" spans="1:11">
      <c r="A1371" s="35"/>
      <c r="B1371" s="93"/>
      <c r="C1371" s="94"/>
      <c r="D1371" s="95"/>
      <c r="E1371" s="96"/>
      <c r="F1371" s="96"/>
      <c r="G1371" s="95"/>
      <c r="H1371" s="95"/>
      <c r="I1371" s="95"/>
      <c r="J1371" s="95"/>
    </row>
    <row r="1372" spans="1:11">
      <c r="A1372" s="35"/>
      <c r="B1372" s="93"/>
      <c r="C1372" s="94"/>
      <c r="D1372" s="95"/>
      <c r="E1372" s="96"/>
      <c r="F1372" s="96"/>
      <c r="G1372" s="95"/>
      <c r="H1372" s="95"/>
      <c r="I1372" s="95"/>
      <c r="J1372" s="95"/>
    </row>
    <row r="1373" spans="1:11">
      <c r="A1373" s="35"/>
      <c r="B1373" s="98"/>
      <c r="C1373" s="94"/>
      <c r="D1373" s="95"/>
      <c r="E1373" s="96"/>
      <c r="F1373" s="96"/>
      <c r="G1373" s="95"/>
      <c r="H1373" s="95"/>
      <c r="I1373" s="95"/>
      <c r="J1373" s="95"/>
      <c r="K1373" s="67"/>
    </row>
    <row r="1374" spans="1:11" ht="15.75">
      <c r="A1374" s="41" t="str">
        <f>"Beneficiar: " &amp;'Date Generale'!$C$6</f>
        <v xml:space="preserve">Beneficiar: Judetul Arges </v>
      </c>
      <c r="B1374" s="41"/>
      <c r="C1374" s="42"/>
      <c r="D1374" s="42"/>
      <c r="E1374" s="69"/>
      <c r="F1374" s="42"/>
      <c r="G1374" s="42"/>
      <c r="H1374" s="42"/>
      <c r="I1374" s="42"/>
      <c r="J1374" s="42"/>
    </row>
    <row r="1375" spans="1:11" ht="15.75">
      <c r="A1375" s="41" t="str">
        <f>"Denumire proiect: " &amp; 'Date Generale'!$C$3</f>
        <v>Denumire proiect: Modernizare DJ 703B Serbanesti (DJ659) - Silistea, km 70+410 - 77+826, 7.416km, in comunele Rociu si Cateasca</v>
      </c>
      <c r="B1375" s="41"/>
      <c r="C1375" s="44"/>
      <c r="D1375" s="44"/>
      <c r="E1375" s="44"/>
      <c r="F1375" s="44"/>
      <c r="G1375" s="44"/>
      <c r="H1375" s="44"/>
      <c r="I1375" s="44"/>
      <c r="J1375" s="44"/>
    </row>
    <row r="1376" spans="1:11" ht="15.75">
      <c r="A1376" s="41"/>
      <c r="B1376" s="41"/>
      <c r="C1376" s="44"/>
      <c r="D1376" s="44"/>
      <c r="E1376" s="44"/>
      <c r="F1376" s="44"/>
      <c r="G1376" s="44"/>
      <c r="H1376" s="44"/>
      <c r="I1376" s="44"/>
      <c r="J1376" s="44"/>
    </row>
    <row r="1377" spans="1:10" ht="15.75">
      <c r="A1377" s="41" t="str">
        <f>'Date Generale'!$E$78</f>
        <v>Obiect 018:0</v>
      </c>
      <c r="B1377" s="41"/>
      <c r="C1377" s="44"/>
      <c r="D1377" s="44"/>
      <c r="E1377" s="44"/>
      <c r="F1377" s="44"/>
      <c r="G1377" s="44"/>
      <c r="H1377" s="44"/>
      <c r="I1377" s="44"/>
      <c r="J1377" s="44"/>
    </row>
    <row r="1378" spans="1:10" ht="15.75">
      <c r="A1378" s="70"/>
      <c r="B1378" s="44"/>
      <c r="C1378" s="44"/>
      <c r="D1378" s="44"/>
      <c r="E1378" s="44"/>
      <c r="F1378" s="44"/>
      <c r="G1378" s="44"/>
      <c r="H1378" s="44"/>
      <c r="I1378" s="44"/>
      <c r="J1378" s="44"/>
    </row>
    <row r="1379" spans="1:10">
      <c r="A1379" s="687" t="s">
        <v>38</v>
      </c>
      <c r="B1379" s="687"/>
      <c r="C1379" s="687"/>
      <c r="D1379" s="687"/>
      <c r="E1379" s="687"/>
      <c r="F1379" s="687"/>
      <c r="G1379" s="687"/>
      <c r="H1379" s="687"/>
      <c r="I1379" s="687"/>
      <c r="J1379" s="687"/>
    </row>
    <row r="1380" spans="1:10">
      <c r="A1380" s="371"/>
      <c r="B1380" s="371"/>
      <c r="C1380" s="371"/>
      <c r="D1380" s="371"/>
      <c r="E1380" s="371"/>
      <c r="F1380" s="371"/>
      <c r="G1380" s="371"/>
      <c r="H1380" s="371"/>
      <c r="I1380" s="371"/>
      <c r="J1380" s="371"/>
    </row>
    <row r="1381" spans="1:10" ht="15.75" thickBot="1">
      <c r="A1381" s="42"/>
      <c r="B1381" s="46"/>
      <c r="C1381" s="71"/>
      <c r="D1381" s="71"/>
      <c r="E1381" s="71"/>
      <c r="F1381" s="33"/>
      <c r="G1381" s="47" t="s">
        <v>2</v>
      </c>
      <c r="H1381" s="48">
        <f>'Date Generale'!$C$54</f>
        <v>4.7233000000000001</v>
      </c>
      <c r="I1381" s="49" t="s">
        <v>3</v>
      </c>
      <c r="J1381" s="50" t="str">
        <f>'Date Generale'!$D$54</f>
        <v>21,06,2019</v>
      </c>
    </row>
    <row r="1382" spans="1:10" ht="15.75" thickBot="1">
      <c r="A1382" s="688" t="s">
        <v>4</v>
      </c>
      <c r="B1382" s="688" t="s">
        <v>5</v>
      </c>
      <c r="C1382" s="688" t="s">
        <v>39</v>
      </c>
      <c r="D1382" s="688" t="s">
        <v>40</v>
      </c>
      <c r="E1382" s="688" t="s">
        <v>228</v>
      </c>
      <c r="F1382" s="689" t="s">
        <v>160</v>
      </c>
      <c r="G1382" s="689"/>
      <c r="H1382" s="372" t="s">
        <v>7</v>
      </c>
      <c r="I1382" s="689" t="s">
        <v>159</v>
      </c>
      <c r="J1382" s="689"/>
    </row>
    <row r="1383" spans="1:10" ht="15.75" thickBot="1">
      <c r="A1383" s="688"/>
      <c r="B1383" s="688"/>
      <c r="C1383" s="688"/>
      <c r="D1383" s="688"/>
      <c r="E1383" s="688"/>
      <c r="F1383" s="51" t="s">
        <v>9</v>
      </c>
      <c r="G1383" s="51" t="s">
        <v>10</v>
      </c>
      <c r="H1383" s="51" t="s">
        <v>9</v>
      </c>
      <c r="I1383" s="51" t="s">
        <v>9</v>
      </c>
      <c r="J1383" s="51" t="s">
        <v>10</v>
      </c>
    </row>
    <row r="1384" spans="1:10" ht="15.75" thickBot="1">
      <c r="A1384" s="3">
        <v>1</v>
      </c>
      <c r="B1384" s="1">
        <v>2</v>
      </c>
      <c r="C1384" s="1">
        <v>3</v>
      </c>
      <c r="D1384" s="1">
        <v>4</v>
      </c>
      <c r="E1384" s="1">
        <v>5</v>
      </c>
      <c r="F1384" s="1">
        <v>6</v>
      </c>
      <c r="G1384" s="1">
        <v>7</v>
      </c>
      <c r="H1384" s="1">
        <v>8</v>
      </c>
      <c r="I1384" s="1">
        <v>9</v>
      </c>
      <c r="J1384" s="1">
        <v>10</v>
      </c>
    </row>
    <row r="1385" spans="1:10" ht="15.75" thickBot="1">
      <c r="A1385" s="683" t="s">
        <v>11</v>
      </c>
      <c r="B1385" s="684"/>
      <c r="C1385" s="684"/>
      <c r="D1385" s="684"/>
      <c r="E1385" s="684"/>
      <c r="F1385" s="72"/>
      <c r="G1385" s="72"/>
      <c r="H1385" s="72"/>
      <c r="I1385" s="72"/>
      <c r="J1385" s="73"/>
    </row>
    <row r="1386" spans="1:10">
      <c r="A1386" s="691" t="s">
        <v>41</v>
      </c>
      <c r="B1386" s="692"/>
      <c r="C1386" s="692"/>
      <c r="D1386" s="692"/>
      <c r="E1386" s="692"/>
      <c r="F1386" s="137">
        <f>SUM(F1387:F1388)</f>
        <v>0</v>
      </c>
      <c r="G1386" s="137">
        <f>SUM(G1387:G1388)</f>
        <v>0</v>
      </c>
      <c r="H1386" s="137">
        <f>SUM(H1387:H1388)</f>
        <v>0</v>
      </c>
      <c r="I1386" s="137">
        <f>SUM(I1387:I1388)</f>
        <v>0</v>
      </c>
      <c r="J1386" s="138">
        <f>SUM(J1387:J1388)</f>
        <v>0</v>
      </c>
    </row>
    <row r="1387" spans="1:10">
      <c r="A1387" s="74">
        <v>1</v>
      </c>
      <c r="B1387" s="75"/>
      <c r="C1387" s="76" t="str">
        <f>IF(B1387="","",VLOOKUP(B1387,'Lista articole'!$D$4:$E$2255,2,FALSE))</f>
        <v/>
      </c>
      <c r="D1387" s="77">
        <v>0</v>
      </c>
      <c r="E1387" s="78">
        <f>IF(B1387="",0,VLOOKUP(B1387,'Lista articole'!$D$4:$F$2163,3,FALSE))</f>
        <v>0</v>
      </c>
      <c r="F1387" s="77">
        <f>D1387*E1387</f>
        <v>0</v>
      </c>
      <c r="G1387" s="77">
        <f t="shared" ref="G1387:G1388" si="590">F1387/$H$9</f>
        <v>0</v>
      </c>
      <c r="H1387" s="77">
        <f>F1387*'Date Generale'!$D$58</f>
        <v>0</v>
      </c>
      <c r="I1387" s="77">
        <f>H1387+F1387</f>
        <v>0</v>
      </c>
      <c r="J1387" s="79">
        <f>I1387/$H$9</f>
        <v>0</v>
      </c>
    </row>
    <row r="1388" spans="1:10">
      <c r="A1388" s="74">
        <v>2</v>
      </c>
      <c r="B1388" s="75"/>
      <c r="C1388" s="76" t="str">
        <f>IF(B1388="","",VLOOKUP(B1388,'Lista articole'!$D$4:$E$2255,2,FALSE))</f>
        <v/>
      </c>
      <c r="D1388" s="77">
        <v>0</v>
      </c>
      <c r="E1388" s="78">
        <f>IF(B1388="",0,VLOOKUP(B1388,'Lista articole'!$D$4:$F$2163,3,FALSE))</f>
        <v>0</v>
      </c>
      <c r="F1388" s="77">
        <f>D1388*E1388</f>
        <v>0</v>
      </c>
      <c r="G1388" s="77">
        <f t="shared" si="590"/>
        <v>0</v>
      </c>
      <c r="H1388" s="77">
        <f>F1388*'Date Generale'!$D$58</f>
        <v>0</v>
      </c>
      <c r="I1388" s="77">
        <f>H1388+F1388</f>
        <v>0</v>
      </c>
      <c r="J1388" s="79">
        <f>I1388/$H$9</f>
        <v>0</v>
      </c>
    </row>
    <row r="1389" spans="1:10">
      <c r="A1389" s="693" t="s">
        <v>44</v>
      </c>
      <c r="B1389" s="694"/>
      <c r="C1389" s="694"/>
      <c r="D1389" s="694"/>
      <c r="E1389" s="694"/>
      <c r="F1389" s="56">
        <f>SUM(F1390:F1391)</f>
        <v>0</v>
      </c>
      <c r="G1389" s="56">
        <f>SUM(G1390:G1391)</f>
        <v>0</v>
      </c>
      <c r="H1389" s="56">
        <f>SUM(H1390:H1391)</f>
        <v>0</v>
      </c>
      <c r="I1389" s="56">
        <f>SUM(I1390:I1391)</f>
        <v>0</v>
      </c>
      <c r="J1389" s="57">
        <f>SUM(J1390:J1391)</f>
        <v>0</v>
      </c>
    </row>
    <row r="1390" spans="1:10">
      <c r="A1390" s="80">
        <v>1</v>
      </c>
      <c r="B1390" s="81"/>
      <c r="C1390" s="76" t="str">
        <f>IF(B1390="","",VLOOKUP(B1390,'Lista articole'!$D$4:$E$2255,2,FALSE))</f>
        <v/>
      </c>
      <c r="D1390" s="77">
        <v>0</v>
      </c>
      <c r="E1390" s="78">
        <f>IF(B1390="",0,VLOOKUP(B1390,'Lista articole'!$D$4:$F$2163,3,FALSE))</f>
        <v>0</v>
      </c>
      <c r="F1390" s="77">
        <f t="shared" ref="F1390:F1391" si="591">D1390*E1390</f>
        <v>0</v>
      </c>
      <c r="G1390" s="77">
        <f t="shared" ref="G1390:G1391" si="592">F1390/$H$9</f>
        <v>0</v>
      </c>
      <c r="H1390" s="77">
        <f>F1390*'Date Generale'!$D$58</f>
        <v>0</v>
      </c>
      <c r="I1390" s="77">
        <f t="shared" ref="I1390:I1391" si="593">H1390+F1390</f>
        <v>0</v>
      </c>
      <c r="J1390" s="79">
        <f t="shared" ref="J1390:J1391" si="594">I1390/$H$9</f>
        <v>0</v>
      </c>
    </row>
    <row r="1391" spans="1:10">
      <c r="A1391" s="80">
        <f t="shared" ref="A1391" si="595">A1390+1</f>
        <v>2</v>
      </c>
      <c r="B1391" s="81"/>
      <c r="C1391" s="76" t="str">
        <f>IF(B1391="","",VLOOKUP(B1391,'Lista articole'!$D$4:$E$2255,2,FALSE))</f>
        <v/>
      </c>
      <c r="D1391" s="77">
        <v>0</v>
      </c>
      <c r="E1391" s="78">
        <f>IF(B1391="",0,VLOOKUP(B1391,'Lista articole'!$D$4:$F$2163,3,FALSE))</f>
        <v>0</v>
      </c>
      <c r="F1391" s="77">
        <f t="shared" si="591"/>
        <v>0</v>
      </c>
      <c r="G1391" s="77">
        <f t="shared" si="592"/>
        <v>0</v>
      </c>
      <c r="H1391" s="77">
        <f>F1391*'Date Generale'!$D$58</f>
        <v>0</v>
      </c>
      <c r="I1391" s="77">
        <f t="shared" si="593"/>
        <v>0</v>
      </c>
      <c r="J1391" s="79">
        <f t="shared" si="594"/>
        <v>0</v>
      </c>
    </row>
    <row r="1392" spans="1:10">
      <c r="A1392" s="693" t="s">
        <v>45</v>
      </c>
      <c r="B1392" s="694"/>
      <c r="C1392" s="694"/>
      <c r="D1392" s="694"/>
      <c r="E1392" s="694"/>
      <c r="F1392" s="56">
        <f>SUM(F1393:F1394)</f>
        <v>0</v>
      </c>
      <c r="G1392" s="56">
        <f>SUM(G1393:G1394)</f>
        <v>0</v>
      </c>
      <c r="H1392" s="56">
        <f>SUM(H1393:H1394)</f>
        <v>0</v>
      </c>
      <c r="I1392" s="56">
        <f>SUM(I1393:I1394)</f>
        <v>0</v>
      </c>
      <c r="J1392" s="57">
        <f>SUM(J1393:J1394)</f>
        <v>0</v>
      </c>
    </row>
    <row r="1393" spans="1:10">
      <c r="A1393" s="80">
        <v>1</v>
      </c>
      <c r="B1393" s="81"/>
      <c r="C1393" s="76" t="str">
        <f>IF(B1393="","",VLOOKUP(B1393,'Lista articole'!$D$4:$E$2255,2,FALSE))</f>
        <v/>
      </c>
      <c r="D1393" s="77">
        <v>0</v>
      </c>
      <c r="E1393" s="78">
        <f>IF(B1393="",0,VLOOKUP(B1393,'Lista articole'!$D$4:$F$2163,3,FALSE))</f>
        <v>0</v>
      </c>
      <c r="F1393" s="77">
        <f t="shared" ref="F1393:F1394" si="596">D1393*E1393</f>
        <v>0</v>
      </c>
      <c r="G1393" s="77">
        <f t="shared" ref="G1393:G1394" si="597">F1393/$H$9</f>
        <v>0</v>
      </c>
      <c r="H1393" s="77">
        <f>F1393*'Date Generale'!$D$58</f>
        <v>0</v>
      </c>
      <c r="I1393" s="77">
        <f t="shared" ref="I1393:I1394" si="598">H1393+F1393</f>
        <v>0</v>
      </c>
      <c r="J1393" s="79">
        <f t="shared" ref="J1393:J1394" si="599">I1393/$H$9</f>
        <v>0</v>
      </c>
    </row>
    <row r="1394" spans="1:10">
      <c r="A1394" s="80">
        <v>2</v>
      </c>
      <c r="B1394" s="81"/>
      <c r="C1394" s="76" t="str">
        <f>IF(B1394="","",VLOOKUP(B1394,'Lista articole'!$D$4:$E$2255,2,FALSE))</f>
        <v/>
      </c>
      <c r="D1394" s="77">
        <v>0</v>
      </c>
      <c r="E1394" s="78">
        <f>IF(B1394="",0,VLOOKUP(B1394,'Lista articole'!$D$4:$F$2163,3,FALSE))</f>
        <v>0</v>
      </c>
      <c r="F1394" s="77">
        <f t="shared" si="596"/>
        <v>0</v>
      </c>
      <c r="G1394" s="77">
        <f t="shared" si="597"/>
        <v>0</v>
      </c>
      <c r="H1394" s="77">
        <f>F1394*'Date Generale'!$D$58</f>
        <v>0</v>
      </c>
      <c r="I1394" s="77">
        <f t="shared" si="598"/>
        <v>0</v>
      </c>
      <c r="J1394" s="79">
        <f t="shared" si="599"/>
        <v>0</v>
      </c>
    </row>
    <row r="1395" spans="1:10">
      <c r="A1395" s="693" t="s">
        <v>46</v>
      </c>
      <c r="B1395" s="694"/>
      <c r="C1395" s="694"/>
      <c r="D1395" s="694"/>
      <c r="E1395" s="694"/>
      <c r="F1395" s="56">
        <f>SUM(F1396:F1409)</f>
        <v>0</v>
      </c>
      <c r="G1395" s="56">
        <f>SUM(G1396:G1409)</f>
        <v>0</v>
      </c>
      <c r="H1395" s="56">
        <f>SUM(H1396:H1409)</f>
        <v>0</v>
      </c>
      <c r="I1395" s="56">
        <f>SUM(I1396:I1409)</f>
        <v>0</v>
      </c>
      <c r="J1395" s="57">
        <f>SUM(J1396:J1409)</f>
        <v>0</v>
      </c>
    </row>
    <row r="1396" spans="1:10">
      <c r="A1396" s="80">
        <v>1</v>
      </c>
      <c r="B1396" s="81"/>
      <c r="C1396" s="76" t="str">
        <f>IF(B1396="","",VLOOKUP(B1396,'Lista articole'!$D$4:$E$2255,2,FALSE))</f>
        <v/>
      </c>
      <c r="D1396" s="77">
        <v>0</v>
      </c>
      <c r="E1396" s="78">
        <f>IF(B1396="",0,VLOOKUP(B1396,'Lista articole'!$D$4:$F$2163,3,FALSE))</f>
        <v>0</v>
      </c>
      <c r="F1396" s="77">
        <f t="shared" ref="F1396:F1409" si="600">D1396*E1396</f>
        <v>0</v>
      </c>
      <c r="G1396" s="77">
        <f t="shared" ref="G1396:G1409" si="601">F1396/$H$9</f>
        <v>0</v>
      </c>
      <c r="H1396" s="77">
        <f>F1396*'Date Generale'!$D$58</f>
        <v>0</v>
      </c>
      <c r="I1396" s="77">
        <f t="shared" ref="I1396:I1409" si="602">H1396+F1396</f>
        <v>0</v>
      </c>
      <c r="J1396" s="79">
        <f t="shared" ref="J1396:J1409" si="603">I1396/$H$9</f>
        <v>0</v>
      </c>
    </row>
    <row r="1397" spans="1:10">
      <c r="A1397" s="80">
        <v>2</v>
      </c>
      <c r="B1397" s="81"/>
      <c r="C1397" s="76" t="str">
        <f>IF(B1397="","",VLOOKUP(B1397,'Lista articole'!$D$4:$E$2255,2,FALSE))</f>
        <v/>
      </c>
      <c r="D1397" s="77">
        <v>0</v>
      </c>
      <c r="E1397" s="78">
        <f>IF(B1397="",0,VLOOKUP(B1397,'Lista articole'!$D$4:$F$2163,3,FALSE))</f>
        <v>0</v>
      </c>
      <c r="F1397" s="77">
        <f t="shared" si="600"/>
        <v>0</v>
      </c>
      <c r="G1397" s="77">
        <f t="shared" si="601"/>
        <v>0</v>
      </c>
      <c r="H1397" s="77">
        <f>F1397*'Date Generale'!$D$58</f>
        <v>0</v>
      </c>
      <c r="I1397" s="77">
        <f t="shared" si="602"/>
        <v>0</v>
      </c>
      <c r="J1397" s="79">
        <f t="shared" si="603"/>
        <v>0</v>
      </c>
    </row>
    <row r="1398" spans="1:10">
      <c r="A1398" s="80">
        <v>3</v>
      </c>
      <c r="B1398" s="81"/>
      <c r="C1398" s="76" t="str">
        <f>IF(B1398="","",VLOOKUP(B1398,'Lista articole'!$D$4:$E$2255,2,FALSE))</f>
        <v/>
      </c>
      <c r="D1398" s="77">
        <v>0</v>
      </c>
      <c r="E1398" s="78">
        <f>IF(B1398="",0,VLOOKUP(B1398,'Lista articole'!$D$4:$F$2163,3,FALSE))</f>
        <v>0</v>
      </c>
      <c r="F1398" s="77">
        <f t="shared" si="600"/>
        <v>0</v>
      </c>
      <c r="G1398" s="77">
        <f t="shared" si="601"/>
        <v>0</v>
      </c>
      <c r="H1398" s="77">
        <f>F1398*'Date Generale'!$D$58</f>
        <v>0</v>
      </c>
      <c r="I1398" s="77">
        <f t="shared" si="602"/>
        <v>0</v>
      </c>
      <c r="J1398" s="79">
        <f t="shared" si="603"/>
        <v>0</v>
      </c>
    </row>
    <row r="1399" spans="1:10">
      <c r="A1399" s="80">
        <v>4</v>
      </c>
      <c r="B1399" s="81"/>
      <c r="C1399" s="76" t="str">
        <f>IF(B1399="","",VLOOKUP(B1399,'Lista articole'!$D$4:$E$2255,2,FALSE))</f>
        <v/>
      </c>
      <c r="D1399" s="77">
        <v>0</v>
      </c>
      <c r="E1399" s="78">
        <f>IF(B1399="",0,VLOOKUP(B1399,'Lista articole'!$D$4:$F$2163,3,FALSE))</f>
        <v>0</v>
      </c>
      <c r="F1399" s="77">
        <f t="shared" si="600"/>
        <v>0</v>
      </c>
      <c r="G1399" s="77">
        <f t="shared" si="601"/>
        <v>0</v>
      </c>
      <c r="H1399" s="77">
        <f>F1399*'Date Generale'!$D$58</f>
        <v>0</v>
      </c>
      <c r="I1399" s="77">
        <f t="shared" si="602"/>
        <v>0</v>
      </c>
      <c r="J1399" s="79">
        <f t="shared" si="603"/>
        <v>0</v>
      </c>
    </row>
    <row r="1400" spans="1:10">
      <c r="A1400" s="80">
        <v>5</v>
      </c>
      <c r="B1400" s="81"/>
      <c r="C1400" s="76" t="str">
        <f>IF(B1400="","",VLOOKUP(B1400,'Lista articole'!$D$4:$E$2255,2,FALSE))</f>
        <v/>
      </c>
      <c r="D1400" s="77">
        <v>0</v>
      </c>
      <c r="E1400" s="78">
        <f>IF(B1400="",0,VLOOKUP(B1400,'Lista articole'!$D$4:$F$2163,3,FALSE))</f>
        <v>0</v>
      </c>
      <c r="F1400" s="77">
        <f t="shared" si="600"/>
        <v>0</v>
      </c>
      <c r="G1400" s="77">
        <f t="shared" si="601"/>
        <v>0</v>
      </c>
      <c r="H1400" s="77">
        <f>F1400*'Date Generale'!$D$58</f>
        <v>0</v>
      </c>
      <c r="I1400" s="77">
        <f t="shared" si="602"/>
        <v>0</v>
      </c>
      <c r="J1400" s="79">
        <f t="shared" si="603"/>
        <v>0</v>
      </c>
    </row>
    <row r="1401" spans="1:10">
      <c r="A1401" s="80">
        <v>6</v>
      </c>
      <c r="B1401" s="81"/>
      <c r="C1401" s="76" t="str">
        <f>IF(B1401="","",VLOOKUP(B1401,'Lista articole'!$D$4:$E$2255,2,FALSE))</f>
        <v/>
      </c>
      <c r="D1401" s="77">
        <v>0</v>
      </c>
      <c r="E1401" s="78">
        <f>IF(B1401="",0,VLOOKUP(B1401,'Lista articole'!$D$4:$F$2163,3,FALSE))</f>
        <v>0</v>
      </c>
      <c r="F1401" s="77">
        <f t="shared" si="600"/>
        <v>0</v>
      </c>
      <c r="G1401" s="77">
        <f t="shared" si="601"/>
        <v>0</v>
      </c>
      <c r="H1401" s="77">
        <f>F1401*'Date Generale'!$D$58</f>
        <v>0</v>
      </c>
      <c r="I1401" s="77">
        <f t="shared" si="602"/>
        <v>0</v>
      </c>
      <c r="J1401" s="79">
        <f t="shared" si="603"/>
        <v>0</v>
      </c>
    </row>
    <row r="1402" spans="1:10">
      <c r="A1402" s="80">
        <v>7</v>
      </c>
      <c r="B1402" s="81"/>
      <c r="C1402" s="76" t="str">
        <f>IF(B1402="","",VLOOKUP(B1402,'Lista articole'!$D$4:$E$2255,2,FALSE))</f>
        <v/>
      </c>
      <c r="D1402" s="77">
        <v>0</v>
      </c>
      <c r="E1402" s="78">
        <f>IF(B1402="",0,VLOOKUP(B1402,'Lista articole'!$D$4:$F$2163,3,FALSE))</f>
        <v>0</v>
      </c>
      <c r="F1402" s="77">
        <f t="shared" si="600"/>
        <v>0</v>
      </c>
      <c r="G1402" s="77">
        <f t="shared" si="601"/>
        <v>0</v>
      </c>
      <c r="H1402" s="77">
        <f>F1402*'Date Generale'!$D$58</f>
        <v>0</v>
      </c>
      <c r="I1402" s="77">
        <f t="shared" si="602"/>
        <v>0</v>
      </c>
      <c r="J1402" s="79">
        <f t="shared" si="603"/>
        <v>0</v>
      </c>
    </row>
    <row r="1403" spans="1:10">
      <c r="A1403" s="80">
        <v>8</v>
      </c>
      <c r="B1403" s="81"/>
      <c r="C1403" s="76" t="str">
        <f>IF(B1403="","",VLOOKUP(B1403,'Lista articole'!$D$4:$E$2255,2,FALSE))</f>
        <v/>
      </c>
      <c r="D1403" s="77">
        <v>0</v>
      </c>
      <c r="E1403" s="78">
        <f>IF(B1403="",0,VLOOKUP(B1403,'Lista articole'!$D$4:$F$2163,3,FALSE))</f>
        <v>0</v>
      </c>
      <c r="F1403" s="77">
        <f t="shared" si="600"/>
        <v>0</v>
      </c>
      <c r="G1403" s="77">
        <f t="shared" si="601"/>
        <v>0</v>
      </c>
      <c r="H1403" s="77">
        <f>F1403*'Date Generale'!$D$58</f>
        <v>0</v>
      </c>
      <c r="I1403" s="77">
        <f t="shared" si="602"/>
        <v>0</v>
      </c>
      <c r="J1403" s="79">
        <f t="shared" si="603"/>
        <v>0</v>
      </c>
    </row>
    <row r="1404" spans="1:10">
      <c r="A1404" s="80">
        <v>9</v>
      </c>
      <c r="B1404" s="81"/>
      <c r="C1404" s="76" t="str">
        <f>IF(B1404="","",VLOOKUP(B1404,'Lista articole'!$D$4:$E$2255,2,FALSE))</f>
        <v/>
      </c>
      <c r="D1404" s="77">
        <v>0</v>
      </c>
      <c r="E1404" s="78">
        <f>IF(B1404="",0,VLOOKUP(B1404,'Lista articole'!$D$4:$F$2163,3,FALSE))</f>
        <v>0</v>
      </c>
      <c r="F1404" s="77">
        <f t="shared" si="600"/>
        <v>0</v>
      </c>
      <c r="G1404" s="77">
        <f t="shared" si="601"/>
        <v>0</v>
      </c>
      <c r="H1404" s="77">
        <f>F1404*'Date Generale'!$D$58</f>
        <v>0</v>
      </c>
      <c r="I1404" s="77">
        <f t="shared" si="602"/>
        <v>0</v>
      </c>
      <c r="J1404" s="79">
        <f t="shared" si="603"/>
        <v>0</v>
      </c>
    </row>
    <row r="1405" spans="1:10">
      <c r="A1405" s="80">
        <v>10</v>
      </c>
      <c r="B1405" s="81"/>
      <c r="C1405" s="76" t="str">
        <f>IF(B1405="","",VLOOKUP(B1405,'Lista articole'!$D$4:$E$2255,2,FALSE))</f>
        <v/>
      </c>
      <c r="D1405" s="77">
        <v>0</v>
      </c>
      <c r="E1405" s="78">
        <f>IF(B1405="",0,VLOOKUP(B1405,'Lista articole'!$D$4:$F$2163,3,FALSE))</f>
        <v>0</v>
      </c>
      <c r="F1405" s="77">
        <f t="shared" si="600"/>
        <v>0</v>
      </c>
      <c r="G1405" s="77">
        <f t="shared" si="601"/>
        <v>0</v>
      </c>
      <c r="H1405" s="77">
        <f>F1405*'Date Generale'!$D$58</f>
        <v>0</v>
      </c>
      <c r="I1405" s="77">
        <f t="shared" si="602"/>
        <v>0</v>
      </c>
      <c r="J1405" s="79">
        <f t="shared" si="603"/>
        <v>0</v>
      </c>
    </row>
    <row r="1406" spans="1:10">
      <c r="A1406" s="80">
        <v>11</v>
      </c>
      <c r="B1406" s="81"/>
      <c r="C1406" s="76" t="str">
        <f>IF(B1406="","",VLOOKUP(B1406,'Lista articole'!$D$4:$E$2255,2,FALSE))</f>
        <v/>
      </c>
      <c r="D1406" s="77">
        <v>0</v>
      </c>
      <c r="E1406" s="78">
        <f>IF(B1406="",0,VLOOKUP(B1406,'Lista articole'!$D$4:$F$2163,3,FALSE))</f>
        <v>0</v>
      </c>
      <c r="F1406" s="77">
        <f t="shared" si="600"/>
        <v>0</v>
      </c>
      <c r="G1406" s="77">
        <f t="shared" si="601"/>
        <v>0</v>
      </c>
      <c r="H1406" s="77">
        <f>F1406*'Date Generale'!$D$58</f>
        <v>0</v>
      </c>
      <c r="I1406" s="77">
        <f t="shared" si="602"/>
        <v>0</v>
      </c>
      <c r="J1406" s="79">
        <f t="shared" si="603"/>
        <v>0</v>
      </c>
    </row>
    <row r="1407" spans="1:10">
      <c r="A1407" s="80">
        <v>12</v>
      </c>
      <c r="B1407" s="81"/>
      <c r="C1407" s="76" t="str">
        <f>IF(B1407="","",VLOOKUP(B1407,'Lista articole'!$D$4:$E$2255,2,FALSE))</f>
        <v/>
      </c>
      <c r="D1407" s="77">
        <v>0</v>
      </c>
      <c r="E1407" s="78">
        <f>IF(B1407="",0,VLOOKUP(B1407,'Lista articole'!$D$4:$F$2163,3,FALSE))</f>
        <v>0</v>
      </c>
      <c r="F1407" s="77">
        <f t="shared" si="600"/>
        <v>0</v>
      </c>
      <c r="G1407" s="77">
        <f t="shared" si="601"/>
        <v>0</v>
      </c>
      <c r="H1407" s="77">
        <f>F1407*'Date Generale'!$D$58</f>
        <v>0</v>
      </c>
      <c r="I1407" s="77">
        <f t="shared" si="602"/>
        <v>0</v>
      </c>
      <c r="J1407" s="79">
        <f t="shared" si="603"/>
        <v>0</v>
      </c>
    </row>
    <row r="1408" spans="1:10">
      <c r="A1408" s="80">
        <v>13</v>
      </c>
      <c r="B1408" s="81"/>
      <c r="C1408" s="76" t="str">
        <f>IF(B1408="","",VLOOKUP(B1408,'Lista articole'!$D$4:$E$2255,2,FALSE))</f>
        <v/>
      </c>
      <c r="D1408" s="77">
        <v>0</v>
      </c>
      <c r="E1408" s="78">
        <f>IF(B1408="",0,VLOOKUP(B1408,'Lista articole'!$D$4:$F$2163,3,FALSE))</f>
        <v>0</v>
      </c>
      <c r="F1408" s="77">
        <f t="shared" si="600"/>
        <v>0</v>
      </c>
      <c r="G1408" s="77">
        <f t="shared" si="601"/>
        <v>0</v>
      </c>
      <c r="H1408" s="77">
        <f>F1408*'Date Generale'!$D$58</f>
        <v>0</v>
      </c>
      <c r="I1408" s="77">
        <f t="shared" si="602"/>
        <v>0</v>
      </c>
      <c r="J1408" s="79">
        <f t="shared" si="603"/>
        <v>0</v>
      </c>
    </row>
    <row r="1409" spans="1:10">
      <c r="A1409" s="80">
        <v>14</v>
      </c>
      <c r="B1409" s="81"/>
      <c r="C1409" s="76" t="str">
        <f>IF(B1409="","",VLOOKUP(B1409,'Lista articole'!$D$4:$E$2255,2,FALSE))</f>
        <v/>
      </c>
      <c r="D1409" s="77">
        <v>0</v>
      </c>
      <c r="E1409" s="78">
        <f>IF(B1409="",0,VLOOKUP(B1409,'Lista articole'!$D$4:$F$2163,3,FALSE))</f>
        <v>0</v>
      </c>
      <c r="F1409" s="77">
        <f t="shared" si="600"/>
        <v>0</v>
      </c>
      <c r="G1409" s="77">
        <f t="shared" si="601"/>
        <v>0</v>
      </c>
      <c r="H1409" s="77">
        <f>F1409*'Date Generale'!$D$58</f>
        <v>0</v>
      </c>
      <c r="I1409" s="77">
        <f t="shared" si="602"/>
        <v>0</v>
      </c>
      <c r="J1409" s="79">
        <f t="shared" si="603"/>
        <v>0</v>
      </c>
    </row>
    <row r="1410" spans="1:10">
      <c r="A1410" s="693" t="s">
        <v>50</v>
      </c>
      <c r="B1410" s="694"/>
      <c r="C1410" s="694"/>
      <c r="D1410" s="694"/>
      <c r="E1410" s="694"/>
      <c r="F1410" s="56">
        <f>SUM(F1411:F1412)</f>
        <v>0</v>
      </c>
      <c r="G1410" s="56">
        <f>SUM(G1411:G1412)</f>
        <v>0</v>
      </c>
      <c r="H1410" s="56">
        <f>SUM(H1411:H1412)</f>
        <v>0</v>
      </c>
      <c r="I1410" s="56">
        <f>SUM(I1411:I1412)</f>
        <v>0</v>
      </c>
      <c r="J1410" s="57">
        <f>SUM(J1411:J1412)</f>
        <v>0</v>
      </c>
    </row>
    <row r="1411" spans="1:10">
      <c r="A1411" s="80">
        <v>1</v>
      </c>
      <c r="B1411" s="81"/>
      <c r="C1411" s="76" t="str">
        <f>IF(B1411="","",VLOOKUP(B1411,'Lista articole'!$D$4:$E$2255,2,FALSE))</f>
        <v/>
      </c>
      <c r="D1411" s="77">
        <v>0</v>
      </c>
      <c r="E1411" s="78">
        <f>IF(B1411="",0,VLOOKUP(B1411,'Lista articole'!$D$4:$F$2163,3,FALSE))</f>
        <v>0</v>
      </c>
      <c r="F1411" s="77">
        <f t="shared" ref="F1411:F1412" si="604">D1411*E1411</f>
        <v>0</v>
      </c>
      <c r="G1411" s="77">
        <f t="shared" ref="G1411:G1412" si="605">F1411/$H$9</f>
        <v>0</v>
      </c>
      <c r="H1411" s="77">
        <f>F1411*'Date Generale'!$D$58</f>
        <v>0</v>
      </c>
      <c r="I1411" s="77">
        <f t="shared" ref="I1411:I1412" si="606">H1411+F1411</f>
        <v>0</v>
      </c>
      <c r="J1411" s="79">
        <f t="shared" ref="J1411:J1412" si="607">I1411/$H$9</f>
        <v>0</v>
      </c>
    </row>
    <row r="1412" spans="1:10">
      <c r="A1412" s="74">
        <f>A1411+1</f>
        <v>2</v>
      </c>
      <c r="B1412" s="75"/>
      <c r="C1412" s="76" t="str">
        <f>IF(B1412="","",VLOOKUP(B1412,'Lista articole'!$D$4:$E$2255,2,FALSE))</f>
        <v/>
      </c>
      <c r="D1412" s="77">
        <v>0</v>
      </c>
      <c r="E1412" s="78">
        <f>IF(B1412="",0,VLOOKUP(B1412,'Lista articole'!$D$4:$F$2163,3,FALSE))</f>
        <v>0</v>
      </c>
      <c r="F1412" s="77">
        <f t="shared" si="604"/>
        <v>0</v>
      </c>
      <c r="G1412" s="77">
        <f t="shared" si="605"/>
        <v>0</v>
      </c>
      <c r="H1412" s="77">
        <f>F1412*'Date Generale'!$D$58</f>
        <v>0</v>
      </c>
      <c r="I1412" s="77">
        <f t="shared" si="606"/>
        <v>0</v>
      </c>
      <c r="J1412" s="79">
        <f t="shared" si="607"/>
        <v>0</v>
      </c>
    </row>
    <row r="1413" spans="1:10">
      <c r="A1413" s="693" t="s">
        <v>51</v>
      </c>
      <c r="B1413" s="694"/>
      <c r="C1413" s="694"/>
      <c r="D1413" s="694"/>
      <c r="E1413" s="694"/>
      <c r="F1413" s="56">
        <f>SUM(F1414:F1415)</f>
        <v>0</v>
      </c>
      <c r="G1413" s="56">
        <f>SUM(G1414:G1415)</f>
        <v>0</v>
      </c>
      <c r="H1413" s="56">
        <f>SUM(H1414:H1415)</f>
        <v>0</v>
      </c>
      <c r="I1413" s="56">
        <f>SUM(I1414:I1415)</f>
        <v>0</v>
      </c>
      <c r="J1413" s="57">
        <f>SUM(J1414:J1415)</f>
        <v>0</v>
      </c>
    </row>
    <row r="1414" spans="1:10">
      <c r="A1414" s="80">
        <v>1</v>
      </c>
      <c r="B1414" s="81"/>
      <c r="C1414" s="76" t="str">
        <f>IF(B1414="","",VLOOKUP(B1414,'Lista articole'!$D$4:$E$2255,2,FALSE))</f>
        <v/>
      </c>
      <c r="D1414" s="77">
        <v>0</v>
      </c>
      <c r="E1414" s="78">
        <f>IF(B1414="",0,VLOOKUP(B1414,'Lista articole'!$D$4:$F$2163,3,FALSE))</f>
        <v>0</v>
      </c>
      <c r="F1414" s="77">
        <f t="shared" ref="F1414:F1415" si="608">D1414*E1414</f>
        <v>0</v>
      </c>
      <c r="G1414" s="77">
        <f t="shared" ref="G1414:G1415" si="609">F1414/$H$9</f>
        <v>0</v>
      </c>
      <c r="H1414" s="77">
        <f>F1414*'Date Generale'!$D$58</f>
        <v>0</v>
      </c>
      <c r="I1414" s="77">
        <f t="shared" ref="I1414:I1415" si="610">H1414+F1414</f>
        <v>0</v>
      </c>
      <c r="J1414" s="79">
        <f t="shared" ref="J1414:J1415" si="611">I1414/$H$9</f>
        <v>0</v>
      </c>
    </row>
    <row r="1415" spans="1:10">
      <c r="A1415" s="74">
        <f>A1414+1</f>
        <v>2</v>
      </c>
      <c r="B1415" s="75"/>
      <c r="C1415" s="76" t="str">
        <f>IF(B1415="","",VLOOKUP(B1415,'Lista articole'!$D$4:$E$2255,2,FALSE))</f>
        <v/>
      </c>
      <c r="D1415" s="77">
        <v>0</v>
      </c>
      <c r="E1415" s="78">
        <f>IF(B1415="",0,VLOOKUP(B1415,'Lista articole'!$D$4:$F$2163,3,FALSE))</f>
        <v>0</v>
      </c>
      <c r="F1415" s="77">
        <f t="shared" si="608"/>
        <v>0</v>
      </c>
      <c r="G1415" s="77">
        <f t="shared" si="609"/>
        <v>0</v>
      </c>
      <c r="H1415" s="77">
        <f>F1415*'Date Generale'!$D$58</f>
        <v>0</v>
      </c>
      <c r="I1415" s="77">
        <f t="shared" si="610"/>
        <v>0</v>
      </c>
      <c r="J1415" s="79">
        <f t="shared" si="611"/>
        <v>0</v>
      </c>
    </row>
    <row r="1416" spans="1:10">
      <c r="A1416" s="693" t="s">
        <v>52</v>
      </c>
      <c r="B1416" s="694"/>
      <c r="C1416" s="694"/>
      <c r="D1416" s="694"/>
      <c r="E1416" s="694"/>
      <c r="F1416" s="56">
        <f>SUM(F1417:F1418)</f>
        <v>0</v>
      </c>
      <c r="G1416" s="56">
        <f>SUM(G1417:G1418)</f>
        <v>0</v>
      </c>
      <c r="H1416" s="56">
        <f>SUM(H1417:H1418)</f>
        <v>0</v>
      </c>
      <c r="I1416" s="56">
        <f>SUM(I1417:I1418)</f>
        <v>0</v>
      </c>
      <c r="J1416" s="57">
        <f>SUM(J1417:J1418)</f>
        <v>0</v>
      </c>
    </row>
    <row r="1417" spans="1:10">
      <c r="A1417" s="80">
        <v>1</v>
      </c>
      <c r="B1417" s="81"/>
      <c r="C1417" s="76" t="str">
        <f>IF(B1417="","",VLOOKUP(B1417,'Lista articole'!$D$4:$E$2255,2,FALSE))</f>
        <v/>
      </c>
      <c r="D1417" s="77">
        <v>0</v>
      </c>
      <c r="E1417" s="78">
        <f>IF(B1417="",0,VLOOKUP(B1417,'Lista articole'!$D$4:$F$2163,3,FALSE))</f>
        <v>0</v>
      </c>
      <c r="F1417" s="77">
        <f>D1417*E1417</f>
        <v>0</v>
      </c>
      <c r="G1417" s="77">
        <f>F1417/$H$9</f>
        <v>0</v>
      </c>
      <c r="H1417" s="77">
        <f>F1417*'Date Generale'!$D$58</f>
        <v>0</v>
      </c>
      <c r="I1417" s="77">
        <f t="shared" ref="I1417:I1418" si="612">H1417+F1417</f>
        <v>0</v>
      </c>
      <c r="J1417" s="79">
        <f t="shared" ref="J1417:J1418" si="613">I1417/$H$9</f>
        <v>0</v>
      </c>
    </row>
    <row r="1418" spans="1:10">
      <c r="A1418" s="74">
        <f>A1417+1</f>
        <v>2</v>
      </c>
      <c r="B1418" s="75"/>
      <c r="C1418" s="76" t="str">
        <f>IF(B1418="","",VLOOKUP(B1418,'Lista articole'!$D$4:$E$2255,2,FALSE))</f>
        <v/>
      </c>
      <c r="D1418" s="77">
        <v>0</v>
      </c>
      <c r="E1418" s="78">
        <f>IF(B1418="",0,VLOOKUP(B1418,'Lista articole'!$D$4:$F$2163,3,FALSE))</f>
        <v>0</v>
      </c>
      <c r="F1418" s="77">
        <f t="shared" ref="F1418" si="614">D1418*E1418</f>
        <v>0</v>
      </c>
      <c r="G1418" s="77">
        <f t="shared" ref="G1418" si="615">F1418/$H$9</f>
        <v>0</v>
      </c>
      <c r="H1418" s="77">
        <f>F1418*'Date Generale'!$D$58</f>
        <v>0</v>
      </c>
      <c r="I1418" s="77">
        <f t="shared" si="612"/>
        <v>0</v>
      </c>
      <c r="J1418" s="79">
        <f t="shared" si="613"/>
        <v>0</v>
      </c>
    </row>
    <row r="1419" spans="1:10">
      <c r="A1419" s="693" t="s">
        <v>53</v>
      </c>
      <c r="B1419" s="694"/>
      <c r="C1419" s="694"/>
      <c r="D1419" s="694"/>
      <c r="E1419" s="694"/>
      <c r="F1419" s="56">
        <f>SUM(F1420:F1421)</f>
        <v>0</v>
      </c>
      <c r="G1419" s="56">
        <f>SUM(G1420:G1421)</f>
        <v>0</v>
      </c>
      <c r="H1419" s="56">
        <f>SUM(H1420:H1421)</f>
        <v>0</v>
      </c>
      <c r="I1419" s="56">
        <f>SUM(I1420:I1421)</f>
        <v>0</v>
      </c>
      <c r="J1419" s="57">
        <f>SUM(J1420:J1421)</f>
        <v>0</v>
      </c>
    </row>
    <row r="1420" spans="1:10">
      <c r="A1420" s="80">
        <v>1</v>
      </c>
      <c r="B1420" s="81"/>
      <c r="C1420" s="76" t="str">
        <f>IF(B1420="","",VLOOKUP(B1420,'Lista articole'!$D$4:$E$2255,2,FALSE))</f>
        <v/>
      </c>
      <c r="D1420" s="77">
        <v>0</v>
      </c>
      <c r="E1420" s="78">
        <f>IF(B1420="",0,VLOOKUP(B1420,'Lista articole'!$D$4:$F$2163,3,FALSE))</f>
        <v>0</v>
      </c>
      <c r="F1420" s="77">
        <f>D1420*E1420</f>
        <v>0</v>
      </c>
      <c r="G1420" s="77">
        <f>F1420/$H$9</f>
        <v>0</v>
      </c>
      <c r="H1420" s="77">
        <f>F1420*'Date Generale'!$D$58</f>
        <v>0</v>
      </c>
      <c r="I1420" s="77">
        <f t="shared" ref="I1420:I1421" si="616">H1420+F1420</f>
        <v>0</v>
      </c>
      <c r="J1420" s="79">
        <f t="shared" ref="J1420:J1421" si="617">I1420/$H$9</f>
        <v>0</v>
      </c>
    </row>
    <row r="1421" spans="1:10" ht="15.75" thickBot="1">
      <c r="A1421" s="139">
        <f>A1420+1</f>
        <v>2</v>
      </c>
      <c r="B1421" s="140"/>
      <c r="C1421" s="141" t="str">
        <f>IF(B1421="","",VLOOKUP(B1421,'Lista articole'!$D$4:$E$2255,2,FALSE))</f>
        <v/>
      </c>
      <c r="D1421" s="142">
        <v>0</v>
      </c>
      <c r="E1421" s="143">
        <f>IF(B1421="",0,VLOOKUP(B1421,'Lista articole'!$D$4:$F$2163,3,FALSE))</f>
        <v>0</v>
      </c>
      <c r="F1421" s="142">
        <f t="shared" ref="F1421" si="618">D1421*E1421</f>
        <v>0</v>
      </c>
      <c r="G1421" s="142">
        <f t="shared" ref="G1421" si="619">F1421/$H$9</f>
        <v>0</v>
      </c>
      <c r="H1421" s="142">
        <f>F1421*'Date Generale'!$D$58</f>
        <v>0</v>
      </c>
      <c r="I1421" s="142">
        <f t="shared" si="616"/>
        <v>0</v>
      </c>
      <c r="J1421" s="144">
        <f t="shared" si="617"/>
        <v>0</v>
      </c>
    </row>
    <row r="1422" spans="1:10" ht="15.75" thickBot="1">
      <c r="A1422" s="685" t="s">
        <v>27</v>
      </c>
      <c r="B1422" s="686"/>
      <c r="C1422" s="686"/>
      <c r="D1422" s="686"/>
      <c r="E1422" s="686"/>
      <c r="F1422" s="82">
        <f>SUM(F1386,F1389,F1392,F1395,F1410,F1413,F1416,F1419)</f>
        <v>0</v>
      </c>
      <c r="G1422" s="82">
        <f>SUM(G1386,G1389,G1392,G1395,G1410,G1413,G1416,G1419)</f>
        <v>0</v>
      </c>
      <c r="H1422" s="82">
        <f>SUM(H1386,H1389,H1392,H1395,H1410,H1413,H1416,H1419)</f>
        <v>0</v>
      </c>
      <c r="I1422" s="82">
        <f>SUM(I1386,I1389,I1392,I1395,I1410,I1413,I1416,I1419)</f>
        <v>0</v>
      </c>
      <c r="J1422" s="83">
        <f>SUM(J1386,J1389,J1392,J1395,J1410,J1413,J1416,J1419)</f>
        <v>0</v>
      </c>
    </row>
    <row r="1423" spans="1:10" ht="15.75" thickBot="1">
      <c r="A1423" s="683" t="s">
        <v>28</v>
      </c>
      <c r="B1423" s="684"/>
      <c r="C1423" s="684"/>
      <c r="D1423" s="684"/>
      <c r="E1423" s="684"/>
      <c r="F1423" s="72"/>
      <c r="G1423" s="72"/>
      <c r="H1423" s="72"/>
      <c r="I1423" s="72"/>
      <c r="J1423" s="73"/>
    </row>
    <row r="1424" spans="1:10">
      <c r="A1424" s="145"/>
      <c r="B1424" s="695" t="s">
        <v>29</v>
      </c>
      <c r="C1424" s="695"/>
      <c r="D1424" s="695"/>
      <c r="E1424" s="695"/>
      <c r="F1424" s="146">
        <f>SUM(F1425:F1426)</f>
        <v>0</v>
      </c>
      <c r="G1424" s="146">
        <f>SUM(G1425:G1426)</f>
        <v>0</v>
      </c>
      <c r="H1424" s="146">
        <f>SUM(H1425:H1426)</f>
        <v>0</v>
      </c>
      <c r="I1424" s="146">
        <f>SUM(I1425:I1426)</f>
        <v>0</v>
      </c>
      <c r="J1424" s="147">
        <f>SUM(J1425:J1426)</f>
        <v>0</v>
      </c>
    </row>
    <row r="1425" spans="1:10">
      <c r="A1425" s="80">
        <v>1</v>
      </c>
      <c r="B1425" s="81"/>
      <c r="C1425" s="76" t="str">
        <f>IF(B1425="","",VLOOKUP(B1425,'Lista articole'!$D$4:$E$2255,2,FALSE))</f>
        <v/>
      </c>
      <c r="D1425" s="77">
        <v>0</v>
      </c>
      <c r="E1425" s="78">
        <f>IF(B1425="",0,VLOOKUP(B1425,'Lista articole'!$D$4:$F$2163,3,FALSE))</f>
        <v>0</v>
      </c>
      <c r="F1425" s="77">
        <f>D1425*E1425</f>
        <v>0</v>
      </c>
      <c r="G1425" s="77">
        <f>F1425/$H$9</f>
        <v>0</v>
      </c>
      <c r="H1425" s="77">
        <f>F1425*'Date Generale'!$D$58</f>
        <v>0</v>
      </c>
      <c r="I1425" s="77">
        <f t="shared" ref="I1425:I1426" si="620">H1425+F1425</f>
        <v>0</v>
      </c>
      <c r="J1425" s="79">
        <f t="shared" ref="J1425:J1426" si="621">I1425/$H$9</f>
        <v>0</v>
      </c>
    </row>
    <row r="1426" spans="1:10" ht="15.75" thickBot="1">
      <c r="A1426" s="139">
        <f>A1425+1</f>
        <v>2</v>
      </c>
      <c r="B1426" s="140"/>
      <c r="C1426" s="141" t="str">
        <f>IF(B1426="","",VLOOKUP(B1426,'Lista articole'!$D$4:$E$2255,2,FALSE))</f>
        <v/>
      </c>
      <c r="D1426" s="142">
        <v>0</v>
      </c>
      <c r="E1426" s="143">
        <f>IF(B1426="",0,VLOOKUP(B1426,'Lista articole'!$D$4:$F$2163,3,FALSE))</f>
        <v>0</v>
      </c>
      <c r="F1426" s="142">
        <f t="shared" ref="F1426" si="622">D1426*E1426</f>
        <v>0</v>
      </c>
      <c r="G1426" s="142">
        <f t="shared" ref="G1426" si="623">F1426/$H$9</f>
        <v>0</v>
      </c>
      <c r="H1426" s="142">
        <f>F1426*'Date Generale'!$D$58</f>
        <v>0</v>
      </c>
      <c r="I1426" s="142">
        <f t="shared" si="620"/>
        <v>0</v>
      </c>
      <c r="J1426" s="144">
        <f t="shared" si="621"/>
        <v>0</v>
      </c>
    </row>
    <row r="1427" spans="1:10" ht="15.75" thickBot="1">
      <c r="A1427" s="685" t="s">
        <v>30</v>
      </c>
      <c r="B1427" s="686"/>
      <c r="C1427" s="686"/>
      <c r="D1427" s="686"/>
      <c r="E1427" s="686"/>
      <c r="F1427" s="85">
        <f>F1424</f>
        <v>0</v>
      </c>
      <c r="G1427" s="85">
        <f>G1424</f>
        <v>0</v>
      </c>
      <c r="H1427" s="85">
        <f>H1424</f>
        <v>0</v>
      </c>
      <c r="I1427" s="85">
        <f>I1424</f>
        <v>0</v>
      </c>
      <c r="J1427" s="86">
        <f>J1424</f>
        <v>0</v>
      </c>
    </row>
    <row r="1428" spans="1:10" ht="15.75" thickBot="1">
      <c r="A1428" s="683" t="s">
        <v>31</v>
      </c>
      <c r="B1428" s="684"/>
      <c r="C1428" s="684"/>
      <c r="D1428" s="684"/>
      <c r="E1428" s="684"/>
      <c r="F1428" s="72"/>
      <c r="G1428" s="72"/>
      <c r="H1428" s="72"/>
      <c r="I1428" s="72"/>
      <c r="J1428" s="73"/>
    </row>
    <row r="1429" spans="1:10">
      <c r="A1429" s="145"/>
      <c r="B1429" s="695" t="s">
        <v>32</v>
      </c>
      <c r="C1429" s="695"/>
      <c r="D1429" s="695"/>
      <c r="E1429" s="695"/>
      <c r="F1429" s="148">
        <f>SUM(F1430:F1431)</f>
        <v>0</v>
      </c>
      <c r="G1429" s="148">
        <f>SUM(G1430:G1431)</f>
        <v>0</v>
      </c>
      <c r="H1429" s="148">
        <f>SUM(H1430:H1431)</f>
        <v>0</v>
      </c>
      <c r="I1429" s="148">
        <f>SUM(I1430:I1431)</f>
        <v>0</v>
      </c>
      <c r="J1429" s="149">
        <f>SUM(J1430:J1431)</f>
        <v>0</v>
      </c>
    </row>
    <row r="1430" spans="1:10">
      <c r="A1430" s="80">
        <v>1</v>
      </c>
      <c r="B1430" s="81"/>
      <c r="C1430" s="76" t="str">
        <f>IF(B1430="","",VLOOKUP(B1430,'Lista articole'!$D$4:$E$2255,2,FALSE))</f>
        <v/>
      </c>
      <c r="D1430" s="77">
        <v>0</v>
      </c>
      <c r="E1430" s="78">
        <f>IF(B1430="",0,VLOOKUP(B1430,'Lista articole'!$D$4:$F$2163,3,FALSE))</f>
        <v>0</v>
      </c>
      <c r="F1430" s="77">
        <f>D1430*E1430</f>
        <v>0</v>
      </c>
      <c r="G1430" s="77">
        <f>F1430/$H$9</f>
        <v>0</v>
      </c>
      <c r="H1430" s="77">
        <f>F1430*'Date Generale'!$D$58</f>
        <v>0</v>
      </c>
      <c r="I1430" s="77">
        <f t="shared" ref="I1430:I1431" si="624">H1430+F1430</f>
        <v>0</v>
      </c>
      <c r="J1430" s="79">
        <f t="shared" ref="J1430:J1431" si="625">I1430/$H$9</f>
        <v>0</v>
      </c>
    </row>
    <row r="1431" spans="1:10">
      <c r="A1431" s="74">
        <f>A1430+1</f>
        <v>2</v>
      </c>
      <c r="B1431" s="75"/>
      <c r="C1431" s="76" t="str">
        <f>IF(B1431="","",VLOOKUP(B1431,'Lista articole'!$D$4:$E$2255,2,FALSE))</f>
        <v/>
      </c>
      <c r="D1431" s="77">
        <v>0</v>
      </c>
      <c r="E1431" s="78">
        <f>IF(B1431="",0,VLOOKUP(B1431,'Lista articole'!$D$4:$F$2163,3,FALSE))</f>
        <v>0</v>
      </c>
      <c r="F1431" s="77">
        <f t="shared" ref="F1431" si="626">D1431*E1431</f>
        <v>0</v>
      </c>
      <c r="G1431" s="77">
        <f t="shared" ref="G1431" si="627">F1431/$H$9</f>
        <v>0</v>
      </c>
      <c r="H1431" s="77">
        <f>F1431*'Date Generale'!$D$58</f>
        <v>0</v>
      </c>
      <c r="I1431" s="77">
        <f t="shared" si="624"/>
        <v>0</v>
      </c>
      <c r="J1431" s="79">
        <f t="shared" si="625"/>
        <v>0</v>
      </c>
    </row>
    <row r="1432" spans="1:10">
      <c r="A1432" s="87"/>
      <c r="B1432" s="696" t="s">
        <v>33</v>
      </c>
      <c r="C1432" s="696"/>
      <c r="D1432" s="696"/>
      <c r="E1432" s="696"/>
      <c r="F1432" s="88">
        <f>SUM(F1433:F1434)</f>
        <v>0</v>
      </c>
      <c r="G1432" s="88">
        <f>SUM(G1433:G1434)</f>
        <v>0</v>
      </c>
      <c r="H1432" s="88">
        <f>SUM(H1433:H1434)</f>
        <v>0</v>
      </c>
      <c r="I1432" s="88">
        <f>SUM(I1433:I1434)</f>
        <v>0</v>
      </c>
      <c r="J1432" s="89">
        <f>SUM(J1433:J1434)</f>
        <v>0</v>
      </c>
    </row>
    <row r="1433" spans="1:10">
      <c r="A1433" s="80">
        <v>1</v>
      </c>
      <c r="B1433" s="81"/>
      <c r="C1433" s="76" t="str">
        <f>IF(B1433="","",VLOOKUP(B1433,'Lista articole'!$D$4:$E$2255,2,FALSE))</f>
        <v/>
      </c>
      <c r="D1433" s="77">
        <v>0</v>
      </c>
      <c r="E1433" s="78">
        <f>IF(B1433="",0,VLOOKUP(B1433,'Lista articole'!$D$4:$F$2163,3,FALSE))</f>
        <v>0</v>
      </c>
      <c r="F1433" s="77">
        <f>D1433*E1433</f>
        <v>0</v>
      </c>
      <c r="G1433" s="77">
        <f>F1433/$H$9</f>
        <v>0</v>
      </c>
      <c r="H1433" s="77">
        <f>F1433*'Date Generale'!$D$58</f>
        <v>0</v>
      </c>
      <c r="I1433" s="77">
        <f t="shared" ref="I1433:I1434" si="628">H1433+F1433</f>
        <v>0</v>
      </c>
      <c r="J1433" s="79">
        <f t="shared" ref="J1433:J1434" si="629">I1433/$H$9</f>
        <v>0</v>
      </c>
    </row>
    <row r="1434" spans="1:10">
      <c r="A1434" s="74">
        <f>A1433+1</f>
        <v>2</v>
      </c>
      <c r="B1434" s="75"/>
      <c r="C1434" s="76" t="str">
        <f>IF(B1434="","",VLOOKUP(B1434,'Lista articole'!$D$4:$E$2255,2,FALSE))</f>
        <v/>
      </c>
      <c r="D1434" s="77">
        <v>0</v>
      </c>
      <c r="E1434" s="78">
        <f>IF(B1434="",0,VLOOKUP(B1434,'Lista articole'!$D$4:$F$2163,3,FALSE))</f>
        <v>0</v>
      </c>
      <c r="F1434" s="77">
        <f t="shared" ref="F1434" si="630">D1434*E1434</f>
        <v>0</v>
      </c>
      <c r="G1434" s="77">
        <f t="shared" ref="G1434" si="631">F1434/$H$9</f>
        <v>0</v>
      </c>
      <c r="H1434" s="77">
        <f>F1434*'Date Generale'!$D$58</f>
        <v>0</v>
      </c>
      <c r="I1434" s="77">
        <f t="shared" si="628"/>
        <v>0</v>
      </c>
      <c r="J1434" s="79">
        <f t="shared" si="629"/>
        <v>0</v>
      </c>
    </row>
    <row r="1435" spans="1:10">
      <c r="A1435" s="87"/>
      <c r="B1435" s="696" t="s">
        <v>34</v>
      </c>
      <c r="C1435" s="696"/>
      <c r="D1435" s="696"/>
      <c r="E1435" s="696"/>
      <c r="F1435" s="88">
        <f>SUM(F1436:F1437)</f>
        <v>0</v>
      </c>
      <c r="G1435" s="88">
        <f>SUM(G1436:G1437)</f>
        <v>0</v>
      </c>
      <c r="H1435" s="88">
        <f>SUM(H1436:H1437)</f>
        <v>0</v>
      </c>
      <c r="I1435" s="88">
        <f>SUM(I1436:I1437)</f>
        <v>0</v>
      </c>
      <c r="J1435" s="89">
        <f>SUM(J1436:J1437)</f>
        <v>0</v>
      </c>
    </row>
    <row r="1436" spans="1:10">
      <c r="A1436" s="80">
        <v>1</v>
      </c>
      <c r="B1436" s="81"/>
      <c r="C1436" s="76" t="str">
        <f>IF(B1436="","",VLOOKUP(B1436,'Lista articole'!$D$4:$E$2255,2,FALSE))</f>
        <v/>
      </c>
      <c r="D1436" s="77">
        <v>0</v>
      </c>
      <c r="E1436" s="78">
        <f>IF(B1436="",0,VLOOKUP(B1436,'Lista articole'!$D$4:$F$2163,3,FALSE))</f>
        <v>0</v>
      </c>
      <c r="F1436" s="77">
        <f>D1436*E1436</f>
        <v>0</v>
      </c>
      <c r="G1436" s="77">
        <f>F1436/$H$9</f>
        <v>0</v>
      </c>
      <c r="H1436" s="77">
        <f>F1436*'Date Generale'!$D$58</f>
        <v>0</v>
      </c>
      <c r="I1436" s="77">
        <f t="shared" ref="I1436:I1437" si="632">H1436+F1436</f>
        <v>0</v>
      </c>
      <c r="J1436" s="79">
        <f t="shared" ref="J1436:J1437" si="633">I1436/$H$9</f>
        <v>0</v>
      </c>
    </row>
    <row r="1437" spans="1:10" ht="15.75" thickBot="1">
      <c r="A1437" s="139">
        <f>A1436+1</f>
        <v>2</v>
      </c>
      <c r="B1437" s="140"/>
      <c r="C1437" s="141" t="str">
        <f>IF(B1437="","",VLOOKUP(B1437,'Lista articole'!$D$4:$E$2255,2,FALSE))</f>
        <v/>
      </c>
      <c r="D1437" s="142">
        <v>0</v>
      </c>
      <c r="E1437" s="143">
        <f>IF(B1437="",0,VLOOKUP(B1437,'Lista articole'!$D$4:$F$2163,3,FALSE))</f>
        <v>0</v>
      </c>
      <c r="F1437" s="142">
        <f t="shared" ref="F1437" si="634">D1437*E1437</f>
        <v>0</v>
      </c>
      <c r="G1437" s="142">
        <f t="shared" ref="G1437" si="635">F1437/$H$9</f>
        <v>0</v>
      </c>
      <c r="H1437" s="142">
        <f>F1437*'Date Generale'!$D$58</f>
        <v>0</v>
      </c>
      <c r="I1437" s="142">
        <f t="shared" si="632"/>
        <v>0</v>
      </c>
      <c r="J1437" s="144">
        <f t="shared" si="633"/>
        <v>0</v>
      </c>
    </row>
    <row r="1438" spans="1:10" ht="15.75" thickBot="1">
      <c r="A1438" s="685" t="s">
        <v>35</v>
      </c>
      <c r="B1438" s="686"/>
      <c r="C1438" s="686"/>
      <c r="D1438" s="686"/>
      <c r="E1438" s="686"/>
      <c r="F1438" s="62">
        <f>SUM(F1435,F1432,F1429)</f>
        <v>0</v>
      </c>
      <c r="G1438" s="62">
        <f>SUM(G1435,G1432,G1429)</f>
        <v>0</v>
      </c>
      <c r="H1438" s="62">
        <f>SUM(H1435,H1432,H1429)</f>
        <v>0</v>
      </c>
      <c r="I1438" s="62">
        <f>SUM(I1435,I1432,I1429)</f>
        <v>0</v>
      </c>
      <c r="J1438" s="63">
        <f>SUM(J1435,J1432,J1429)</f>
        <v>0</v>
      </c>
    </row>
    <row r="1439" spans="1:10">
      <c r="A1439" s="38"/>
      <c r="B1439" s="39"/>
      <c r="C1439" s="39"/>
      <c r="D1439" s="39"/>
      <c r="E1439" s="39"/>
      <c r="F1439" s="39"/>
      <c r="G1439" s="39"/>
      <c r="H1439" s="39"/>
      <c r="I1439" s="39"/>
      <c r="J1439" s="39"/>
    </row>
    <row r="1440" spans="1:10">
      <c r="A1440" s="38"/>
      <c r="C1440" s="42"/>
      <c r="D1440" s="42"/>
      <c r="E1440" s="42"/>
      <c r="F1440" s="42"/>
      <c r="G1440" s="42"/>
      <c r="H1440" s="42"/>
      <c r="I1440" s="42"/>
      <c r="J1440" s="42"/>
    </row>
    <row r="1441" spans="1:11" ht="18.75">
      <c r="A1441" s="42"/>
      <c r="B1441" s="90" t="s">
        <v>37</v>
      </c>
      <c r="C1441" s="42"/>
      <c r="D1441" s="42"/>
      <c r="E1441" s="42"/>
      <c r="F1441" s="42"/>
      <c r="G1441" s="42"/>
      <c r="H1441" s="42"/>
      <c r="I1441" s="42"/>
      <c r="J1441" s="42"/>
    </row>
    <row r="1442" spans="1:11" ht="18.75">
      <c r="A1442" s="38"/>
      <c r="B1442" s="90" t="str">
        <f>'Date Generale'!$C$7</f>
        <v>S.C. Tehno Consoulting Solutions S.R.L.</v>
      </c>
      <c r="C1442" s="39"/>
      <c r="D1442" s="39"/>
      <c r="E1442" s="39"/>
      <c r="F1442" s="39"/>
      <c r="G1442" s="39"/>
      <c r="H1442" s="39"/>
      <c r="I1442" s="39"/>
      <c r="J1442" s="39"/>
    </row>
    <row r="1443" spans="1:11">
      <c r="A1443" s="35"/>
      <c r="B1443" s="93"/>
      <c r="C1443" s="94"/>
      <c r="D1443" s="95"/>
      <c r="E1443" s="96"/>
      <c r="F1443" s="96"/>
      <c r="G1443" s="95"/>
      <c r="H1443" s="95"/>
      <c r="I1443" s="95"/>
      <c r="J1443" s="95"/>
    </row>
    <row r="1444" spans="1:11">
      <c r="A1444" s="35"/>
      <c r="B1444" s="93"/>
      <c r="C1444" s="94"/>
      <c r="D1444" s="95"/>
      <c r="E1444" s="96"/>
      <c r="F1444" s="96"/>
      <c r="G1444" s="95"/>
      <c r="H1444" s="95"/>
      <c r="I1444" s="95"/>
      <c r="J1444" s="95"/>
    </row>
    <row r="1445" spans="1:11">
      <c r="A1445" s="35"/>
      <c r="B1445" s="98"/>
      <c r="C1445" s="94"/>
      <c r="D1445" s="95"/>
      <c r="E1445" s="96"/>
      <c r="F1445" s="96"/>
      <c r="G1445" s="95"/>
      <c r="H1445" s="95"/>
      <c r="I1445" s="95"/>
      <c r="J1445" s="95"/>
      <c r="K1445" s="67"/>
    </row>
    <row r="1446" spans="1:11" ht="15.75">
      <c r="A1446" s="41" t="str">
        <f>"Beneficiar: " &amp;'Date Generale'!$C$6</f>
        <v xml:space="preserve">Beneficiar: Judetul Arges </v>
      </c>
      <c r="B1446" s="41"/>
      <c r="C1446" s="42"/>
      <c r="D1446" s="42"/>
      <c r="E1446" s="69"/>
      <c r="F1446" s="42"/>
      <c r="G1446" s="42"/>
      <c r="H1446" s="42"/>
      <c r="I1446" s="42"/>
      <c r="J1446" s="42"/>
    </row>
    <row r="1447" spans="1:11" ht="15.75">
      <c r="A1447" s="41" t="str">
        <f>"Denumire proiect: " &amp; 'Date Generale'!$C$3</f>
        <v>Denumire proiect: Modernizare DJ 703B Serbanesti (DJ659) - Silistea, km 70+410 - 77+826, 7.416km, in comunele Rociu si Cateasca</v>
      </c>
      <c r="B1447" s="41"/>
      <c r="C1447" s="44"/>
      <c r="D1447" s="44"/>
      <c r="E1447" s="44"/>
      <c r="F1447" s="44"/>
      <c r="G1447" s="44"/>
      <c r="H1447" s="44"/>
      <c r="I1447" s="44"/>
      <c r="J1447" s="44"/>
    </row>
    <row r="1448" spans="1:11" ht="15.75">
      <c r="A1448" s="41"/>
      <c r="B1448" s="41"/>
      <c r="C1448" s="44"/>
      <c r="D1448" s="44"/>
      <c r="E1448" s="44"/>
      <c r="F1448" s="44"/>
      <c r="G1448" s="44"/>
      <c r="H1448" s="44"/>
      <c r="I1448" s="44"/>
      <c r="J1448" s="44"/>
    </row>
    <row r="1449" spans="1:11" ht="15.75">
      <c r="A1449" s="41" t="str">
        <f>'Date Generale'!$E$79</f>
        <v>Obiect 019:0</v>
      </c>
      <c r="B1449" s="41"/>
      <c r="C1449" s="44"/>
      <c r="D1449" s="44"/>
      <c r="E1449" s="44"/>
      <c r="F1449" s="44"/>
      <c r="G1449" s="44"/>
      <c r="H1449" s="44"/>
      <c r="I1449" s="44"/>
      <c r="J1449" s="44"/>
    </row>
    <row r="1450" spans="1:11" ht="15.75">
      <c r="A1450" s="70"/>
      <c r="B1450" s="44"/>
      <c r="C1450" s="44"/>
      <c r="D1450" s="44"/>
      <c r="E1450" s="44"/>
      <c r="F1450" s="44"/>
      <c r="G1450" s="44"/>
      <c r="H1450" s="44"/>
      <c r="I1450" s="44"/>
      <c r="J1450" s="44"/>
    </row>
    <row r="1451" spans="1:11">
      <c r="A1451" s="687" t="s">
        <v>38</v>
      </c>
      <c r="B1451" s="687"/>
      <c r="C1451" s="687"/>
      <c r="D1451" s="687"/>
      <c r="E1451" s="687"/>
      <c r="F1451" s="687"/>
      <c r="G1451" s="687"/>
      <c r="H1451" s="687"/>
      <c r="I1451" s="687"/>
      <c r="J1451" s="687"/>
    </row>
    <row r="1452" spans="1:11">
      <c r="A1452" s="371"/>
      <c r="B1452" s="371"/>
      <c r="C1452" s="371"/>
      <c r="D1452" s="371"/>
      <c r="E1452" s="371"/>
      <c r="F1452" s="371"/>
      <c r="G1452" s="371"/>
      <c r="H1452" s="371"/>
      <c r="I1452" s="371"/>
      <c r="J1452" s="371"/>
    </row>
    <row r="1453" spans="1:11" ht="15.75" thickBot="1">
      <c r="A1453" s="42"/>
      <c r="B1453" s="46"/>
      <c r="C1453" s="71"/>
      <c r="D1453" s="71"/>
      <c r="E1453" s="71"/>
      <c r="F1453" s="33"/>
      <c r="G1453" s="47" t="s">
        <v>2</v>
      </c>
      <c r="H1453" s="48">
        <f>'Date Generale'!$C$54</f>
        <v>4.7233000000000001</v>
      </c>
      <c r="I1453" s="49" t="s">
        <v>3</v>
      </c>
      <c r="J1453" s="50" t="str">
        <f>'Date Generale'!$D$54</f>
        <v>21,06,2019</v>
      </c>
    </row>
    <row r="1454" spans="1:11" ht="15.75" thickBot="1">
      <c r="A1454" s="688" t="s">
        <v>4</v>
      </c>
      <c r="B1454" s="688" t="s">
        <v>5</v>
      </c>
      <c r="C1454" s="688" t="s">
        <v>39</v>
      </c>
      <c r="D1454" s="688" t="s">
        <v>40</v>
      </c>
      <c r="E1454" s="688" t="s">
        <v>228</v>
      </c>
      <c r="F1454" s="689" t="s">
        <v>160</v>
      </c>
      <c r="G1454" s="689"/>
      <c r="H1454" s="372" t="s">
        <v>7</v>
      </c>
      <c r="I1454" s="689" t="s">
        <v>159</v>
      </c>
      <c r="J1454" s="689"/>
    </row>
    <row r="1455" spans="1:11" ht="15.75" thickBot="1">
      <c r="A1455" s="688"/>
      <c r="B1455" s="688"/>
      <c r="C1455" s="688"/>
      <c r="D1455" s="688"/>
      <c r="E1455" s="688"/>
      <c r="F1455" s="51" t="s">
        <v>9</v>
      </c>
      <c r="G1455" s="51" t="s">
        <v>10</v>
      </c>
      <c r="H1455" s="51" t="s">
        <v>9</v>
      </c>
      <c r="I1455" s="51" t="s">
        <v>9</v>
      </c>
      <c r="J1455" s="51" t="s">
        <v>10</v>
      </c>
    </row>
    <row r="1456" spans="1:11" ht="15.75" thickBot="1">
      <c r="A1456" s="3">
        <v>1</v>
      </c>
      <c r="B1456" s="1">
        <v>2</v>
      </c>
      <c r="C1456" s="1">
        <v>3</v>
      </c>
      <c r="D1456" s="1">
        <v>4</v>
      </c>
      <c r="E1456" s="1">
        <v>5</v>
      </c>
      <c r="F1456" s="1">
        <v>6</v>
      </c>
      <c r="G1456" s="1">
        <v>7</v>
      </c>
      <c r="H1456" s="1">
        <v>8</v>
      </c>
      <c r="I1456" s="1">
        <v>9</v>
      </c>
      <c r="J1456" s="1">
        <v>10</v>
      </c>
    </row>
    <row r="1457" spans="1:10" ht="15.75" thickBot="1">
      <c r="A1457" s="683" t="s">
        <v>11</v>
      </c>
      <c r="B1457" s="684"/>
      <c r="C1457" s="684"/>
      <c r="D1457" s="684"/>
      <c r="E1457" s="684"/>
      <c r="F1457" s="72"/>
      <c r="G1457" s="72"/>
      <c r="H1457" s="72"/>
      <c r="I1457" s="72"/>
      <c r="J1457" s="73"/>
    </row>
    <row r="1458" spans="1:10">
      <c r="A1458" s="691" t="s">
        <v>41</v>
      </c>
      <c r="B1458" s="692"/>
      <c r="C1458" s="692"/>
      <c r="D1458" s="692"/>
      <c r="E1458" s="692"/>
      <c r="F1458" s="137">
        <f>SUM(F1459:F1460)</f>
        <v>0</v>
      </c>
      <c r="G1458" s="137">
        <f>SUM(G1459:G1460)</f>
        <v>0</v>
      </c>
      <c r="H1458" s="137">
        <f>SUM(H1459:H1460)</f>
        <v>0</v>
      </c>
      <c r="I1458" s="137">
        <f>SUM(I1459:I1460)</f>
        <v>0</v>
      </c>
      <c r="J1458" s="138">
        <f>SUM(J1459:J1460)</f>
        <v>0</v>
      </c>
    </row>
    <row r="1459" spans="1:10">
      <c r="A1459" s="74">
        <v>1</v>
      </c>
      <c r="B1459" s="75"/>
      <c r="C1459" s="76" t="str">
        <f>IF(B1459="","",VLOOKUP(B1459,'Lista articole'!$D$4:$E$2255,2,FALSE))</f>
        <v/>
      </c>
      <c r="D1459" s="77">
        <v>0</v>
      </c>
      <c r="E1459" s="78">
        <f>IF(B1459="",0,VLOOKUP(B1459,'Lista articole'!$D$4:$F$2163,3,FALSE))</f>
        <v>0</v>
      </c>
      <c r="F1459" s="77">
        <f>D1459*E1459</f>
        <v>0</v>
      </c>
      <c r="G1459" s="77">
        <f t="shared" ref="G1459:G1460" si="636">F1459/$H$9</f>
        <v>0</v>
      </c>
      <c r="H1459" s="77">
        <f>F1459*'Date Generale'!$D$58</f>
        <v>0</v>
      </c>
      <c r="I1459" s="77">
        <f>H1459+F1459</f>
        <v>0</v>
      </c>
      <c r="J1459" s="79">
        <f>I1459/$H$9</f>
        <v>0</v>
      </c>
    </row>
    <row r="1460" spans="1:10">
      <c r="A1460" s="74">
        <v>2</v>
      </c>
      <c r="B1460" s="75"/>
      <c r="C1460" s="76" t="str">
        <f>IF(B1460="","",VLOOKUP(B1460,'Lista articole'!$D$4:$E$2255,2,FALSE))</f>
        <v/>
      </c>
      <c r="D1460" s="77">
        <v>0</v>
      </c>
      <c r="E1460" s="78">
        <f>IF(B1460="",0,VLOOKUP(B1460,'Lista articole'!$D$4:$F$2163,3,FALSE))</f>
        <v>0</v>
      </c>
      <c r="F1460" s="77">
        <f>D1460*E1460</f>
        <v>0</v>
      </c>
      <c r="G1460" s="77">
        <f t="shared" si="636"/>
        <v>0</v>
      </c>
      <c r="H1460" s="77">
        <f>F1460*'Date Generale'!$D$58</f>
        <v>0</v>
      </c>
      <c r="I1460" s="77">
        <f>H1460+F1460</f>
        <v>0</v>
      </c>
      <c r="J1460" s="79">
        <f>I1460/$H$9</f>
        <v>0</v>
      </c>
    </row>
    <row r="1461" spans="1:10">
      <c r="A1461" s="693" t="s">
        <v>44</v>
      </c>
      <c r="B1461" s="694"/>
      <c r="C1461" s="694"/>
      <c r="D1461" s="694"/>
      <c r="E1461" s="694"/>
      <c r="F1461" s="56">
        <f>SUM(F1462:F1463)</f>
        <v>0</v>
      </c>
      <c r="G1461" s="56">
        <f>SUM(G1462:G1463)</f>
        <v>0</v>
      </c>
      <c r="H1461" s="56">
        <f>SUM(H1462:H1463)</f>
        <v>0</v>
      </c>
      <c r="I1461" s="56">
        <f>SUM(I1462:I1463)</f>
        <v>0</v>
      </c>
      <c r="J1461" s="57">
        <f>SUM(J1462:J1463)</f>
        <v>0</v>
      </c>
    </row>
    <row r="1462" spans="1:10">
      <c r="A1462" s="80">
        <v>1</v>
      </c>
      <c r="B1462" s="81"/>
      <c r="C1462" s="76" t="str">
        <f>IF(B1462="","",VLOOKUP(B1462,'Lista articole'!$D$4:$E$2255,2,FALSE))</f>
        <v/>
      </c>
      <c r="D1462" s="77">
        <v>0</v>
      </c>
      <c r="E1462" s="78">
        <f>IF(B1462="",0,VLOOKUP(B1462,'Lista articole'!$D$4:$F$2163,3,FALSE))</f>
        <v>0</v>
      </c>
      <c r="F1462" s="77">
        <f t="shared" ref="F1462:F1463" si="637">D1462*E1462</f>
        <v>0</v>
      </c>
      <c r="G1462" s="77">
        <f t="shared" ref="G1462:G1463" si="638">F1462/$H$9</f>
        <v>0</v>
      </c>
      <c r="H1462" s="77">
        <f>F1462*'Date Generale'!$D$58</f>
        <v>0</v>
      </c>
      <c r="I1462" s="77">
        <f t="shared" ref="I1462:I1463" si="639">H1462+F1462</f>
        <v>0</v>
      </c>
      <c r="J1462" s="79">
        <f t="shared" ref="J1462:J1463" si="640">I1462/$H$9</f>
        <v>0</v>
      </c>
    </row>
    <row r="1463" spans="1:10">
      <c r="A1463" s="80">
        <f t="shared" ref="A1463" si="641">A1462+1</f>
        <v>2</v>
      </c>
      <c r="B1463" s="81"/>
      <c r="C1463" s="76" t="str">
        <f>IF(B1463="","",VLOOKUP(B1463,'Lista articole'!$D$4:$E$2255,2,FALSE))</f>
        <v/>
      </c>
      <c r="D1463" s="77">
        <v>0</v>
      </c>
      <c r="E1463" s="78">
        <f>IF(B1463="",0,VLOOKUP(B1463,'Lista articole'!$D$4:$F$2163,3,FALSE))</f>
        <v>0</v>
      </c>
      <c r="F1463" s="77">
        <f t="shared" si="637"/>
        <v>0</v>
      </c>
      <c r="G1463" s="77">
        <f t="shared" si="638"/>
        <v>0</v>
      </c>
      <c r="H1463" s="77">
        <f>F1463*'Date Generale'!$D$58</f>
        <v>0</v>
      </c>
      <c r="I1463" s="77">
        <f t="shared" si="639"/>
        <v>0</v>
      </c>
      <c r="J1463" s="79">
        <f t="shared" si="640"/>
        <v>0</v>
      </c>
    </row>
    <row r="1464" spans="1:10">
      <c r="A1464" s="693" t="s">
        <v>45</v>
      </c>
      <c r="B1464" s="694"/>
      <c r="C1464" s="694"/>
      <c r="D1464" s="694"/>
      <c r="E1464" s="694"/>
      <c r="F1464" s="56">
        <f>SUM(F1465:F1466)</f>
        <v>0</v>
      </c>
      <c r="G1464" s="56">
        <f>SUM(G1465:G1466)</f>
        <v>0</v>
      </c>
      <c r="H1464" s="56">
        <f>SUM(H1465:H1466)</f>
        <v>0</v>
      </c>
      <c r="I1464" s="56">
        <f>SUM(I1465:I1466)</f>
        <v>0</v>
      </c>
      <c r="J1464" s="57">
        <f>SUM(J1465:J1466)</f>
        <v>0</v>
      </c>
    </row>
    <row r="1465" spans="1:10">
      <c r="A1465" s="80">
        <v>1</v>
      </c>
      <c r="B1465" s="81"/>
      <c r="C1465" s="76" t="str">
        <f>IF(B1465="","",VLOOKUP(B1465,'Lista articole'!$D$4:$E$2255,2,FALSE))</f>
        <v/>
      </c>
      <c r="D1465" s="77">
        <v>0</v>
      </c>
      <c r="E1465" s="78">
        <f>IF(B1465="",0,VLOOKUP(B1465,'Lista articole'!$D$4:$F$2163,3,FALSE))</f>
        <v>0</v>
      </c>
      <c r="F1465" s="77">
        <f t="shared" ref="F1465:F1466" si="642">D1465*E1465</f>
        <v>0</v>
      </c>
      <c r="G1465" s="77">
        <f t="shared" ref="G1465:G1466" si="643">F1465/$H$9</f>
        <v>0</v>
      </c>
      <c r="H1465" s="77">
        <f>F1465*'Date Generale'!$D$58</f>
        <v>0</v>
      </c>
      <c r="I1465" s="77">
        <f t="shared" ref="I1465:I1466" si="644">H1465+F1465</f>
        <v>0</v>
      </c>
      <c r="J1465" s="79">
        <f t="shared" ref="J1465:J1466" si="645">I1465/$H$9</f>
        <v>0</v>
      </c>
    </row>
    <row r="1466" spans="1:10">
      <c r="A1466" s="80">
        <v>2</v>
      </c>
      <c r="B1466" s="81"/>
      <c r="C1466" s="76" t="str">
        <f>IF(B1466="","",VLOOKUP(B1466,'Lista articole'!$D$4:$E$2255,2,FALSE))</f>
        <v/>
      </c>
      <c r="D1466" s="77">
        <v>0</v>
      </c>
      <c r="E1466" s="78">
        <f>IF(B1466="",0,VLOOKUP(B1466,'Lista articole'!$D$4:$F$2163,3,FALSE))</f>
        <v>0</v>
      </c>
      <c r="F1466" s="77">
        <f t="shared" si="642"/>
        <v>0</v>
      </c>
      <c r="G1466" s="77">
        <f t="shared" si="643"/>
        <v>0</v>
      </c>
      <c r="H1466" s="77">
        <f>F1466*'Date Generale'!$D$58</f>
        <v>0</v>
      </c>
      <c r="I1466" s="77">
        <f t="shared" si="644"/>
        <v>0</v>
      </c>
      <c r="J1466" s="79">
        <f t="shared" si="645"/>
        <v>0</v>
      </c>
    </row>
    <row r="1467" spans="1:10">
      <c r="A1467" s="693" t="s">
        <v>46</v>
      </c>
      <c r="B1467" s="694"/>
      <c r="C1467" s="694"/>
      <c r="D1467" s="694"/>
      <c r="E1467" s="694"/>
      <c r="F1467" s="56">
        <f>SUM(F1468:F1481)</f>
        <v>0</v>
      </c>
      <c r="G1467" s="56">
        <f>SUM(G1468:G1481)</f>
        <v>0</v>
      </c>
      <c r="H1467" s="56">
        <f>SUM(H1468:H1481)</f>
        <v>0</v>
      </c>
      <c r="I1467" s="56">
        <f>SUM(I1468:I1481)</f>
        <v>0</v>
      </c>
      <c r="J1467" s="57">
        <f>SUM(J1468:J1481)</f>
        <v>0</v>
      </c>
    </row>
    <row r="1468" spans="1:10">
      <c r="A1468" s="80">
        <v>1</v>
      </c>
      <c r="B1468" s="81"/>
      <c r="C1468" s="76" t="str">
        <f>IF(B1468="","",VLOOKUP(B1468,'Lista articole'!$D$4:$E$2255,2,FALSE))</f>
        <v/>
      </c>
      <c r="D1468" s="77">
        <v>0</v>
      </c>
      <c r="E1468" s="78">
        <f>IF(B1468="",0,VLOOKUP(B1468,'Lista articole'!$D$4:$F$2163,3,FALSE))</f>
        <v>0</v>
      </c>
      <c r="F1468" s="77">
        <f t="shared" ref="F1468:F1481" si="646">D1468*E1468</f>
        <v>0</v>
      </c>
      <c r="G1468" s="77">
        <f t="shared" ref="G1468:G1481" si="647">F1468/$H$9</f>
        <v>0</v>
      </c>
      <c r="H1468" s="77">
        <f>F1468*'Date Generale'!$D$58</f>
        <v>0</v>
      </c>
      <c r="I1468" s="77">
        <f t="shared" ref="I1468:I1481" si="648">H1468+F1468</f>
        <v>0</v>
      </c>
      <c r="J1468" s="79">
        <f t="shared" ref="J1468:J1481" si="649">I1468/$H$9</f>
        <v>0</v>
      </c>
    </row>
    <row r="1469" spans="1:10">
      <c r="A1469" s="80">
        <v>2</v>
      </c>
      <c r="B1469" s="81"/>
      <c r="C1469" s="76" t="str">
        <f>IF(B1469="","",VLOOKUP(B1469,'Lista articole'!$D$4:$E$2255,2,FALSE))</f>
        <v/>
      </c>
      <c r="D1469" s="77">
        <v>0</v>
      </c>
      <c r="E1469" s="78">
        <f>IF(B1469="",0,VLOOKUP(B1469,'Lista articole'!$D$4:$F$2163,3,FALSE))</f>
        <v>0</v>
      </c>
      <c r="F1469" s="77">
        <f t="shared" si="646"/>
        <v>0</v>
      </c>
      <c r="G1469" s="77">
        <f t="shared" si="647"/>
        <v>0</v>
      </c>
      <c r="H1469" s="77">
        <f>F1469*'Date Generale'!$D$58</f>
        <v>0</v>
      </c>
      <c r="I1469" s="77">
        <f t="shared" si="648"/>
        <v>0</v>
      </c>
      <c r="J1469" s="79">
        <f t="shared" si="649"/>
        <v>0</v>
      </c>
    </row>
    <row r="1470" spans="1:10">
      <c r="A1470" s="80">
        <v>3</v>
      </c>
      <c r="B1470" s="81"/>
      <c r="C1470" s="76" t="str">
        <f>IF(B1470="","",VLOOKUP(B1470,'Lista articole'!$D$4:$E$2255,2,FALSE))</f>
        <v/>
      </c>
      <c r="D1470" s="77">
        <v>0</v>
      </c>
      <c r="E1470" s="78">
        <f>IF(B1470="",0,VLOOKUP(B1470,'Lista articole'!$D$4:$F$2163,3,FALSE))</f>
        <v>0</v>
      </c>
      <c r="F1470" s="77">
        <f t="shared" si="646"/>
        <v>0</v>
      </c>
      <c r="G1470" s="77">
        <f t="shared" si="647"/>
        <v>0</v>
      </c>
      <c r="H1470" s="77">
        <f>F1470*'Date Generale'!$D$58</f>
        <v>0</v>
      </c>
      <c r="I1470" s="77">
        <f t="shared" si="648"/>
        <v>0</v>
      </c>
      <c r="J1470" s="79">
        <f t="shared" si="649"/>
        <v>0</v>
      </c>
    </row>
    <row r="1471" spans="1:10">
      <c r="A1471" s="80">
        <v>4</v>
      </c>
      <c r="B1471" s="81"/>
      <c r="C1471" s="76" t="str">
        <f>IF(B1471="","",VLOOKUP(B1471,'Lista articole'!$D$4:$E$2255,2,FALSE))</f>
        <v/>
      </c>
      <c r="D1471" s="77">
        <v>0</v>
      </c>
      <c r="E1471" s="78">
        <f>IF(B1471="",0,VLOOKUP(B1471,'Lista articole'!$D$4:$F$2163,3,FALSE))</f>
        <v>0</v>
      </c>
      <c r="F1471" s="77">
        <f t="shared" si="646"/>
        <v>0</v>
      </c>
      <c r="G1471" s="77">
        <f t="shared" si="647"/>
        <v>0</v>
      </c>
      <c r="H1471" s="77">
        <f>F1471*'Date Generale'!$D$58</f>
        <v>0</v>
      </c>
      <c r="I1471" s="77">
        <f t="shared" si="648"/>
        <v>0</v>
      </c>
      <c r="J1471" s="79">
        <f t="shared" si="649"/>
        <v>0</v>
      </c>
    </row>
    <row r="1472" spans="1:10">
      <c r="A1472" s="80">
        <v>5</v>
      </c>
      <c r="B1472" s="81"/>
      <c r="C1472" s="76" t="str">
        <f>IF(B1472="","",VLOOKUP(B1472,'Lista articole'!$D$4:$E$2255,2,FALSE))</f>
        <v/>
      </c>
      <c r="D1472" s="77">
        <v>0</v>
      </c>
      <c r="E1472" s="78">
        <f>IF(B1472="",0,VLOOKUP(B1472,'Lista articole'!$D$4:$F$2163,3,FALSE))</f>
        <v>0</v>
      </c>
      <c r="F1472" s="77">
        <f t="shared" si="646"/>
        <v>0</v>
      </c>
      <c r="G1472" s="77">
        <f t="shared" si="647"/>
        <v>0</v>
      </c>
      <c r="H1472" s="77">
        <f>F1472*'Date Generale'!$D$58</f>
        <v>0</v>
      </c>
      <c r="I1472" s="77">
        <f t="shared" si="648"/>
        <v>0</v>
      </c>
      <c r="J1472" s="79">
        <f t="shared" si="649"/>
        <v>0</v>
      </c>
    </row>
    <row r="1473" spans="1:10">
      <c r="A1473" s="80">
        <v>6</v>
      </c>
      <c r="B1473" s="81"/>
      <c r="C1473" s="76" t="str">
        <f>IF(B1473="","",VLOOKUP(B1473,'Lista articole'!$D$4:$E$2255,2,FALSE))</f>
        <v/>
      </c>
      <c r="D1473" s="77">
        <v>0</v>
      </c>
      <c r="E1473" s="78">
        <f>IF(B1473="",0,VLOOKUP(B1473,'Lista articole'!$D$4:$F$2163,3,FALSE))</f>
        <v>0</v>
      </c>
      <c r="F1473" s="77">
        <f t="shared" si="646"/>
        <v>0</v>
      </c>
      <c r="G1473" s="77">
        <f t="shared" si="647"/>
        <v>0</v>
      </c>
      <c r="H1473" s="77">
        <f>F1473*'Date Generale'!$D$58</f>
        <v>0</v>
      </c>
      <c r="I1473" s="77">
        <f t="shared" si="648"/>
        <v>0</v>
      </c>
      <c r="J1473" s="79">
        <f t="shared" si="649"/>
        <v>0</v>
      </c>
    </row>
    <row r="1474" spans="1:10">
      <c r="A1474" s="80">
        <v>7</v>
      </c>
      <c r="B1474" s="81"/>
      <c r="C1474" s="76" t="str">
        <f>IF(B1474="","",VLOOKUP(B1474,'Lista articole'!$D$4:$E$2255,2,FALSE))</f>
        <v/>
      </c>
      <c r="D1474" s="77">
        <v>0</v>
      </c>
      <c r="E1474" s="78">
        <f>IF(B1474="",0,VLOOKUP(B1474,'Lista articole'!$D$4:$F$2163,3,FALSE))</f>
        <v>0</v>
      </c>
      <c r="F1474" s="77">
        <f t="shared" si="646"/>
        <v>0</v>
      </c>
      <c r="G1474" s="77">
        <f t="shared" si="647"/>
        <v>0</v>
      </c>
      <c r="H1474" s="77">
        <f>F1474*'Date Generale'!$D$58</f>
        <v>0</v>
      </c>
      <c r="I1474" s="77">
        <f t="shared" si="648"/>
        <v>0</v>
      </c>
      <c r="J1474" s="79">
        <f t="shared" si="649"/>
        <v>0</v>
      </c>
    </row>
    <row r="1475" spans="1:10">
      <c r="A1475" s="80">
        <v>8</v>
      </c>
      <c r="B1475" s="81"/>
      <c r="C1475" s="76" t="str">
        <f>IF(B1475="","",VLOOKUP(B1475,'Lista articole'!$D$4:$E$2255,2,FALSE))</f>
        <v/>
      </c>
      <c r="D1475" s="77">
        <v>0</v>
      </c>
      <c r="E1475" s="78">
        <f>IF(B1475="",0,VLOOKUP(B1475,'Lista articole'!$D$4:$F$2163,3,FALSE))</f>
        <v>0</v>
      </c>
      <c r="F1475" s="77">
        <f t="shared" si="646"/>
        <v>0</v>
      </c>
      <c r="G1475" s="77">
        <f t="shared" si="647"/>
        <v>0</v>
      </c>
      <c r="H1475" s="77">
        <f>F1475*'Date Generale'!$D$58</f>
        <v>0</v>
      </c>
      <c r="I1475" s="77">
        <f t="shared" si="648"/>
        <v>0</v>
      </c>
      <c r="J1475" s="79">
        <f t="shared" si="649"/>
        <v>0</v>
      </c>
    </row>
    <row r="1476" spans="1:10">
      <c r="A1476" s="80">
        <v>9</v>
      </c>
      <c r="B1476" s="81"/>
      <c r="C1476" s="76" t="str">
        <f>IF(B1476="","",VLOOKUP(B1476,'Lista articole'!$D$4:$E$2255,2,FALSE))</f>
        <v/>
      </c>
      <c r="D1476" s="77">
        <v>0</v>
      </c>
      <c r="E1476" s="78">
        <f>IF(B1476="",0,VLOOKUP(B1476,'Lista articole'!$D$4:$F$2163,3,FALSE))</f>
        <v>0</v>
      </c>
      <c r="F1476" s="77">
        <f t="shared" si="646"/>
        <v>0</v>
      </c>
      <c r="G1476" s="77">
        <f t="shared" si="647"/>
        <v>0</v>
      </c>
      <c r="H1476" s="77">
        <f>F1476*'Date Generale'!$D$58</f>
        <v>0</v>
      </c>
      <c r="I1476" s="77">
        <f t="shared" si="648"/>
        <v>0</v>
      </c>
      <c r="J1476" s="79">
        <f t="shared" si="649"/>
        <v>0</v>
      </c>
    </row>
    <row r="1477" spans="1:10">
      <c r="A1477" s="80">
        <v>10</v>
      </c>
      <c r="B1477" s="81"/>
      <c r="C1477" s="76" t="str">
        <f>IF(B1477="","",VLOOKUP(B1477,'Lista articole'!$D$4:$E$2255,2,FALSE))</f>
        <v/>
      </c>
      <c r="D1477" s="77">
        <v>0</v>
      </c>
      <c r="E1477" s="78">
        <f>IF(B1477="",0,VLOOKUP(B1477,'Lista articole'!$D$4:$F$2163,3,FALSE))</f>
        <v>0</v>
      </c>
      <c r="F1477" s="77">
        <f t="shared" si="646"/>
        <v>0</v>
      </c>
      <c r="G1477" s="77">
        <f t="shared" si="647"/>
        <v>0</v>
      </c>
      <c r="H1477" s="77">
        <f>F1477*'Date Generale'!$D$58</f>
        <v>0</v>
      </c>
      <c r="I1477" s="77">
        <f t="shared" si="648"/>
        <v>0</v>
      </c>
      <c r="J1477" s="79">
        <f t="shared" si="649"/>
        <v>0</v>
      </c>
    </row>
    <row r="1478" spans="1:10">
      <c r="A1478" s="80">
        <v>11</v>
      </c>
      <c r="B1478" s="81"/>
      <c r="C1478" s="76" t="str">
        <f>IF(B1478="","",VLOOKUP(B1478,'Lista articole'!$D$4:$E$2255,2,FALSE))</f>
        <v/>
      </c>
      <c r="D1478" s="77">
        <v>0</v>
      </c>
      <c r="E1478" s="78">
        <f>IF(B1478="",0,VLOOKUP(B1478,'Lista articole'!$D$4:$F$2163,3,FALSE))</f>
        <v>0</v>
      </c>
      <c r="F1478" s="77">
        <f t="shared" si="646"/>
        <v>0</v>
      </c>
      <c r="G1478" s="77">
        <f t="shared" si="647"/>
        <v>0</v>
      </c>
      <c r="H1478" s="77">
        <f>F1478*'Date Generale'!$D$58</f>
        <v>0</v>
      </c>
      <c r="I1478" s="77">
        <f t="shared" si="648"/>
        <v>0</v>
      </c>
      <c r="J1478" s="79">
        <f t="shared" si="649"/>
        <v>0</v>
      </c>
    </row>
    <row r="1479" spans="1:10">
      <c r="A1479" s="80">
        <v>12</v>
      </c>
      <c r="B1479" s="81"/>
      <c r="C1479" s="76" t="str">
        <f>IF(B1479="","",VLOOKUP(B1479,'Lista articole'!$D$4:$E$2255,2,FALSE))</f>
        <v/>
      </c>
      <c r="D1479" s="77">
        <v>0</v>
      </c>
      <c r="E1479" s="78">
        <f>IF(B1479="",0,VLOOKUP(B1479,'Lista articole'!$D$4:$F$2163,3,FALSE))</f>
        <v>0</v>
      </c>
      <c r="F1479" s="77">
        <f t="shared" si="646"/>
        <v>0</v>
      </c>
      <c r="G1479" s="77">
        <f t="shared" si="647"/>
        <v>0</v>
      </c>
      <c r="H1479" s="77">
        <f>F1479*'Date Generale'!$D$58</f>
        <v>0</v>
      </c>
      <c r="I1479" s="77">
        <f t="shared" si="648"/>
        <v>0</v>
      </c>
      <c r="J1479" s="79">
        <f t="shared" si="649"/>
        <v>0</v>
      </c>
    </row>
    <row r="1480" spans="1:10">
      <c r="A1480" s="80">
        <v>13</v>
      </c>
      <c r="B1480" s="81"/>
      <c r="C1480" s="76" t="str">
        <f>IF(B1480="","",VLOOKUP(B1480,'Lista articole'!$D$4:$E$2255,2,FALSE))</f>
        <v/>
      </c>
      <c r="D1480" s="77">
        <v>0</v>
      </c>
      <c r="E1480" s="78">
        <f>IF(B1480="",0,VLOOKUP(B1480,'Lista articole'!$D$4:$F$2163,3,FALSE))</f>
        <v>0</v>
      </c>
      <c r="F1480" s="77">
        <f t="shared" si="646"/>
        <v>0</v>
      </c>
      <c r="G1480" s="77">
        <f t="shared" si="647"/>
        <v>0</v>
      </c>
      <c r="H1480" s="77">
        <f>F1480*'Date Generale'!$D$58</f>
        <v>0</v>
      </c>
      <c r="I1480" s="77">
        <f t="shared" si="648"/>
        <v>0</v>
      </c>
      <c r="J1480" s="79">
        <f t="shared" si="649"/>
        <v>0</v>
      </c>
    </row>
    <row r="1481" spans="1:10">
      <c r="A1481" s="80">
        <v>14</v>
      </c>
      <c r="B1481" s="81"/>
      <c r="C1481" s="76" t="str">
        <f>IF(B1481="","",VLOOKUP(B1481,'Lista articole'!$D$4:$E$2255,2,FALSE))</f>
        <v/>
      </c>
      <c r="D1481" s="77">
        <v>0</v>
      </c>
      <c r="E1481" s="78">
        <f>IF(B1481="",0,VLOOKUP(B1481,'Lista articole'!$D$4:$F$2163,3,FALSE))</f>
        <v>0</v>
      </c>
      <c r="F1481" s="77">
        <f t="shared" si="646"/>
        <v>0</v>
      </c>
      <c r="G1481" s="77">
        <f t="shared" si="647"/>
        <v>0</v>
      </c>
      <c r="H1481" s="77">
        <f>F1481*'Date Generale'!$D$58</f>
        <v>0</v>
      </c>
      <c r="I1481" s="77">
        <f t="shared" si="648"/>
        <v>0</v>
      </c>
      <c r="J1481" s="79">
        <f t="shared" si="649"/>
        <v>0</v>
      </c>
    </row>
    <row r="1482" spans="1:10">
      <c r="A1482" s="693" t="s">
        <v>50</v>
      </c>
      <c r="B1482" s="694"/>
      <c r="C1482" s="694"/>
      <c r="D1482" s="694"/>
      <c r="E1482" s="694"/>
      <c r="F1482" s="56">
        <f>SUM(F1483:F1484)</f>
        <v>0</v>
      </c>
      <c r="G1482" s="56">
        <f>SUM(G1483:G1484)</f>
        <v>0</v>
      </c>
      <c r="H1482" s="56">
        <f>SUM(H1483:H1484)</f>
        <v>0</v>
      </c>
      <c r="I1482" s="56">
        <f>SUM(I1483:I1484)</f>
        <v>0</v>
      </c>
      <c r="J1482" s="57">
        <f>SUM(J1483:J1484)</f>
        <v>0</v>
      </c>
    </row>
    <row r="1483" spans="1:10">
      <c r="A1483" s="80">
        <v>1</v>
      </c>
      <c r="B1483" s="81"/>
      <c r="C1483" s="76" t="str">
        <f>IF(B1483="","",VLOOKUP(B1483,'Lista articole'!$D$4:$E$2255,2,FALSE))</f>
        <v/>
      </c>
      <c r="D1483" s="77">
        <v>0</v>
      </c>
      <c r="E1483" s="78">
        <f>IF(B1483="",0,VLOOKUP(B1483,'Lista articole'!$D$4:$F$2163,3,FALSE))</f>
        <v>0</v>
      </c>
      <c r="F1483" s="77">
        <f t="shared" ref="F1483:F1484" si="650">D1483*E1483</f>
        <v>0</v>
      </c>
      <c r="G1483" s="77">
        <f t="shared" ref="G1483:G1484" si="651">F1483/$H$9</f>
        <v>0</v>
      </c>
      <c r="H1483" s="77">
        <f>F1483*'Date Generale'!$D$58</f>
        <v>0</v>
      </c>
      <c r="I1483" s="77">
        <f t="shared" ref="I1483:I1484" si="652">H1483+F1483</f>
        <v>0</v>
      </c>
      <c r="J1483" s="79">
        <f t="shared" ref="J1483:J1484" si="653">I1483/$H$9</f>
        <v>0</v>
      </c>
    </row>
    <row r="1484" spans="1:10">
      <c r="A1484" s="74">
        <f>A1483+1</f>
        <v>2</v>
      </c>
      <c r="B1484" s="75"/>
      <c r="C1484" s="76" t="str">
        <f>IF(B1484="","",VLOOKUP(B1484,'Lista articole'!$D$4:$E$2255,2,FALSE))</f>
        <v/>
      </c>
      <c r="D1484" s="77">
        <v>0</v>
      </c>
      <c r="E1484" s="78">
        <f>IF(B1484="",0,VLOOKUP(B1484,'Lista articole'!$D$4:$F$2163,3,FALSE))</f>
        <v>0</v>
      </c>
      <c r="F1484" s="77">
        <f t="shared" si="650"/>
        <v>0</v>
      </c>
      <c r="G1484" s="77">
        <f t="shared" si="651"/>
        <v>0</v>
      </c>
      <c r="H1484" s="77">
        <f>F1484*'Date Generale'!$D$58</f>
        <v>0</v>
      </c>
      <c r="I1484" s="77">
        <f t="shared" si="652"/>
        <v>0</v>
      </c>
      <c r="J1484" s="79">
        <f t="shared" si="653"/>
        <v>0</v>
      </c>
    </row>
    <row r="1485" spans="1:10">
      <c r="A1485" s="693" t="s">
        <v>51</v>
      </c>
      <c r="B1485" s="694"/>
      <c r="C1485" s="694"/>
      <c r="D1485" s="694"/>
      <c r="E1485" s="694"/>
      <c r="F1485" s="56">
        <f>SUM(F1486:F1487)</f>
        <v>0</v>
      </c>
      <c r="G1485" s="56">
        <f>SUM(G1486:G1487)</f>
        <v>0</v>
      </c>
      <c r="H1485" s="56">
        <f>SUM(H1486:H1487)</f>
        <v>0</v>
      </c>
      <c r="I1485" s="56">
        <f>SUM(I1486:I1487)</f>
        <v>0</v>
      </c>
      <c r="J1485" s="57">
        <f>SUM(J1486:J1487)</f>
        <v>0</v>
      </c>
    </row>
    <row r="1486" spans="1:10">
      <c r="A1486" s="80">
        <v>1</v>
      </c>
      <c r="B1486" s="81"/>
      <c r="C1486" s="76" t="str">
        <f>IF(B1486="","",VLOOKUP(B1486,'Lista articole'!$D$4:$E$2255,2,FALSE))</f>
        <v/>
      </c>
      <c r="D1486" s="77">
        <v>0</v>
      </c>
      <c r="E1486" s="78">
        <f>IF(B1486="",0,VLOOKUP(B1486,'Lista articole'!$D$4:$F$2163,3,FALSE))</f>
        <v>0</v>
      </c>
      <c r="F1486" s="77">
        <f t="shared" ref="F1486:F1487" si="654">D1486*E1486</f>
        <v>0</v>
      </c>
      <c r="G1486" s="77">
        <f t="shared" ref="G1486:G1487" si="655">F1486/$H$9</f>
        <v>0</v>
      </c>
      <c r="H1486" s="77">
        <f>F1486*'Date Generale'!$D$58</f>
        <v>0</v>
      </c>
      <c r="I1486" s="77">
        <f t="shared" ref="I1486:I1487" si="656">H1486+F1486</f>
        <v>0</v>
      </c>
      <c r="J1486" s="79">
        <f t="shared" ref="J1486:J1487" si="657">I1486/$H$9</f>
        <v>0</v>
      </c>
    </row>
    <row r="1487" spans="1:10">
      <c r="A1487" s="74">
        <f>A1486+1</f>
        <v>2</v>
      </c>
      <c r="B1487" s="75"/>
      <c r="C1487" s="76" t="str">
        <f>IF(B1487="","",VLOOKUP(B1487,'Lista articole'!$D$4:$E$2255,2,FALSE))</f>
        <v/>
      </c>
      <c r="D1487" s="77">
        <v>0</v>
      </c>
      <c r="E1487" s="78">
        <f>IF(B1487="",0,VLOOKUP(B1487,'Lista articole'!$D$4:$F$2163,3,FALSE))</f>
        <v>0</v>
      </c>
      <c r="F1487" s="77">
        <f t="shared" si="654"/>
        <v>0</v>
      </c>
      <c r="G1487" s="77">
        <f t="shared" si="655"/>
        <v>0</v>
      </c>
      <c r="H1487" s="77">
        <f>F1487*'Date Generale'!$D$58</f>
        <v>0</v>
      </c>
      <c r="I1487" s="77">
        <f t="shared" si="656"/>
        <v>0</v>
      </c>
      <c r="J1487" s="79">
        <f t="shared" si="657"/>
        <v>0</v>
      </c>
    </row>
    <row r="1488" spans="1:10">
      <c r="A1488" s="693" t="s">
        <v>52</v>
      </c>
      <c r="B1488" s="694"/>
      <c r="C1488" s="694"/>
      <c r="D1488" s="694"/>
      <c r="E1488" s="694"/>
      <c r="F1488" s="56">
        <f>SUM(F1489:F1490)</f>
        <v>0</v>
      </c>
      <c r="G1488" s="56">
        <f>SUM(G1489:G1490)</f>
        <v>0</v>
      </c>
      <c r="H1488" s="56">
        <f>SUM(H1489:H1490)</f>
        <v>0</v>
      </c>
      <c r="I1488" s="56">
        <f>SUM(I1489:I1490)</f>
        <v>0</v>
      </c>
      <c r="J1488" s="57">
        <f>SUM(J1489:J1490)</f>
        <v>0</v>
      </c>
    </row>
    <row r="1489" spans="1:10">
      <c r="A1489" s="80">
        <v>1</v>
      </c>
      <c r="B1489" s="81"/>
      <c r="C1489" s="76" t="str">
        <f>IF(B1489="","",VLOOKUP(B1489,'Lista articole'!$D$4:$E$2255,2,FALSE))</f>
        <v/>
      </c>
      <c r="D1489" s="77">
        <v>0</v>
      </c>
      <c r="E1489" s="78">
        <f>IF(B1489="",0,VLOOKUP(B1489,'Lista articole'!$D$4:$F$2163,3,FALSE))</f>
        <v>0</v>
      </c>
      <c r="F1489" s="77">
        <f>D1489*E1489</f>
        <v>0</v>
      </c>
      <c r="G1489" s="77">
        <f>F1489/$H$9</f>
        <v>0</v>
      </c>
      <c r="H1489" s="77">
        <f>F1489*'Date Generale'!$D$58</f>
        <v>0</v>
      </c>
      <c r="I1489" s="77">
        <f t="shared" ref="I1489:I1490" si="658">H1489+F1489</f>
        <v>0</v>
      </c>
      <c r="J1489" s="79">
        <f t="shared" ref="J1489:J1490" si="659">I1489/$H$9</f>
        <v>0</v>
      </c>
    </row>
    <row r="1490" spans="1:10">
      <c r="A1490" s="74">
        <f>A1489+1</f>
        <v>2</v>
      </c>
      <c r="B1490" s="75"/>
      <c r="C1490" s="76" t="str">
        <f>IF(B1490="","",VLOOKUP(B1490,'Lista articole'!$D$4:$E$2255,2,FALSE))</f>
        <v/>
      </c>
      <c r="D1490" s="77">
        <v>0</v>
      </c>
      <c r="E1490" s="78">
        <f>IF(B1490="",0,VLOOKUP(B1490,'Lista articole'!$D$4:$F$2163,3,FALSE))</f>
        <v>0</v>
      </c>
      <c r="F1490" s="77">
        <f t="shared" ref="F1490" si="660">D1490*E1490</f>
        <v>0</v>
      </c>
      <c r="G1490" s="77">
        <f t="shared" ref="G1490" si="661">F1490/$H$9</f>
        <v>0</v>
      </c>
      <c r="H1490" s="77">
        <f>F1490*'Date Generale'!$D$58</f>
        <v>0</v>
      </c>
      <c r="I1490" s="77">
        <f t="shared" si="658"/>
        <v>0</v>
      </c>
      <c r="J1490" s="79">
        <f t="shared" si="659"/>
        <v>0</v>
      </c>
    </row>
    <row r="1491" spans="1:10">
      <c r="A1491" s="693" t="s">
        <v>53</v>
      </c>
      <c r="B1491" s="694"/>
      <c r="C1491" s="694"/>
      <c r="D1491" s="694"/>
      <c r="E1491" s="694"/>
      <c r="F1491" s="56">
        <f>SUM(F1492:F1493)</f>
        <v>0</v>
      </c>
      <c r="G1491" s="56">
        <f>SUM(G1492:G1493)</f>
        <v>0</v>
      </c>
      <c r="H1491" s="56">
        <f>SUM(H1492:H1493)</f>
        <v>0</v>
      </c>
      <c r="I1491" s="56">
        <f>SUM(I1492:I1493)</f>
        <v>0</v>
      </c>
      <c r="J1491" s="57">
        <f>SUM(J1492:J1493)</f>
        <v>0</v>
      </c>
    </row>
    <row r="1492" spans="1:10">
      <c r="A1492" s="80">
        <v>1</v>
      </c>
      <c r="B1492" s="81"/>
      <c r="C1492" s="76" t="str">
        <f>IF(B1492="","",VLOOKUP(B1492,'Lista articole'!$D$4:$E$2255,2,FALSE))</f>
        <v/>
      </c>
      <c r="D1492" s="77">
        <v>0</v>
      </c>
      <c r="E1492" s="78">
        <f>IF(B1492="",0,VLOOKUP(B1492,'Lista articole'!$D$4:$F$2163,3,FALSE))</f>
        <v>0</v>
      </c>
      <c r="F1492" s="77">
        <f>D1492*E1492</f>
        <v>0</v>
      </c>
      <c r="G1492" s="77">
        <f>F1492/$H$9</f>
        <v>0</v>
      </c>
      <c r="H1492" s="77">
        <f>F1492*'Date Generale'!$D$58</f>
        <v>0</v>
      </c>
      <c r="I1492" s="77">
        <f t="shared" ref="I1492:I1493" si="662">H1492+F1492</f>
        <v>0</v>
      </c>
      <c r="J1492" s="79">
        <f t="shared" ref="J1492:J1493" si="663">I1492/$H$9</f>
        <v>0</v>
      </c>
    </row>
    <row r="1493" spans="1:10" ht="15.75" thickBot="1">
      <c r="A1493" s="139">
        <f>A1492+1</f>
        <v>2</v>
      </c>
      <c r="B1493" s="140"/>
      <c r="C1493" s="141" t="str">
        <f>IF(B1493="","",VLOOKUP(B1493,'Lista articole'!$D$4:$E$2255,2,FALSE))</f>
        <v/>
      </c>
      <c r="D1493" s="142">
        <v>0</v>
      </c>
      <c r="E1493" s="143">
        <f>IF(B1493="",0,VLOOKUP(B1493,'Lista articole'!$D$4:$F$2163,3,FALSE))</f>
        <v>0</v>
      </c>
      <c r="F1493" s="142">
        <f t="shared" ref="F1493" si="664">D1493*E1493</f>
        <v>0</v>
      </c>
      <c r="G1493" s="142">
        <f t="shared" ref="G1493" si="665">F1493/$H$9</f>
        <v>0</v>
      </c>
      <c r="H1493" s="142">
        <f>F1493*'Date Generale'!$D$58</f>
        <v>0</v>
      </c>
      <c r="I1493" s="142">
        <f t="shared" si="662"/>
        <v>0</v>
      </c>
      <c r="J1493" s="144">
        <f t="shared" si="663"/>
        <v>0</v>
      </c>
    </row>
    <row r="1494" spans="1:10" ht="15.75" thickBot="1">
      <c r="A1494" s="685" t="s">
        <v>27</v>
      </c>
      <c r="B1494" s="686"/>
      <c r="C1494" s="686"/>
      <c r="D1494" s="686"/>
      <c r="E1494" s="686"/>
      <c r="F1494" s="82">
        <f>SUM(F1458,F1461,F1464,F1467,F1482,F1485,F1488,F1491)</f>
        <v>0</v>
      </c>
      <c r="G1494" s="82">
        <f>SUM(G1458,G1461,G1464,G1467,G1482,G1485,G1488,G1491)</f>
        <v>0</v>
      </c>
      <c r="H1494" s="82">
        <f>SUM(H1458,H1461,H1464,H1467,H1482,H1485,H1488,H1491)</f>
        <v>0</v>
      </c>
      <c r="I1494" s="82">
        <f>SUM(I1458,I1461,I1464,I1467,I1482,I1485,I1488,I1491)</f>
        <v>0</v>
      </c>
      <c r="J1494" s="83">
        <f>SUM(J1458,J1461,J1464,J1467,J1482,J1485,J1488,J1491)</f>
        <v>0</v>
      </c>
    </row>
    <row r="1495" spans="1:10" ht="15.75" thickBot="1">
      <c r="A1495" s="683" t="s">
        <v>28</v>
      </c>
      <c r="B1495" s="684"/>
      <c r="C1495" s="684"/>
      <c r="D1495" s="684"/>
      <c r="E1495" s="684"/>
      <c r="F1495" s="72"/>
      <c r="G1495" s="72"/>
      <c r="H1495" s="72"/>
      <c r="I1495" s="72"/>
      <c r="J1495" s="73"/>
    </row>
    <row r="1496" spans="1:10">
      <c r="A1496" s="145"/>
      <c r="B1496" s="695" t="s">
        <v>29</v>
      </c>
      <c r="C1496" s="695"/>
      <c r="D1496" s="695"/>
      <c r="E1496" s="695"/>
      <c r="F1496" s="146">
        <f>SUM(F1497:F1498)</f>
        <v>0</v>
      </c>
      <c r="G1496" s="146">
        <f>SUM(G1497:G1498)</f>
        <v>0</v>
      </c>
      <c r="H1496" s="146">
        <f>SUM(H1497:H1498)</f>
        <v>0</v>
      </c>
      <c r="I1496" s="146">
        <f>SUM(I1497:I1498)</f>
        <v>0</v>
      </c>
      <c r="J1496" s="147">
        <f>SUM(J1497:J1498)</f>
        <v>0</v>
      </c>
    </row>
    <row r="1497" spans="1:10">
      <c r="A1497" s="80">
        <v>1</v>
      </c>
      <c r="B1497" s="81"/>
      <c r="C1497" s="76" t="str">
        <f>IF(B1497="","",VLOOKUP(B1497,'Lista articole'!$D$4:$E$2255,2,FALSE))</f>
        <v/>
      </c>
      <c r="D1497" s="77">
        <v>0</v>
      </c>
      <c r="E1497" s="78">
        <f>IF(B1497="",0,VLOOKUP(B1497,'Lista articole'!$D$4:$F$2163,3,FALSE))</f>
        <v>0</v>
      </c>
      <c r="F1497" s="77">
        <f>D1497*E1497</f>
        <v>0</v>
      </c>
      <c r="G1497" s="77">
        <f>F1497/$H$9</f>
        <v>0</v>
      </c>
      <c r="H1497" s="77">
        <f>F1497*'Date Generale'!$D$58</f>
        <v>0</v>
      </c>
      <c r="I1497" s="77">
        <f t="shared" ref="I1497:I1498" si="666">H1497+F1497</f>
        <v>0</v>
      </c>
      <c r="J1497" s="79">
        <f t="shared" ref="J1497:J1498" si="667">I1497/$H$9</f>
        <v>0</v>
      </c>
    </row>
    <row r="1498" spans="1:10" ht="15.75" thickBot="1">
      <c r="A1498" s="139">
        <f>A1497+1</f>
        <v>2</v>
      </c>
      <c r="B1498" s="140"/>
      <c r="C1498" s="141" t="str">
        <f>IF(B1498="","",VLOOKUP(B1498,'Lista articole'!$D$4:$E$2255,2,FALSE))</f>
        <v/>
      </c>
      <c r="D1498" s="142">
        <v>0</v>
      </c>
      <c r="E1498" s="143">
        <f>IF(B1498="",0,VLOOKUP(B1498,'Lista articole'!$D$4:$F$2163,3,FALSE))</f>
        <v>0</v>
      </c>
      <c r="F1498" s="142">
        <f t="shared" ref="F1498" si="668">D1498*E1498</f>
        <v>0</v>
      </c>
      <c r="G1498" s="142">
        <f t="shared" ref="G1498" si="669">F1498/$H$9</f>
        <v>0</v>
      </c>
      <c r="H1498" s="142">
        <f>F1498*'Date Generale'!$D$58</f>
        <v>0</v>
      </c>
      <c r="I1498" s="142">
        <f t="shared" si="666"/>
        <v>0</v>
      </c>
      <c r="J1498" s="144">
        <f t="shared" si="667"/>
        <v>0</v>
      </c>
    </row>
    <row r="1499" spans="1:10" ht="15.75" thickBot="1">
      <c r="A1499" s="685" t="s">
        <v>30</v>
      </c>
      <c r="B1499" s="686"/>
      <c r="C1499" s="686"/>
      <c r="D1499" s="686"/>
      <c r="E1499" s="686"/>
      <c r="F1499" s="85">
        <f>F1496</f>
        <v>0</v>
      </c>
      <c r="G1499" s="85">
        <f>G1496</f>
        <v>0</v>
      </c>
      <c r="H1499" s="85">
        <f>H1496</f>
        <v>0</v>
      </c>
      <c r="I1499" s="85">
        <f>I1496</f>
        <v>0</v>
      </c>
      <c r="J1499" s="86">
        <f>J1496</f>
        <v>0</v>
      </c>
    </row>
    <row r="1500" spans="1:10" ht="15.75" thickBot="1">
      <c r="A1500" s="683" t="s">
        <v>31</v>
      </c>
      <c r="B1500" s="684"/>
      <c r="C1500" s="684"/>
      <c r="D1500" s="684"/>
      <c r="E1500" s="684"/>
      <c r="F1500" s="72"/>
      <c r="G1500" s="72"/>
      <c r="H1500" s="72"/>
      <c r="I1500" s="72"/>
      <c r="J1500" s="73"/>
    </row>
    <row r="1501" spans="1:10">
      <c r="A1501" s="145"/>
      <c r="B1501" s="695" t="s">
        <v>32</v>
      </c>
      <c r="C1501" s="695"/>
      <c r="D1501" s="695"/>
      <c r="E1501" s="695"/>
      <c r="F1501" s="148">
        <f>SUM(F1502:F1503)</f>
        <v>0</v>
      </c>
      <c r="G1501" s="148">
        <f>SUM(G1502:G1503)</f>
        <v>0</v>
      </c>
      <c r="H1501" s="148">
        <f>SUM(H1502:H1503)</f>
        <v>0</v>
      </c>
      <c r="I1501" s="148">
        <f>SUM(I1502:I1503)</f>
        <v>0</v>
      </c>
      <c r="J1501" s="149">
        <f>SUM(J1502:J1503)</f>
        <v>0</v>
      </c>
    </row>
    <row r="1502" spans="1:10">
      <c r="A1502" s="80">
        <v>1</v>
      </c>
      <c r="B1502" s="81"/>
      <c r="C1502" s="76" t="str">
        <f>IF(B1502="","",VLOOKUP(B1502,'Lista articole'!$D$4:$E$2255,2,FALSE))</f>
        <v/>
      </c>
      <c r="D1502" s="77">
        <v>0</v>
      </c>
      <c r="E1502" s="78">
        <f>IF(B1502="",0,VLOOKUP(B1502,'Lista articole'!$D$4:$F$2163,3,FALSE))</f>
        <v>0</v>
      </c>
      <c r="F1502" s="77">
        <f>D1502*E1502</f>
        <v>0</v>
      </c>
      <c r="G1502" s="77">
        <f>F1502/$H$9</f>
        <v>0</v>
      </c>
      <c r="H1502" s="77">
        <f>F1502*'Date Generale'!$D$58</f>
        <v>0</v>
      </c>
      <c r="I1502" s="77">
        <f t="shared" ref="I1502:I1503" si="670">H1502+F1502</f>
        <v>0</v>
      </c>
      <c r="J1502" s="79">
        <f t="shared" ref="J1502:J1503" si="671">I1502/$H$9</f>
        <v>0</v>
      </c>
    </row>
    <row r="1503" spans="1:10">
      <c r="A1503" s="74">
        <f>A1502+1</f>
        <v>2</v>
      </c>
      <c r="B1503" s="75"/>
      <c r="C1503" s="76" t="str">
        <f>IF(B1503="","",VLOOKUP(B1503,'Lista articole'!$D$4:$E$2255,2,FALSE))</f>
        <v/>
      </c>
      <c r="D1503" s="77">
        <v>0</v>
      </c>
      <c r="E1503" s="78">
        <f>IF(B1503="",0,VLOOKUP(B1503,'Lista articole'!$D$4:$F$2163,3,FALSE))</f>
        <v>0</v>
      </c>
      <c r="F1503" s="77">
        <f t="shared" ref="F1503" si="672">D1503*E1503</f>
        <v>0</v>
      </c>
      <c r="G1503" s="77">
        <f t="shared" ref="G1503" si="673">F1503/$H$9</f>
        <v>0</v>
      </c>
      <c r="H1503" s="77">
        <f>F1503*'Date Generale'!$D$58</f>
        <v>0</v>
      </c>
      <c r="I1503" s="77">
        <f t="shared" si="670"/>
        <v>0</v>
      </c>
      <c r="J1503" s="79">
        <f t="shared" si="671"/>
        <v>0</v>
      </c>
    </row>
    <row r="1504" spans="1:10">
      <c r="A1504" s="87"/>
      <c r="B1504" s="696" t="s">
        <v>33</v>
      </c>
      <c r="C1504" s="696"/>
      <c r="D1504" s="696"/>
      <c r="E1504" s="696"/>
      <c r="F1504" s="88">
        <f>SUM(F1505:F1506)</f>
        <v>0</v>
      </c>
      <c r="G1504" s="88">
        <f>SUM(G1505:G1506)</f>
        <v>0</v>
      </c>
      <c r="H1504" s="88">
        <f>SUM(H1505:H1506)</f>
        <v>0</v>
      </c>
      <c r="I1504" s="88">
        <f>SUM(I1505:I1506)</f>
        <v>0</v>
      </c>
      <c r="J1504" s="89">
        <f>SUM(J1505:J1506)</f>
        <v>0</v>
      </c>
    </row>
    <row r="1505" spans="1:11">
      <c r="A1505" s="80">
        <v>1</v>
      </c>
      <c r="B1505" s="81"/>
      <c r="C1505" s="76" t="str">
        <f>IF(B1505="","",VLOOKUP(B1505,'Lista articole'!$D$4:$E$2255,2,FALSE))</f>
        <v/>
      </c>
      <c r="D1505" s="77">
        <v>0</v>
      </c>
      <c r="E1505" s="78">
        <f>IF(B1505="",0,VLOOKUP(B1505,'Lista articole'!$D$4:$F$2163,3,FALSE))</f>
        <v>0</v>
      </c>
      <c r="F1505" s="77">
        <f>D1505*E1505</f>
        <v>0</v>
      </c>
      <c r="G1505" s="77">
        <f>F1505/$H$9</f>
        <v>0</v>
      </c>
      <c r="H1505" s="77">
        <f>F1505*'Date Generale'!$D$58</f>
        <v>0</v>
      </c>
      <c r="I1505" s="77">
        <f t="shared" ref="I1505:I1506" si="674">H1505+F1505</f>
        <v>0</v>
      </c>
      <c r="J1505" s="79">
        <f t="shared" ref="J1505:J1506" si="675">I1505/$H$9</f>
        <v>0</v>
      </c>
    </row>
    <row r="1506" spans="1:11">
      <c r="A1506" s="74">
        <f>A1505+1</f>
        <v>2</v>
      </c>
      <c r="B1506" s="75"/>
      <c r="C1506" s="76" t="str">
        <f>IF(B1506="","",VLOOKUP(B1506,'Lista articole'!$D$4:$E$2255,2,FALSE))</f>
        <v/>
      </c>
      <c r="D1506" s="77">
        <v>0</v>
      </c>
      <c r="E1506" s="78">
        <f>IF(B1506="",0,VLOOKUP(B1506,'Lista articole'!$D$4:$F$2163,3,FALSE))</f>
        <v>0</v>
      </c>
      <c r="F1506" s="77">
        <f t="shared" ref="F1506" si="676">D1506*E1506</f>
        <v>0</v>
      </c>
      <c r="G1506" s="77">
        <f t="shared" ref="G1506" si="677">F1506/$H$9</f>
        <v>0</v>
      </c>
      <c r="H1506" s="77">
        <f>F1506*'Date Generale'!$D$58</f>
        <v>0</v>
      </c>
      <c r="I1506" s="77">
        <f t="shared" si="674"/>
        <v>0</v>
      </c>
      <c r="J1506" s="79">
        <f t="shared" si="675"/>
        <v>0</v>
      </c>
    </row>
    <row r="1507" spans="1:11">
      <c r="A1507" s="87"/>
      <c r="B1507" s="696" t="s">
        <v>34</v>
      </c>
      <c r="C1507" s="696"/>
      <c r="D1507" s="696"/>
      <c r="E1507" s="696"/>
      <c r="F1507" s="88">
        <f>SUM(F1508:F1509)</f>
        <v>0</v>
      </c>
      <c r="G1507" s="88">
        <f>SUM(G1508:G1509)</f>
        <v>0</v>
      </c>
      <c r="H1507" s="88">
        <f>SUM(H1508:H1509)</f>
        <v>0</v>
      </c>
      <c r="I1507" s="88">
        <f>SUM(I1508:I1509)</f>
        <v>0</v>
      </c>
      <c r="J1507" s="89">
        <f>SUM(J1508:J1509)</f>
        <v>0</v>
      </c>
    </row>
    <row r="1508" spans="1:11">
      <c r="A1508" s="80">
        <v>1</v>
      </c>
      <c r="B1508" s="81"/>
      <c r="C1508" s="76" t="str">
        <f>IF(B1508="","",VLOOKUP(B1508,'Lista articole'!$D$4:$E$2255,2,FALSE))</f>
        <v/>
      </c>
      <c r="D1508" s="77">
        <v>0</v>
      </c>
      <c r="E1508" s="78">
        <f>IF(B1508="",0,VLOOKUP(B1508,'Lista articole'!$D$4:$F$2163,3,FALSE))</f>
        <v>0</v>
      </c>
      <c r="F1508" s="77">
        <f>D1508*E1508</f>
        <v>0</v>
      </c>
      <c r="G1508" s="77">
        <f>F1508/$H$9</f>
        <v>0</v>
      </c>
      <c r="H1508" s="77">
        <f>F1508*'Date Generale'!$D$58</f>
        <v>0</v>
      </c>
      <c r="I1508" s="77">
        <f t="shared" ref="I1508:I1509" si="678">H1508+F1508</f>
        <v>0</v>
      </c>
      <c r="J1508" s="79">
        <f t="shared" ref="J1508:J1509" si="679">I1508/$H$9</f>
        <v>0</v>
      </c>
    </row>
    <row r="1509" spans="1:11" ht="15.75" thickBot="1">
      <c r="A1509" s="139">
        <f>A1508+1</f>
        <v>2</v>
      </c>
      <c r="B1509" s="140"/>
      <c r="C1509" s="141" t="str">
        <f>IF(B1509="","",VLOOKUP(B1509,'Lista articole'!$D$4:$E$2255,2,FALSE))</f>
        <v/>
      </c>
      <c r="D1509" s="142">
        <v>0</v>
      </c>
      <c r="E1509" s="143">
        <f>IF(B1509="",0,VLOOKUP(B1509,'Lista articole'!$D$4:$F$2163,3,FALSE))</f>
        <v>0</v>
      </c>
      <c r="F1509" s="142">
        <f t="shared" ref="F1509" si="680">D1509*E1509</f>
        <v>0</v>
      </c>
      <c r="G1509" s="142">
        <f t="shared" ref="G1509" si="681">F1509/$H$9</f>
        <v>0</v>
      </c>
      <c r="H1509" s="142">
        <f>F1509*'Date Generale'!$D$58</f>
        <v>0</v>
      </c>
      <c r="I1509" s="142">
        <f t="shared" si="678"/>
        <v>0</v>
      </c>
      <c r="J1509" s="144">
        <f t="shared" si="679"/>
        <v>0</v>
      </c>
    </row>
    <row r="1510" spans="1:11" ht="15.75" thickBot="1">
      <c r="A1510" s="685" t="s">
        <v>35</v>
      </c>
      <c r="B1510" s="686"/>
      <c r="C1510" s="686"/>
      <c r="D1510" s="686"/>
      <c r="E1510" s="686"/>
      <c r="F1510" s="62">
        <f>SUM(F1507,F1504,F1501)</f>
        <v>0</v>
      </c>
      <c r="G1510" s="62">
        <f>SUM(G1507,G1504,G1501)</f>
        <v>0</v>
      </c>
      <c r="H1510" s="62">
        <f>SUM(H1507,H1504,H1501)</f>
        <v>0</v>
      </c>
      <c r="I1510" s="62">
        <f>SUM(I1507,I1504,I1501)</f>
        <v>0</v>
      </c>
      <c r="J1510" s="63">
        <f>SUM(J1507,J1504,J1501)</f>
        <v>0</v>
      </c>
    </row>
    <row r="1511" spans="1:11">
      <c r="A1511" s="38"/>
      <c r="B1511" s="39"/>
      <c r="C1511" s="39"/>
      <c r="D1511" s="39"/>
      <c r="E1511" s="39"/>
      <c r="F1511" s="39"/>
      <c r="G1511" s="39"/>
      <c r="H1511" s="39"/>
      <c r="I1511" s="39"/>
      <c r="J1511" s="39"/>
    </row>
    <row r="1512" spans="1:11">
      <c r="A1512" s="38"/>
      <c r="C1512" s="42"/>
      <c r="D1512" s="42"/>
      <c r="E1512" s="42"/>
      <c r="F1512" s="42"/>
      <c r="G1512" s="42"/>
      <c r="H1512" s="42"/>
      <c r="I1512" s="42"/>
      <c r="J1512" s="42"/>
    </row>
    <row r="1513" spans="1:11" ht="18.75">
      <c r="A1513" s="42"/>
      <c r="B1513" s="90" t="s">
        <v>37</v>
      </c>
      <c r="C1513" s="42"/>
      <c r="D1513" s="42"/>
      <c r="E1513" s="42"/>
      <c r="F1513" s="42"/>
      <c r="G1513" s="42"/>
      <c r="H1513" s="42"/>
      <c r="I1513" s="42"/>
      <c r="J1513" s="42"/>
    </row>
    <row r="1514" spans="1:11" ht="18.75">
      <c r="A1514" s="38"/>
      <c r="B1514" s="90" t="str">
        <f>'Date Generale'!$C$7</f>
        <v>S.C. Tehno Consoulting Solutions S.R.L.</v>
      </c>
      <c r="C1514" s="39"/>
      <c r="D1514" s="39"/>
      <c r="E1514" s="39"/>
      <c r="F1514" s="39"/>
      <c r="G1514" s="39"/>
      <c r="H1514" s="39"/>
      <c r="I1514" s="39"/>
      <c r="J1514" s="39"/>
    </row>
    <row r="1515" spans="1:11">
      <c r="A1515" s="35"/>
      <c r="B1515" s="93"/>
      <c r="C1515" s="94"/>
      <c r="D1515" s="95"/>
      <c r="E1515" s="96"/>
      <c r="F1515" s="96"/>
      <c r="G1515" s="95"/>
      <c r="H1515" s="95"/>
      <c r="I1515" s="95"/>
      <c r="J1515" s="95"/>
    </row>
    <row r="1516" spans="1:11">
      <c r="A1516" s="35"/>
      <c r="B1516" s="93"/>
      <c r="C1516" s="94"/>
      <c r="D1516" s="95"/>
      <c r="E1516" s="96"/>
      <c r="F1516" s="96"/>
      <c r="G1516" s="95"/>
      <c r="H1516" s="95"/>
      <c r="I1516" s="95"/>
      <c r="J1516" s="95"/>
    </row>
    <row r="1517" spans="1:11">
      <c r="A1517" s="35"/>
      <c r="B1517" s="98"/>
      <c r="C1517" s="94"/>
      <c r="D1517" s="95"/>
      <c r="E1517" s="96"/>
      <c r="F1517" s="96"/>
      <c r="G1517" s="95"/>
      <c r="H1517" s="95"/>
      <c r="I1517" s="95"/>
      <c r="J1517" s="95"/>
      <c r="K1517" s="67"/>
    </row>
    <row r="1518" spans="1:11" ht="15.75">
      <c r="A1518" s="41" t="str">
        <f>"Beneficiar: " &amp;'Date Generale'!$C$6</f>
        <v xml:space="preserve">Beneficiar: Judetul Arges </v>
      </c>
      <c r="B1518" s="41"/>
      <c r="C1518" s="42"/>
      <c r="D1518" s="42"/>
      <c r="E1518" s="69"/>
      <c r="F1518" s="42"/>
      <c r="G1518" s="42"/>
      <c r="H1518" s="42"/>
      <c r="I1518" s="42"/>
      <c r="J1518" s="42"/>
    </row>
    <row r="1519" spans="1:11" ht="15.75">
      <c r="A1519" s="41" t="str">
        <f>"Denumire proiect: " &amp; 'Date Generale'!$C$3</f>
        <v>Denumire proiect: Modernizare DJ 703B Serbanesti (DJ659) - Silistea, km 70+410 - 77+826, 7.416km, in comunele Rociu si Cateasca</v>
      </c>
      <c r="B1519" s="41"/>
      <c r="C1519" s="44"/>
      <c r="D1519" s="44"/>
      <c r="E1519" s="44"/>
      <c r="F1519" s="44"/>
      <c r="G1519" s="44"/>
      <c r="H1519" s="44"/>
      <c r="I1519" s="44"/>
      <c r="J1519" s="44"/>
    </row>
    <row r="1520" spans="1:11" ht="15.75">
      <c r="A1520" s="41"/>
      <c r="B1520" s="41"/>
      <c r="C1520" s="44"/>
      <c r="D1520" s="44"/>
      <c r="E1520" s="44"/>
      <c r="F1520" s="44"/>
      <c r="G1520" s="44"/>
      <c r="H1520" s="44"/>
      <c r="I1520" s="44"/>
      <c r="J1520" s="44"/>
    </row>
    <row r="1521" spans="1:10" ht="15.75">
      <c r="A1521" s="41" t="str">
        <f>'Date Generale'!$E$80</f>
        <v>Obiect 020:0</v>
      </c>
      <c r="B1521" s="41"/>
      <c r="C1521" s="44"/>
      <c r="D1521" s="44"/>
      <c r="E1521" s="44"/>
      <c r="F1521" s="44"/>
      <c r="G1521" s="44"/>
      <c r="H1521" s="44"/>
      <c r="I1521" s="44"/>
      <c r="J1521" s="44"/>
    </row>
    <row r="1522" spans="1:10" ht="15.75">
      <c r="A1522" s="70"/>
      <c r="B1522" s="44"/>
      <c r="C1522" s="44"/>
      <c r="D1522" s="44"/>
      <c r="E1522" s="44"/>
      <c r="F1522" s="44"/>
      <c r="G1522" s="44"/>
      <c r="H1522" s="44"/>
      <c r="I1522" s="44"/>
      <c r="J1522" s="44"/>
    </row>
    <row r="1523" spans="1:10">
      <c r="A1523" s="687" t="s">
        <v>38</v>
      </c>
      <c r="B1523" s="687"/>
      <c r="C1523" s="687"/>
      <c r="D1523" s="687"/>
      <c r="E1523" s="687"/>
      <c r="F1523" s="687"/>
      <c r="G1523" s="687"/>
      <c r="H1523" s="687"/>
      <c r="I1523" s="687"/>
      <c r="J1523" s="687"/>
    </row>
    <row r="1524" spans="1:10">
      <c r="A1524" s="371"/>
      <c r="B1524" s="371"/>
      <c r="C1524" s="371"/>
      <c r="D1524" s="371"/>
      <c r="E1524" s="371"/>
      <c r="F1524" s="371"/>
      <c r="G1524" s="371"/>
      <c r="H1524" s="371"/>
      <c r="I1524" s="371"/>
      <c r="J1524" s="371"/>
    </row>
    <row r="1525" spans="1:10" ht="15.75" thickBot="1">
      <c r="A1525" s="42"/>
      <c r="B1525" s="46"/>
      <c r="C1525" s="71"/>
      <c r="D1525" s="71"/>
      <c r="E1525" s="71"/>
      <c r="F1525" s="33"/>
      <c r="G1525" s="47" t="s">
        <v>2</v>
      </c>
      <c r="H1525" s="48">
        <f>'Date Generale'!$C$54</f>
        <v>4.7233000000000001</v>
      </c>
      <c r="I1525" s="49" t="s">
        <v>3</v>
      </c>
      <c r="J1525" s="50" t="str">
        <f>'Date Generale'!$D$54</f>
        <v>21,06,2019</v>
      </c>
    </row>
    <row r="1526" spans="1:10" ht="15.75" thickBot="1">
      <c r="A1526" s="688" t="s">
        <v>4</v>
      </c>
      <c r="B1526" s="688" t="s">
        <v>5</v>
      </c>
      <c r="C1526" s="688" t="s">
        <v>39</v>
      </c>
      <c r="D1526" s="688" t="s">
        <v>40</v>
      </c>
      <c r="E1526" s="688" t="s">
        <v>228</v>
      </c>
      <c r="F1526" s="689" t="s">
        <v>160</v>
      </c>
      <c r="G1526" s="689"/>
      <c r="H1526" s="372" t="s">
        <v>7</v>
      </c>
      <c r="I1526" s="689" t="s">
        <v>159</v>
      </c>
      <c r="J1526" s="689"/>
    </row>
    <row r="1527" spans="1:10" ht="15.75" thickBot="1">
      <c r="A1527" s="688"/>
      <c r="B1527" s="688"/>
      <c r="C1527" s="688"/>
      <c r="D1527" s="688"/>
      <c r="E1527" s="688"/>
      <c r="F1527" s="51" t="s">
        <v>9</v>
      </c>
      <c r="G1527" s="51" t="s">
        <v>10</v>
      </c>
      <c r="H1527" s="51" t="s">
        <v>9</v>
      </c>
      <c r="I1527" s="51" t="s">
        <v>9</v>
      </c>
      <c r="J1527" s="51" t="s">
        <v>10</v>
      </c>
    </row>
    <row r="1528" spans="1:10" ht="15.75" thickBot="1">
      <c r="A1528" s="3">
        <v>1</v>
      </c>
      <c r="B1528" s="1">
        <v>2</v>
      </c>
      <c r="C1528" s="1">
        <v>3</v>
      </c>
      <c r="D1528" s="1">
        <v>4</v>
      </c>
      <c r="E1528" s="1">
        <v>5</v>
      </c>
      <c r="F1528" s="1">
        <v>6</v>
      </c>
      <c r="G1528" s="1">
        <v>7</v>
      </c>
      <c r="H1528" s="1">
        <v>8</v>
      </c>
      <c r="I1528" s="1">
        <v>9</v>
      </c>
      <c r="J1528" s="1">
        <v>10</v>
      </c>
    </row>
    <row r="1529" spans="1:10" ht="15.75" thickBot="1">
      <c r="A1529" s="683" t="s">
        <v>11</v>
      </c>
      <c r="B1529" s="684"/>
      <c r="C1529" s="684"/>
      <c r="D1529" s="684"/>
      <c r="E1529" s="684"/>
      <c r="F1529" s="72"/>
      <c r="G1529" s="72"/>
      <c r="H1529" s="72"/>
      <c r="I1529" s="72"/>
      <c r="J1529" s="73"/>
    </row>
    <row r="1530" spans="1:10">
      <c r="A1530" s="691" t="s">
        <v>41</v>
      </c>
      <c r="B1530" s="692"/>
      <c r="C1530" s="692"/>
      <c r="D1530" s="692"/>
      <c r="E1530" s="692"/>
      <c r="F1530" s="137">
        <f>SUM(F1531:F1532)</f>
        <v>0</v>
      </c>
      <c r="G1530" s="137">
        <f>SUM(G1531:G1532)</f>
        <v>0</v>
      </c>
      <c r="H1530" s="137">
        <f>SUM(H1531:H1532)</f>
        <v>0</v>
      </c>
      <c r="I1530" s="137">
        <f>SUM(I1531:I1532)</f>
        <v>0</v>
      </c>
      <c r="J1530" s="138">
        <f>SUM(J1531:J1532)</f>
        <v>0</v>
      </c>
    </row>
    <row r="1531" spans="1:10">
      <c r="A1531" s="74">
        <v>1</v>
      </c>
      <c r="B1531" s="75"/>
      <c r="C1531" s="76" t="str">
        <f>IF(B1531="","",VLOOKUP(B1531,'Lista articole'!$D$4:$E$2255,2,FALSE))</f>
        <v/>
      </c>
      <c r="D1531" s="77">
        <v>0</v>
      </c>
      <c r="E1531" s="78">
        <f>IF(B1531="",0,VLOOKUP(B1531,'Lista articole'!$D$4:$F$2163,3,FALSE))</f>
        <v>0</v>
      </c>
      <c r="F1531" s="77">
        <f>D1531*E1531</f>
        <v>0</v>
      </c>
      <c r="G1531" s="77">
        <f t="shared" ref="G1531:G1532" si="682">F1531/$H$9</f>
        <v>0</v>
      </c>
      <c r="H1531" s="77">
        <f>F1531*'Date Generale'!$D$58</f>
        <v>0</v>
      </c>
      <c r="I1531" s="77">
        <f>H1531+F1531</f>
        <v>0</v>
      </c>
      <c r="J1531" s="79">
        <f>I1531/$H$9</f>
        <v>0</v>
      </c>
    </row>
    <row r="1532" spans="1:10">
      <c r="A1532" s="74">
        <v>2</v>
      </c>
      <c r="B1532" s="75"/>
      <c r="C1532" s="76" t="str">
        <f>IF(B1532="","",VLOOKUP(B1532,'Lista articole'!$D$4:$E$2255,2,FALSE))</f>
        <v/>
      </c>
      <c r="D1532" s="77">
        <v>0</v>
      </c>
      <c r="E1532" s="78">
        <f>IF(B1532="",0,VLOOKUP(B1532,'Lista articole'!$D$4:$F$2163,3,FALSE))</f>
        <v>0</v>
      </c>
      <c r="F1532" s="77">
        <f>D1532*E1532</f>
        <v>0</v>
      </c>
      <c r="G1532" s="77">
        <f t="shared" si="682"/>
        <v>0</v>
      </c>
      <c r="H1532" s="77">
        <f>F1532*'Date Generale'!$D$58</f>
        <v>0</v>
      </c>
      <c r="I1532" s="77">
        <f>H1532+F1532</f>
        <v>0</v>
      </c>
      <c r="J1532" s="79">
        <f>I1532/$H$9</f>
        <v>0</v>
      </c>
    </row>
    <row r="1533" spans="1:10">
      <c r="A1533" s="693" t="s">
        <v>44</v>
      </c>
      <c r="B1533" s="694"/>
      <c r="C1533" s="694"/>
      <c r="D1533" s="694"/>
      <c r="E1533" s="694"/>
      <c r="F1533" s="56">
        <f>SUM(F1534:F1535)</f>
        <v>0</v>
      </c>
      <c r="G1533" s="56">
        <f>SUM(G1534:G1535)</f>
        <v>0</v>
      </c>
      <c r="H1533" s="56">
        <f>SUM(H1534:H1535)</f>
        <v>0</v>
      </c>
      <c r="I1533" s="56">
        <f>SUM(I1534:I1535)</f>
        <v>0</v>
      </c>
      <c r="J1533" s="57">
        <f>SUM(J1534:J1535)</f>
        <v>0</v>
      </c>
    </row>
    <row r="1534" spans="1:10">
      <c r="A1534" s="80">
        <v>1</v>
      </c>
      <c r="B1534" s="81"/>
      <c r="C1534" s="76" t="str">
        <f>IF(B1534="","",VLOOKUP(B1534,'Lista articole'!$D$4:$E$2255,2,FALSE))</f>
        <v/>
      </c>
      <c r="D1534" s="77">
        <v>0</v>
      </c>
      <c r="E1534" s="78">
        <f>IF(B1534="",0,VLOOKUP(B1534,'Lista articole'!$D$4:$F$2163,3,FALSE))</f>
        <v>0</v>
      </c>
      <c r="F1534" s="77">
        <f t="shared" ref="F1534:F1535" si="683">D1534*E1534</f>
        <v>0</v>
      </c>
      <c r="G1534" s="77">
        <f t="shared" ref="G1534:G1535" si="684">F1534/$H$9</f>
        <v>0</v>
      </c>
      <c r="H1534" s="77">
        <f>F1534*'Date Generale'!$D$58</f>
        <v>0</v>
      </c>
      <c r="I1534" s="77">
        <f t="shared" ref="I1534:I1535" si="685">H1534+F1534</f>
        <v>0</v>
      </c>
      <c r="J1534" s="79">
        <f t="shared" ref="J1534:J1535" si="686">I1534/$H$9</f>
        <v>0</v>
      </c>
    </row>
    <row r="1535" spans="1:10">
      <c r="A1535" s="80">
        <f t="shared" ref="A1535" si="687">A1534+1</f>
        <v>2</v>
      </c>
      <c r="B1535" s="81"/>
      <c r="C1535" s="76" t="str">
        <f>IF(B1535="","",VLOOKUP(B1535,'Lista articole'!$D$4:$E$2255,2,FALSE))</f>
        <v/>
      </c>
      <c r="D1535" s="77">
        <v>0</v>
      </c>
      <c r="E1535" s="78">
        <f>IF(B1535="",0,VLOOKUP(B1535,'Lista articole'!$D$4:$F$2163,3,FALSE))</f>
        <v>0</v>
      </c>
      <c r="F1535" s="77">
        <f t="shared" si="683"/>
        <v>0</v>
      </c>
      <c r="G1535" s="77">
        <f t="shared" si="684"/>
        <v>0</v>
      </c>
      <c r="H1535" s="77">
        <f>F1535*'Date Generale'!$D$58</f>
        <v>0</v>
      </c>
      <c r="I1535" s="77">
        <f t="shared" si="685"/>
        <v>0</v>
      </c>
      <c r="J1535" s="79">
        <f t="shared" si="686"/>
        <v>0</v>
      </c>
    </row>
    <row r="1536" spans="1:10">
      <c r="A1536" s="693" t="s">
        <v>45</v>
      </c>
      <c r="B1536" s="694"/>
      <c r="C1536" s="694"/>
      <c r="D1536" s="694"/>
      <c r="E1536" s="694"/>
      <c r="F1536" s="56">
        <f>SUM(F1537:F1538)</f>
        <v>0</v>
      </c>
      <c r="G1536" s="56">
        <f>SUM(G1537:G1538)</f>
        <v>0</v>
      </c>
      <c r="H1536" s="56">
        <f>SUM(H1537:H1538)</f>
        <v>0</v>
      </c>
      <c r="I1536" s="56">
        <f>SUM(I1537:I1538)</f>
        <v>0</v>
      </c>
      <c r="J1536" s="57">
        <f>SUM(J1537:J1538)</f>
        <v>0</v>
      </c>
    </row>
    <row r="1537" spans="1:10">
      <c r="A1537" s="80">
        <v>1</v>
      </c>
      <c r="B1537" s="81"/>
      <c r="C1537" s="76" t="str">
        <f>IF(B1537="","",VLOOKUP(B1537,'Lista articole'!$D$4:$E$2255,2,FALSE))</f>
        <v/>
      </c>
      <c r="D1537" s="77">
        <v>0</v>
      </c>
      <c r="E1537" s="78">
        <f>IF(B1537="",0,VLOOKUP(B1537,'Lista articole'!$D$4:$F$2163,3,FALSE))</f>
        <v>0</v>
      </c>
      <c r="F1537" s="77">
        <f t="shared" ref="F1537:F1538" si="688">D1537*E1537</f>
        <v>0</v>
      </c>
      <c r="G1537" s="77">
        <f t="shared" ref="G1537:G1538" si="689">F1537/$H$9</f>
        <v>0</v>
      </c>
      <c r="H1537" s="77">
        <f>F1537*'Date Generale'!$D$58</f>
        <v>0</v>
      </c>
      <c r="I1537" s="77">
        <f t="shared" ref="I1537:I1538" si="690">H1537+F1537</f>
        <v>0</v>
      </c>
      <c r="J1537" s="79">
        <f t="shared" ref="J1537:J1538" si="691">I1537/$H$9</f>
        <v>0</v>
      </c>
    </row>
    <row r="1538" spans="1:10">
      <c r="A1538" s="80">
        <v>2</v>
      </c>
      <c r="B1538" s="81"/>
      <c r="C1538" s="76" t="str">
        <f>IF(B1538="","",VLOOKUP(B1538,'Lista articole'!$D$4:$E$2255,2,FALSE))</f>
        <v/>
      </c>
      <c r="D1538" s="77">
        <v>0</v>
      </c>
      <c r="E1538" s="78">
        <f>IF(B1538="",0,VLOOKUP(B1538,'Lista articole'!$D$4:$F$2163,3,FALSE))</f>
        <v>0</v>
      </c>
      <c r="F1538" s="77">
        <f t="shared" si="688"/>
        <v>0</v>
      </c>
      <c r="G1538" s="77">
        <f t="shared" si="689"/>
        <v>0</v>
      </c>
      <c r="H1538" s="77">
        <f>F1538*'Date Generale'!$D$58</f>
        <v>0</v>
      </c>
      <c r="I1538" s="77">
        <f t="shared" si="690"/>
        <v>0</v>
      </c>
      <c r="J1538" s="79">
        <f t="shared" si="691"/>
        <v>0</v>
      </c>
    </row>
    <row r="1539" spans="1:10">
      <c r="A1539" s="693" t="s">
        <v>46</v>
      </c>
      <c r="B1539" s="694"/>
      <c r="C1539" s="694"/>
      <c r="D1539" s="694"/>
      <c r="E1539" s="694"/>
      <c r="F1539" s="56">
        <f>SUM(F1540:F1553)</f>
        <v>0</v>
      </c>
      <c r="G1539" s="56">
        <f>SUM(G1540:G1553)</f>
        <v>0</v>
      </c>
      <c r="H1539" s="56">
        <f>SUM(H1540:H1553)</f>
        <v>0</v>
      </c>
      <c r="I1539" s="56">
        <f>SUM(I1540:I1553)</f>
        <v>0</v>
      </c>
      <c r="J1539" s="57">
        <f>SUM(J1540:J1553)</f>
        <v>0</v>
      </c>
    </row>
    <row r="1540" spans="1:10">
      <c r="A1540" s="80">
        <v>1</v>
      </c>
      <c r="B1540" s="81"/>
      <c r="C1540" s="76" t="str">
        <f>IF(B1540="","",VLOOKUP(B1540,'Lista articole'!$D$4:$E$2255,2,FALSE))</f>
        <v/>
      </c>
      <c r="D1540" s="77">
        <v>0</v>
      </c>
      <c r="E1540" s="78">
        <f>IF(B1540="",0,VLOOKUP(B1540,'Lista articole'!$D$4:$F$2163,3,FALSE))</f>
        <v>0</v>
      </c>
      <c r="F1540" s="77">
        <f t="shared" ref="F1540:F1553" si="692">D1540*E1540</f>
        <v>0</v>
      </c>
      <c r="G1540" s="77">
        <f t="shared" ref="G1540:G1553" si="693">F1540/$H$9</f>
        <v>0</v>
      </c>
      <c r="H1540" s="77">
        <f>F1540*'Date Generale'!$D$58</f>
        <v>0</v>
      </c>
      <c r="I1540" s="77">
        <f t="shared" ref="I1540:I1553" si="694">H1540+F1540</f>
        <v>0</v>
      </c>
      <c r="J1540" s="79">
        <f t="shared" ref="J1540:J1553" si="695">I1540/$H$9</f>
        <v>0</v>
      </c>
    </row>
    <row r="1541" spans="1:10">
      <c r="A1541" s="80">
        <v>2</v>
      </c>
      <c r="B1541" s="81"/>
      <c r="C1541" s="76" t="str">
        <f>IF(B1541="","",VLOOKUP(B1541,'Lista articole'!$D$4:$E$2255,2,FALSE))</f>
        <v/>
      </c>
      <c r="D1541" s="77">
        <v>0</v>
      </c>
      <c r="E1541" s="78">
        <f>IF(B1541="",0,VLOOKUP(B1541,'Lista articole'!$D$4:$F$2163,3,FALSE))</f>
        <v>0</v>
      </c>
      <c r="F1541" s="77">
        <f t="shared" si="692"/>
        <v>0</v>
      </c>
      <c r="G1541" s="77">
        <f t="shared" si="693"/>
        <v>0</v>
      </c>
      <c r="H1541" s="77">
        <f>F1541*'Date Generale'!$D$58</f>
        <v>0</v>
      </c>
      <c r="I1541" s="77">
        <f t="shared" si="694"/>
        <v>0</v>
      </c>
      <c r="J1541" s="79">
        <f t="shared" si="695"/>
        <v>0</v>
      </c>
    </row>
    <row r="1542" spans="1:10">
      <c r="A1542" s="80">
        <v>3</v>
      </c>
      <c r="B1542" s="81"/>
      <c r="C1542" s="76" t="str">
        <f>IF(B1542="","",VLOOKUP(B1542,'Lista articole'!$D$4:$E$2255,2,FALSE))</f>
        <v/>
      </c>
      <c r="D1542" s="77">
        <v>0</v>
      </c>
      <c r="E1542" s="78">
        <f>IF(B1542="",0,VLOOKUP(B1542,'Lista articole'!$D$4:$F$2163,3,FALSE))</f>
        <v>0</v>
      </c>
      <c r="F1542" s="77">
        <f t="shared" si="692"/>
        <v>0</v>
      </c>
      <c r="G1542" s="77">
        <f t="shared" si="693"/>
        <v>0</v>
      </c>
      <c r="H1542" s="77">
        <f>F1542*'Date Generale'!$D$58</f>
        <v>0</v>
      </c>
      <c r="I1542" s="77">
        <f t="shared" si="694"/>
        <v>0</v>
      </c>
      <c r="J1542" s="79">
        <f t="shared" si="695"/>
        <v>0</v>
      </c>
    </row>
    <row r="1543" spans="1:10">
      <c r="A1543" s="80">
        <v>4</v>
      </c>
      <c r="B1543" s="81"/>
      <c r="C1543" s="76" t="str">
        <f>IF(B1543="","",VLOOKUP(B1543,'Lista articole'!$D$4:$E$2255,2,FALSE))</f>
        <v/>
      </c>
      <c r="D1543" s="77">
        <v>0</v>
      </c>
      <c r="E1543" s="78">
        <f>IF(B1543="",0,VLOOKUP(B1543,'Lista articole'!$D$4:$F$2163,3,FALSE))</f>
        <v>0</v>
      </c>
      <c r="F1543" s="77">
        <f t="shared" si="692"/>
        <v>0</v>
      </c>
      <c r="G1543" s="77">
        <f t="shared" si="693"/>
        <v>0</v>
      </c>
      <c r="H1543" s="77">
        <f>F1543*'Date Generale'!$D$58</f>
        <v>0</v>
      </c>
      <c r="I1543" s="77">
        <f t="shared" si="694"/>
        <v>0</v>
      </c>
      <c r="J1543" s="79">
        <f t="shared" si="695"/>
        <v>0</v>
      </c>
    </row>
    <row r="1544" spans="1:10">
      <c r="A1544" s="80">
        <v>5</v>
      </c>
      <c r="B1544" s="81"/>
      <c r="C1544" s="76" t="str">
        <f>IF(B1544="","",VLOOKUP(B1544,'Lista articole'!$D$4:$E$2255,2,FALSE))</f>
        <v/>
      </c>
      <c r="D1544" s="77">
        <v>0</v>
      </c>
      <c r="E1544" s="78">
        <f>IF(B1544="",0,VLOOKUP(B1544,'Lista articole'!$D$4:$F$2163,3,FALSE))</f>
        <v>0</v>
      </c>
      <c r="F1544" s="77">
        <f t="shared" si="692"/>
        <v>0</v>
      </c>
      <c r="G1544" s="77">
        <f t="shared" si="693"/>
        <v>0</v>
      </c>
      <c r="H1544" s="77">
        <f>F1544*'Date Generale'!$D$58</f>
        <v>0</v>
      </c>
      <c r="I1544" s="77">
        <f t="shared" si="694"/>
        <v>0</v>
      </c>
      <c r="J1544" s="79">
        <f t="shared" si="695"/>
        <v>0</v>
      </c>
    </row>
    <row r="1545" spans="1:10">
      <c r="A1545" s="80">
        <v>6</v>
      </c>
      <c r="B1545" s="81"/>
      <c r="C1545" s="76" t="str">
        <f>IF(B1545="","",VLOOKUP(B1545,'Lista articole'!$D$4:$E$2255,2,FALSE))</f>
        <v/>
      </c>
      <c r="D1545" s="77">
        <v>0</v>
      </c>
      <c r="E1545" s="78">
        <f>IF(B1545="",0,VLOOKUP(B1545,'Lista articole'!$D$4:$F$2163,3,FALSE))</f>
        <v>0</v>
      </c>
      <c r="F1545" s="77">
        <f t="shared" si="692"/>
        <v>0</v>
      </c>
      <c r="G1545" s="77">
        <f t="shared" si="693"/>
        <v>0</v>
      </c>
      <c r="H1545" s="77">
        <f>F1545*'Date Generale'!$D$58</f>
        <v>0</v>
      </c>
      <c r="I1545" s="77">
        <f t="shared" si="694"/>
        <v>0</v>
      </c>
      <c r="J1545" s="79">
        <f t="shared" si="695"/>
        <v>0</v>
      </c>
    </row>
    <row r="1546" spans="1:10">
      <c r="A1546" s="80">
        <v>7</v>
      </c>
      <c r="B1546" s="81"/>
      <c r="C1546" s="76" t="str">
        <f>IF(B1546="","",VLOOKUP(B1546,'Lista articole'!$D$4:$E$2255,2,FALSE))</f>
        <v/>
      </c>
      <c r="D1546" s="77">
        <v>0</v>
      </c>
      <c r="E1546" s="78">
        <f>IF(B1546="",0,VLOOKUP(B1546,'Lista articole'!$D$4:$F$2163,3,FALSE))</f>
        <v>0</v>
      </c>
      <c r="F1546" s="77">
        <f t="shared" si="692"/>
        <v>0</v>
      </c>
      <c r="G1546" s="77">
        <f t="shared" si="693"/>
        <v>0</v>
      </c>
      <c r="H1546" s="77">
        <f>F1546*'Date Generale'!$D$58</f>
        <v>0</v>
      </c>
      <c r="I1546" s="77">
        <f t="shared" si="694"/>
        <v>0</v>
      </c>
      <c r="J1546" s="79">
        <f t="shared" si="695"/>
        <v>0</v>
      </c>
    </row>
    <row r="1547" spans="1:10">
      <c r="A1547" s="80">
        <v>8</v>
      </c>
      <c r="B1547" s="81"/>
      <c r="C1547" s="76" t="str">
        <f>IF(B1547="","",VLOOKUP(B1547,'Lista articole'!$D$4:$E$2255,2,FALSE))</f>
        <v/>
      </c>
      <c r="D1547" s="77">
        <v>0</v>
      </c>
      <c r="E1547" s="78">
        <f>IF(B1547="",0,VLOOKUP(B1547,'Lista articole'!$D$4:$F$2163,3,FALSE))</f>
        <v>0</v>
      </c>
      <c r="F1547" s="77">
        <f t="shared" si="692"/>
        <v>0</v>
      </c>
      <c r="G1547" s="77">
        <f t="shared" si="693"/>
        <v>0</v>
      </c>
      <c r="H1547" s="77">
        <f>F1547*'Date Generale'!$D$58</f>
        <v>0</v>
      </c>
      <c r="I1547" s="77">
        <f t="shared" si="694"/>
        <v>0</v>
      </c>
      <c r="J1547" s="79">
        <f t="shared" si="695"/>
        <v>0</v>
      </c>
    </row>
    <row r="1548" spans="1:10">
      <c r="A1548" s="80">
        <v>9</v>
      </c>
      <c r="B1548" s="81"/>
      <c r="C1548" s="76" t="str">
        <f>IF(B1548="","",VLOOKUP(B1548,'Lista articole'!$D$4:$E$2255,2,FALSE))</f>
        <v/>
      </c>
      <c r="D1548" s="77">
        <v>0</v>
      </c>
      <c r="E1548" s="78">
        <f>IF(B1548="",0,VLOOKUP(B1548,'Lista articole'!$D$4:$F$2163,3,FALSE))</f>
        <v>0</v>
      </c>
      <c r="F1548" s="77">
        <f t="shared" si="692"/>
        <v>0</v>
      </c>
      <c r="G1548" s="77">
        <f t="shared" si="693"/>
        <v>0</v>
      </c>
      <c r="H1548" s="77">
        <f>F1548*'Date Generale'!$D$58</f>
        <v>0</v>
      </c>
      <c r="I1548" s="77">
        <f t="shared" si="694"/>
        <v>0</v>
      </c>
      <c r="J1548" s="79">
        <f t="shared" si="695"/>
        <v>0</v>
      </c>
    </row>
    <row r="1549" spans="1:10">
      <c r="A1549" s="80">
        <v>10</v>
      </c>
      <c r="B1549" s="81"/>
      <c r="C1549" s="76" t="str">
        <f>IF(B1549="","",VLOOKUP(B1549,'Lista articole'!$D$4:$E$2255,2,FALSE))</f>
        <v/>
      </c>
      <c r="D1549" s="77">
        <v>0</v>
      </c>
      <c r="E1549" s="78">
        <f>IF(B1549="",0,VLOOKUP(B1549,'Lista articole'!$D$4:$F$2163,3,FALSE))</f>
        <v>0</v>
      </c>
      <c r="F1549" s="77">
        <f t="shared" si="692"/>
        <v>0</v>
      </c>
      <c r="G1549" s="77">
        <f t="shared" si="693"/>
        <v>0</v>
      </c>
      <c r="H1549" s="77">
        <f>F1549*'Date Generale'!$D$58</f>
        <v>0</v>
      </c>
      <c r="I1549" s="77">
        <f t="shared" si="694"/>
        <v>0</v>
      </c>
      <c r="J1549" s="79">
        <f t="shared" si="695"/>
        <v>0</v>
      </c>
    </row>
    <row r="1550" spans="1:10">
      <c r="A1550" s="80">
        <v>11</v>
      </c>
      <c r="B1550" s="81"/>
      <c r="C1550" s="76" t="str">
        <f>IF(B1550="","",VLOOKUP(B1550,'Lista articole'!$D$4:$E$2255,2,FALSE))</f>
        <v/>
      </c>
      <c r="D1550" s="77">
        <v>0</v>
      </c>
      <c r="E1550" s="78">
        <f>IF(B1550="",0,VLOOKUP(B1550,'Lista articole'!$D$4:$F$2163,3,FALSE))</f>
        <v>0</v>
      </c>
      <c r="F1550" s="77">
        <f t="shared" si="692"/>
        <v>0</v>
      </c>
      <c r="G1550" s="77">
        <f t="shared" si="693"/>
        <v>0</v>
      </c>
      <c r="H1550" s="77">
        <f>F1550*'Date Generale'!$D$58</f>
        <v>0</v>
      </c>
      <c r="I1550" s="77">
        <f t="shared" si="694"/>
        <v>0</v>
      </c>
      <c r="J1550" s="79">
        <f t="shared" si="695"/>
        <v>0</v>
      </c>
    </row>
    <row r="1551" spans="1:10">
      <c r="A1551" s="80">
        <v>12</v>
      </c>
      <c r="B1551" s="81"/>
      <c r="C1551" s="76" t="str">
        <f>IF(B1551="","",VLOOKUP(B1551,'Lista articole'!$D$4:$E$2255,2,FALSE))</f>
        <v/>
      </c>
      <c r="D1551" s="77">
        <v>0</v>
      </c>
      <c r="E1551" s="78">
        <f>IF(B1551="",0,VLOOKUP(B1551,'Lista articole'!$D$4:$F$2163,3,FALSE))</f>
        <v>0</v>
      </c>
      <c r="F1551" s="77">
        <f t="shared" si="692"/>
        <v>0</v>
      </c>
      <c r="G1551" s="77">
        <f t="shared" si="693"/>
        <v>0</v>
      </c>
      <c r="H1551" s="77">
        <f>F1551*'Date Generale'!$D$58</f>
        <v>0</v>
      </c>
      <c r="I1551" s="77">
        <f t="shared" si="694"/>
        <v>0</v>
      </c>
      <c r="J1551" s="79">
        <f t="shared" si="695"/>
        <v>0</v>
      </c>
    </row>
    <row r="1552" spans="1:10">
      <c r="A1552" s="80">
        <v>13</v>
      </c>
      <c r="B1552" s="81"/>
      <c r="C1552" s="76" t="str">
        <f>IF(B1552="","",VLOOKUP(B1552,'Lista articole'!$D$4:$E$2255,2,FALSE))</f>
        <v/>
      </c>
      <c r="D1552" s="77">
        <v>0</v>
      </c>
      <c r="E1552" s="78">
        <f>IF(B1552="",0,VLOOKUP(B1552,'Lista articole'!$D$4:$F$2163,3,FALSE))</f>
        <v>0</v>
      </c>
      <c r="F1552" s="77">
        <f t="shared" si="692"/>
        <v>0</v>
      </c>
      <c r="G1552" s="77">
        <f t="shared" si="693"/>
        <v>0</v>
      </c>
      <c r="H1552" s="77">
        <f>F1552*'Date Generale'!$D$58</f>
        <v>0</v>
      </c>
      <c r="I1552" s="77">
        <f t="shared" si="694"/>
        <v>0</v>
      </c>
      <c r="J1552" s="79">
        <f t="shared" si="695"/>
        <v>0</v>
      </c>
    </row>
    <row r="1553" spans="1:10">
      <c r="A1553" s="80">
        <v>14</v>
      </c>
      <c r="B1553" s="81"/>
      <c r="C1553" s="76" t="str">
        <f>IF(B1553="","",VLOOKUP(B1553,'Lista articole'!$D$4:$E$2255,2,FALSE))</f>
        <v/>
      </c>
      <c r="D1553" s="77">
        <v>0</v>
      </c>
      <c r="E1553" s="78">
        <f>IF(B1553="",0,VLOOKUP(B1553,'Lista articole'!$D$4:$F$2163,3,FALSE))</f>
        <v>0</v>
      </c>
      <c r="F1553" s="77">
        <f t="shared" si="692"/>
        <v>0</v>
      </c>
      <c r="G1553" s="77">
        <f t="shared" si="693"/>
        <v>0</v>
      </c>
      <c r="H1553" s="77">
        <f>F1553*'Date Generale'!$D$58</f>
        <v>0</v>
      </c>
      <c r="I1553" s="77">
        <f t="shared" si="694"/>
        <v>0</v>
      </c>
      <c r="J1553" s="79">
        <f t="shared" si="695"/>
        <v>0</v>
      </c>
    </row>
    <row r="1554" spans="1:10">
      <c r="A1554" s="693" t="s">
        <v>50</v>
      </c>
      <c r="B1554" s="694"/>
      <c r="C1554" s="694"/>
      <c r="D1554" s="694"/>
      <c r="E1554" s="694"/>
      <c r="F1554" s="56">
        <f>SUM(F1555:F1556)</f>
        <v>0</v>
      </c>
      <c r="G1554" s="56">
        <f>SUM(G1555:G1556)</f>
        <v>0</v>
      </c>
      <c r="H1554" s="56">
        <f>SUM(H1555:H1556)</f>
        <v>0</v>
      </c>
      <c r="I1554" s="56">
        <f>SUM(I1555:I1556)</f>
        <v>0</v>
      </c>
      <c r="J1554" s="57">
        <f>SUM(J1555:J1556)</f>
        <v>0</v>
      </c>
    </row>
    <row r="1555" spans="1:10">
      <c r="A1555" s="80">
        <v>1</v>
      </c>
      <c r="B1555" s="81"/>
      <c r="C1555" s="76" t="str">
        <f>IF(B1555="","",VLOOKUP(B1555,'Lista articole'!$D$4:$E$2255,2,FALSE))</f>
        <v/>
      </c>
      <c r="D1555" s="77">
        <v>0</v>
      </c>
      <c r="E1555" s="78">
        <f>IF(B1555="",0,VLOOKUP(B1555,'Lista articole'!$D$4:$F$2163,3,FALSE))</f>
        <v>0</v>
      </c>
      <c r="F1555" s="77">
        <f t="shared" ref="F1555:F1556" si="696">D1555*E1555</f>
        <v>0</v>
      </c>
      <c r="G1555" s="77">
        <f t="shared" ref="G1555:G1556" si="697">F1555/$H$9</f>
        <v>0</v>
      </c>
      <c r="H1555" s="77">
        <f>F1555*'Date Generale'!$D$58</f>
        <v>0</v>
      </c>
      <c r="I1555" s="77">
        <f t="shared" ref="I1555:I1556" si="698">H1555+F1555</f>
        <v>0</v>
      </c>
      <c r="J1555" s="79">
        <f t="shared" ref="J1555:J1556" si="699">I1555/$H$9</f>
        <v>0</v>
      </c>
    </row>
    <row r="1556" spans="1:10">
      <c r="A1556" s="74">
        <f>A1555+1</f>
        <v>2</v>
      </c>
      <c r="B1556" s="75"/>
      <c r="C1556" s="76" t="str">
        <f>IF(B1556="","",VLOOKUP(B1556,'Lista articole'!$D$4:$E$2255,2,FALSE))</f>
        <v/>
      </c>
      <c r="D1556" s="77">
        <v>0</v>
      </c>
      <c r="E1556" s="78">
        <f>IF(B1556="",0,VLOOKUP(B1556,'Lista articole'!$D$4:$F$2163,3,FALSE))</f>
        <v>0</v>
      </c>
      <c r="F1556" s="77">
        <f t="shared" si="696"/>
        <v>0</v>
      </c>
      <c r="G1556" s="77">
        <f t="shared" si="697"/>
        <v>0</v>
      </c>
      <c r="H1556" s="77">
        <f>F1556*'Date Generale'!$D$58</f>
        <v>0</v>
      </c>
      <c r="I1556" s="77">
        <f t="shared" si="698"/>
        <v>0</v>
      </c>
      <c r="J1556" s="79">
        <f t="shared" si="699"/>
        <v>0</v>
      </c>
    </row>
    <row r="1557" spans="1:10">
      <c r="A1557" s="693" t="s">
        <v>51</v>
      </c>
      <c r="B1557" s="694"/>
      <c r="C1557" s="694"/>
      <c r="D1557" s="694"/>
      <c r="E1557" s="694"/>
      <c r="F1557" s="56">
        <f>SUM(F1558:F1559)</f>
        <v>0</v>
      </c>
      <c r="G1557" s="56">
        <f>SUM(G1558:G1559)</f>
        <v>0</v>
      </c>
      <c r="H1557" s="56">
        <f>SUM(H1558:H1559)</f>
        <v>0</v>
      </c>
      <c r="I1557" s="56">
        <f>SUM(I1558:I1559)</f>
        <v>0</v>
      </c>
      <c r="J1557" s="57">
        <f>SUM(J1558:J1559)</f>
        <v>0</v>
      </c>
    </row>
    <row r="1558" spans="1:10">
      <c r="A1558" s="80">
        <v>1</v>
      </c>
      <c r="B1558" s="81"/>
      <c r="C1558" s="76" t="str">
        <f>IF(B1558="","",VLOOKUP(B1558,'Lista articole'!$D$4:$E$2255,2,FALSE))</f>
        <v/>
      </c>
      <c r="D1558" s="77">
        <v>0</v>
      </c>
      <c r="E1558" s="78">
        <f>IF(B1558="",0,VLOOKUP(B1558,'Lista articole'!$D$4:$F$2163,3,FALSE))</f>
        <v>0</v>
      </c>
      <c r="F1558" s="77">
        <f t="shared" ref="F1558:F1559" si="700">D1558*E1558</f>
        <v>0</v>
      </c>
      <c r="G1558" s="77">
        <f t="shared" ref="G1558:G1559" si="701">F1558/$H$9</f>
        <v>0</v>
      </c>
      <c r="H1558" s="77">
        <f>F1558*'Date Generale'!$D$58</f>
        <v>0</v>
      </c>
      <c r="I1558" s="77">
        <f t="shared" ref="I1558:I1559" si="702">H1558+F1558</f>
        <v>0</v>
      </c>
      <c r="J1558" s="79">
        <f t="shared" ref="J1558:J1559" si="703">I1558/$H$9</f>
        <v>0</v>
      </c>
    </row>
    <row r="1559" spans="1:10">
      <c r="A1559" s="74">
        <f>A1558+1</f>
        <v>2</v>
      </c>
      <c r="B1559" s="75"/>
      <c r="C1559" s="76" t="str">
        <f>IF(B1559="","",VLOOKUP(B1559,'Lista articole'!$D$4:$E$2255,2,FALSE))</f>
        <v/>
      </c>
      <c r="D1559" s="77">
        <v>0</v>
      </c>
      <c r="E1559" s="78">
        <f>IF(B1559="",0,VLOOKUP(B1559,'Lista articole'!$D$4:$F$2163,3,FALSE))</f>
        <v>0</v>
      </c>
      <c r="F1559" s="77">
        <f t="shared" si="700"/>
        <v>0</v>
      </c>
      <c r="G1559" s="77">
        <f t="shared" si="701"/>
        <v>0</v>
      </c>
      <c r="H1559" s="77">
        <f>F1559*'Date Generale'!$D$58</f>
        <v>0</v>
      </c>
      <c r="I1559" s="77">
        <f t="shared" si="702"/>
        <v>0</v>
      </c>
      <c r="J1559" s="79">
        <f t="shared" si="703"/>
        <v>0</v>
      </c>
    </row>
    <row r="1560" spans="1:10">
      <c r="A1560" s="693" t="s">
        <v>52</v>
      </c>
      <c r="B1560" s="694"/>
      <c r="C1560" s="694"/>
      <c r="D1560" s="694"/>
      <c r="E1560" s="694"/>
      <c r="F1560" s="56">
        <f>SUM(F1561:F1562)</f>
        <v>0</v>
      </c>
      <c r="G1560" s="56">
        <f>SUM(G1561:G1562)</f>
        <v>0</v>
      </c>
      <c r="H1560" s="56">
        <f>SUM(H1561:H1562)</f>
        <v>0</v>
      </c>
      <c r="I1560" s="56">
        <f>SUM(I1561:I1562)</f>
        <v>0</v>
      </c>
      <c r="J1560" s="57">
        <f>SUM(J1561:J1562)</f>
        <v>0</v>
      </c>
    </row>
    <row r="1561" spans="1:10">
      <c r="A1561" s="80">
        <v>1</v>
      </c>
      <c r="B1561" s="81"/>
      <c r="C1561" s="76" t="str">
        <f>IF(B1561="","",VLOOKUP(B1561,'Lista articole'!$D$4:$E$2255,2,FALSE))</f>
        <v/>
      </c>
      <c r="D1561" s="77">
        <v>0</v>
      </c>
      <c r="E1561" s="78">
        <f>IF(B1561="",0,VLOOKUP(B1561,'Lista articole'!$D$4:$F$2163,3,FALSE))</f>
        <v>0</v>
      </c>
      <c r="F1561" s="77">
        <f>D1561*E1561</f>
        <v>0</v>
      </c>
      <c r="G1561" s="77">
        <f>F1561/$H$9</f>
        <v>0</v>
      </c>
      <c r="H1561" s="77">
        <f>F1561*'Date Generale'!$D$58</f>
        <v>0</v>
      </c>
      <c r="I1561" s="77">
        <f t="shared" ref="I1561:I1562" si="704">H1561+F1561</f>
        <v>0</v>
      </c>
      <c r="J1561" s="79">
        <f t="shared" ref="J1561:J1562" si="705">I1561/$H$9</f>
        <v>0</v>
      </c>
    </row>
    <row r="1562" spans="1:10">
      <c r="A1562" s="74">
        <f>A1561+1</f>
        <v>2</v>
      </c>
      <c r="B1562" s="75"/>
      <c r="C1562" s="76" t="str">
        <f>IF(B1562="","",VLOOKUP(B1562,'Lista articole'!$D$4:$E$2255,2,FALSE))</f>
        <v/>
      </c>
      <c r="D1562" s="77">
        <v>0</v>
      </c>
      <c r="E1562" s="78">
        <f>IF(B1562="",0,VLOOKUP(B1562,'Lista articole'!$D$4:$F$2163,3,FALSE))</f>
        <v>0</v>
      </c>
      <c r="F1562" s="77">
        <f t="shared" ref="F1562" si="706">D1562*E1562</f>
        <v>0</v>
      </c>
      <c r="G1562" s="77">
        <f t="shared" ref="G1562" si="707">F1562/$H$9</f>
        <v>0</v>
      </c>
      <c r="H1562" s="77">
        <f>F1562*'Date Generale'!$D$58</f>
        <v>0</v>
      </c>
      <c r="I1562" s="77">
        <f t="shared" si="704"/>
        <v>0</v>
      </c>
      <c r="J1562" s="79">
        <f t="shared" si="705"/>
        <v>0</v>
      </c>
    </row>
    <row r="1563" spans="1:10">
      <c r="A1563" s="693" t="s">
        <v>53</v>
      </c>
      <c r="B1563" s="694"/>
      <c r="C1563" s="694"/>
      <c r="D1563" s="694"/>
      <c r="E1563" s="694"/>
      <c r="F1563" s="56">
        <f>SUM(F1564:F1565)</f>
        <v>0</v>
      </c>
      <c r="G1563" s="56">
        <f>SUM(G1564:G1565)</f>
        <v>0</v>
      </c>
      <c r="H1563" s="56">
        <f>SUM(H1564:H1565)</f>
        <v>0</v>
      </c>
      <c r="I1563" s="56">
        <f>SUM(I1564:I1565)</f>
        <v>0</v>
      </c>
      <c r="J1563" s="57">
        <f>SUM(J1564:J1565)</f>
        <v>0</v>
      </c>
    </row>
    <row r="1564" spans="1:10">
      <c r="A1564" s="80">
        <v>1</v>
      </c>
      <c r="B1564" s="81"/>
      <c r="C1564" s="76" t="str">
        <f>IF(B1564="","",VLOOKUP(B1564,'Lista articole'!$D$4:$E$2255,2,FALSE))</f>
        <v/>
      </c>
      <c r="D1564" s="77">
        <v>0</v>
      </c>
      <c r="E1564" s="78">
        <f>IF(B1564="",0,VLOOKUP(B1564,'Lista articole'!$D$4:$F$2163,3,FALSE))</f>
        <v>0</v>
      </c>
      <c r="F1564" s="77">
        <f>D1564*E1564</f>
        <v>0</v>
      </c>
      <c r="G1564" s="77">
        <f>F1564/$H$9</f>
        <v>0</v>
      </c>
      <c r="H1564" s="77">
        <f>F1564*'Date Generale'!$D$58</f>
        <v>0</v>
      </c>
      <c r="I1564" s="77">
        <f t="shared" ref="I1564:I1565" si="708">H1564+F1564</f>
        <v>0</v>
      </c>
      <c r="J1564" s="79">
        <f t="shared" ref="J1564:J1565" si="709">I1564/$H$9</f>
        <v>0</v>
      </c>
    </row>
    <row r="1565" spans="1:10" ht="15.75" thickBot="1">
      <c r="A1565" s="139">
        <f>A1564+1</f>
        <v>2</v>
      </c>
      <c r="B1565" s="140"/>
      <c r="C1565" s="141" t="str">
        <f>IF(B1565="","",VLOOKUP(B1565,'Lista articole'!$D$4:$E$2255,2,FALSE))</f>
        <v/>
      </c>
      <c r="D1565" s="142">
        <v>0</v>
      </c>
      <c r="E1565" s="143">
        <f>IF(B1565="",0,VLOOKUP(B1565,'Lista articole'!$D$4:$F$2163,3,FALSE))</f>
        <v>0</v>
      </c>
      <c r="F1565" s="142">
        <f t="shared" ref="F1565" si="710">D1565*E1565</f>
        <v>0</v>
      </c>
      <c r="G1565" s="142">
        <f t="shared" ref="G1565" si="711">F1565/$H$9</f>
        <v>0</v>
      </c>
      <c r="H1565" s="142">
        <f>F1565*'Date Generale'!$D$58</f>
        <v>0</v>
      </c>
      <c r="I1565" s="142">
        <f t="shared" si="708"/>
        <v>0</v>
      </c>
      <c r="J1565" s="144">
        <f t="shared" si="709"/>
        <v>0</v>
      </c>
    </row>
    <row r="1566" spans="1:10" ht="15.75" thickBot="1">
      <c r="A1566" s="685" t="s">
        <v>27</v>
      </c>
      <c r="B1566" s="686"/>
      <c r="C1566" s="686"/>
      <c r="D1566" s="686"/>
      <c r="E1566" s="686"/>
      <c r="F1566" s="82">
        <f>SUM(F1530,F1533,F1536,F1539,F1554,F1557,F1560,F1563)</f>
        <v>0</v>
      </c>
      <c r="G1566" s="82">
        <f>SUM(G1530,G1533,G1536,G1539,G1554,G1557,G1560,G1563)</f>
        <v>0</v>
      </c>
      <c r="H1566" s="82">
        <f>SUM(H1530,H1533,H1536,H1539,H1554,H1557,H1560,H1563)</f>
        <v>0</v>
      </c>
      <c r="I1566" s="82">
        <f>SUM(I1530,I1533,I1536,I1539,I1554,I1557,I1560,I1563)</f>
        <v>0</v>
      </c>
      <c r="J1566" s="83">
        <f>SUM(J1530,J1533,J1536,J1539,J1554,J1557,J1560,J1563)</f>
        <v>0</v>
      </c>
    </row>
    <row r="1567" spans="1:10" ht="15.75" thickBot="1">
      <c r="A1567" s="683" t="s">
        <v>28</v>
      </c>
      <c r="B1567" s="684"/>
      <c r="C1567" s="684"/>
      <c r="D1567" s="684"/>
      <c r="E1567" s="684"/>
      <c r="F1567" s="72"/>
      <c r="G1567" s="72"/>
      <c r="H1567" s="72"/>
      <c r="I1567" s="72"/>
      <c r="J1567" s="73"/>
    </row>
    <row r="1568" spans="1:10">
      <c r="A1568" s="145"/>
      <c r="B1568" s="695" t="s">
        <v>29</v>
      </c>
      <c r="C1568" s="695"/>
      <c r="D1568" s="695"/>
      <c r="E1568" s="695"/>
      <c r="F1568" s="146">
        <f>SUM(F1569:F1570)</f>
        <v>0</v>
      </c>
      <c r="G1568" s="146">
        <f>SUM(G1569:G1570)</f>
        <v>0</v>
      </c>
      <c r="H1568" s="146">
        <f>SUM(H1569:H1570)</f>
        <v>0</v>
      </c>
      <c r="I1568" s="146">
        <f>SUM(I1569:I1570)</f>
        <v>0</v>
      </c>
      <c r="J1568" s="147">
        <f>SUM(J1569:J1570)</f>
        <v>0</v>
      </c>
    </row>
    <row r="1569" spans="1:10">
      <c r="A1569" s="80">
        <v>1</v>
      </c>
      <c r="B1569" s="81"/>
      <c r="C1569" s="76" t="str">
        <f>IF(B1569="","",VLOOKUP(B1569,'Lista articole'!$D$4:$E$2255,2,FALSE))</f>
        <v/>
      </c>
      <c r="D1569" s="77">
        <v>0</v>
      </c>
      <c r="E1569" s="78">
        <f>IF(B1569="",0,VLOOKUP(B1569,'Lista articole'!$D$4:$F$2163,3,FALSE))</f>
        <v>0</v>
      </c>
      <c r="F1569" s="77">
        <f>D1569*E1569</f>
        <v>0</v>
      </c>
      <c r="G1569" s="77">
        <f>F1569/$H$9</f>
        <v>0</v>
      </c>
      <c r="H1569" s="77">
        <f>F1569*'Date Generale'!$D$58</f>
        <v>0</v>
      </c>
      <c r="I1569" s="77">
        <f t="shared" ref="I1569:I1570" si="712">H1569+F1569</f>
        <v>0</v>
      </c>
      <c r="J1569" s="79">
        <f t="shared" ref="J1569:J1570" si="713">I1569/$H$9</f>
        <v>0</v>
      </c>
    </row>
    <row r="1570" spans="1:10" ht="15.75" thickBot="1">
      <c r="A1570" s="139">
        <f>A1569+1</f>
        <v>2</v>
      </c>
      <c r="B1570" s="140"/>
      <c r="C1570" s="141" t="str">
        <f>IF(B1570="","",VLOOKUP(B1570,'Lista articole'!$D$4:$E$2255,2,FALSE))</f>
        <v/>
      </c>
      <c r="D1570" s="142">
        <v>0</v>
      </c>
      <c r="E1570" s="143">
        <f>IF(B1570="",0,VLOOKUP(B1570,'Lista articole'!$D$4:$F$2163,3,FALSE))</f>
        <v>0</v>
      </c>
      <c r="F1570" s="142">
        <f t="shared" ref="F1570" si="714">D1570*E1570</f>
        <v>0</v>
      </c>
      <c r="G1570" s="142">
        <f t="shared" ref="G1570" si="715">F1570/$H$9</f>
        <v>0</v>
      </c>
      <c r="H1570" s="142">
        <f>F1570*'Date Generale'!$D$58</f>
        <v>0</v>
      </c>
      <c r="I1570" s="142">
        <f t="shared" si="712"/>
        <v>0</v>
      </c>
      <c r="J1570" s="144">
        <f t="shared" si="713"/>
        <v>0</v>
      </c>
    </row>
    <row r="1571" spans="1:10" ht="15.75" thickBot="1">
      <c r="A1571" s="685" t="s">
        <v>30</v>
      </c>
      <c r="B1571" s="686"/>
      <c r="C1571" s="686"/>
      <c r="D1571" s="686"/>
      <c r="E1571" s="686"/>
      <c r="F1571" s="85">
        <f>F1568</f>
        <v>0</v>
      </c>
      <c r="G1571" s="85">
        <f>G1568</f>
        <v>0</v>
      </c>
      <c r="H1571" s="85">
        <f>H1568</f>
        <v>0</v>
      </c>
      <c r="I1571" s="85">
        <f>I1568</f>
        <v>0</v>
      </c>
      <c r="J1571" s="86">
        <f>J1568</f>
        <v>0</v>
      </c>
    </row>
    <row r="1572" spans="1:10" ht="15.75" thickBot="1">
      <c r="A1572" s="683" t="s">
        <v>31</v>
      </c>
      <c r="B1572" s="684"/>
      <c r="C1572" s="684"/>
      <c r="D1572" s="684"/>
      <c r="E1572" s="684"/>
      <c r="F1572" s="72"/>
      <c r="G1572" s="72"/>
      <c r="H1572" s="72"/>
      <c r="I1572" s="72"/>
      <c r="J1572" s="73"/>
    </row>
    <row r="1573" spans="1:10">
      <c r="A1573" s="145"/>
      <c r="B1573" s="695" t="s">
        <v>32</v>
      </c>
      <c r="C1573" s="695"/>
      <c r="D1573" s="695"/>
      <c r="E1573" s="695"/>
      <c r="F1573" s="148">
        <f>SUM(F1574:F1575)</f>
        <v>0</v>
      </c>
      <c r="G1573" s="148">
        <f>SUM(G1574:G1575)</f>
        <v>0</v>
      </c>
      <c r="H1573" s="148">
        <f>SUM(H1574:H1575)</f>
        <v>0</v>
      </c>
      <c r="I1573" s="148">
        <f>SUM(I1574:I1575)</f>
        <v>0</v>
      </c>
      <c r="J1573" s="149">
        <f>SUM(J1574:J1575)</f>
        <v>0</v>
      </c>
    </row>
    <row r="1574" spans="1:10">
      <c r="A1574" s="80">
        <v>1</v>
      </c>
      <c r="B1574" s="81"/>
      <c r="C1574" s="76" t="str">
        <f>IF(B1574="","",VLOOKUP(B1574,'Lista articole'!$D$4:$E$2255,2,FALSE))</f>
        <v/>
      </c>
      <c r="D1574" s="77">
        <v>0</v>
      </c>
      <c r="E1574" s="78">
        <f>IF(B1574="",0,VLOOKUP(B1574,'Lista articole'!$D$4:$F$2163,3,FALSE))</f>
        <v>0</v>
      </c>
      <c r="F1574" s="77">
        <f>D1574*E1574</f>
        <v>0</v>
      </c>
      <c r="G1574" s="77">
        <f>F1574/$H$9</f>
        <v>0</v>
      </c>
      <c r="H1574" s="77">
        <f>F1574*'Date Generale'!$D$58</f>
        <v>0</v>
      </c>
      <c r="I1574" s="77">
        <f t="shared" ref="I1574:I1575" si="716">H1574+F1574</f>
        <v>0</v>
      </c>
      <c r="J1574" s="79">
        <f t="shared" ref="J1574:J1575" si="717">I1574/$H$9</f>
        <v>0</v>
      </c>
    </row>
    <row r="1575" spans="1:10">
      <c r="A1575" s="74">
        <f>A1574+1</f>
        <v>2</v>
      </c>
      <c r="B1575" s="75"/>
      <c r="C1575" s="76" t="str">
        <f>IF(B1575="","",VLOOKUP(B1575,'Lista articole'!$D$4:$E$2255,2,FALSE))</f>
        <v/>
      </c>
      <c r="D1575" s="77">
        <v>0</v>
      </c>
      <c r="E1575" s="78">
        <f>IF(B1575="",0,VLOOKUP(B1575,'Lista articole'!$D$4:$F$2163,3,FALSE))</f>
        <v>0</v>
      </c>
      <c r="F1575" s="77">
        <f t="shared" ref="F1575" si="718">D1575*E1575</f>
        <v>0</v>
      </c>
      <c r="G1575" s="77">
        <f t="shared" ref="G1575" si="719">F1575/$H$9</f>
        <v>0</v>
      </c>
      <c r="H1575" s="77">
        <f>F1575*'Date Generale'!$D$58</f>
        <v>0</v>
      </c>
      <c r="I1575" s="77">
        <f t="shared" si="716"/>
        <v>0</v>
      </c>
      <c r="J1575" s="79">
        <f t="shared" si="717"/>
        <v>0</v>
      </c>
    </row>
    <row r="1576" spans="1:10">
      <c r="A1576" s="87"/>
      <c r="B1576" s="696" t="s">
        <v>33</v>
      </c>
      <c r="C1576" s="696"/>
      <c r="D1576" s="696"/>
      <c r="E1576" s="696"/>
      <c r="F1576" s="88">
        <f>SUM(F1577:F1578)</f>
        <v>0</v>
      </c>
      <c r="G1576" s="88">
        <f>SUM(G1577:G1578)</f>
        <v>0</v>
      </c>
      <c r="H1576" s="88">
        <f>SUM(H1577:H1578)</f>
        <v>0</v>
      </c>
      <c r="I1576" s="88">
        <f>SUM(I1577:I1578)</f>
        <v>0</v>
      </c>
      <c r="J1576" s="89">
        <f>SUM(J1577:J1578)</f>
        <v>0</v>
      </c>
    </row>
    <row r="1577" spans="1:10">
      <c r="A1577" s="80">
        <v>1</v>
      </c>
      <c r="B1577" s="81"/>
      <c r="C1577" s="76" t="str">
        <f>IF(B1577="","",VLOOKUP(B1577,'Lista articole'!$D$4:$E$2255,2,FALSE))</f>
        <v/>
      </c>
      <c r="D1577" s="77">
        <v>0</v>
      </c>
      <c r="E1577" s="78">
        <f>IF(B1577="",0,VLOOKUP(B1577,'Lista articole'!$D$4:$F$2163,3,FALSE))</f>
        <v>0</v>
      </c>
      <c r="F1577" s="77">
        <f>D1577*E1577</f>
        <v>0</v>
      </c>
      <c r="G1577" s="77">
        <f>F1577/$H$9</f>
        <v>0</v>
      </c>
      <c r="H1577" s="77">
        <f>F1577*'Date Generale'!$D$58</f>
        <v>0</v>
      </c>
      <c r="I1577" s="77">
        <f t="shared" ref="I1577:I1578" si="720">H1577+F1577</f>
        <v>0</v>
      </c>
      <c r="J1577" s="79">
        <f t="shared" ref="J1577:J1578" si="721">I1577/$H$9</f>
        <v>0</v>
      </c>
    </row>
    <row r="1578" spans="1:10">
      <c r="A1578" s="74">
        <f>A1577+1</f>
        <v>2</v>
      </c>
      <c r="B1578" s="75"/>
      <c r="C1578" s="76" t="str">
        <f>IF(B1578="","",VLOOKUP(B1578,'Lista articole'!$D$4:$E$2255,2,FALSE))</f>
        <v/>
      </c>
      <c r="D1578" s="77">
        <v>0</v>
      </c>
      <c r="E1578" s="78">
        <f>IF(B1578="",0,VLOOKUP(B1578,'Lista articole'!$D$4:$F$2163,3,FALSE))</f>
        <v>0</v>
      </c>
      <c r="F1578" s="77">
        <f t="shared" ref="F1578" si="722">D1578*E1578</f>
        <v>0</v>
      </c>
      <c r="G1578" s="77">
        <f t="shared" ref="G1578" si="723">F1578/$H$9</f>
        <v>0</v>
      </c>
      <c r="H1578" s="77">
        <f>F1578*'Date Generale'!$D$58</f>
        <v>0</v>
      </c>
      <c r="I1578" s="77">
        <f t="shared" si="720"/>
        <v>0</v>
      </c>
      <c r="J1578" s="79">
        <f t="shared" si="721"/>
        <v>0</v>
      </c>
    </row>
    <row r="1579" spans="1:10">
      <c r="A1579" s="87"/>
      <c r="B1579" s="696" t="s">
        <v>34</v>
      </c>
      <c r="C1579" s="696"/>
      <c r="D1579" s="696"/>
      <c r="E1579" s="696"/>
      <c r="F1579" s="88">
        <f>SUM(F1580:F1581)</f>
        <v>0</v>
      </c>
      <c r="G1579" s="88">
        <f>SUM(G1580:G1581)</f>
        <v>0</v>
      </c>
      <c r="H1579" s="88">
        <f>SUM(H1580:H1581)</f>
        <v>0</v>
      </c>
      <c r="I1579" s="88">
        <f>SUM(I1580:I1581)</f>
        <v>0</v>
      </c>
      <c r="J1579" s="89">
        <f>SUM(J1580:J1581)</f>
        <v>0</v>
      </c>
    </row>
    <row r="1580" spans="1:10">
      <c r="A1580" s="80">
        <v>1</v>
      </c>
      <c r="B1580" s="81"/>
      <c r="C1580" s="76" t="str">
        <f>IF(B1580="","",VLOOKUP(B1580,'Lista articole'!$D$4:$E$2255,2,FALSE))</f>
        <v/>
      </c>
      <c r="D1580" s="77">
        <v>0</v>
      </c>
      <c r="E1580" s="78">
        <f>IF(B1580="",0,VLOOKUP(B1580,'Lista articole'!$D$4:$F$2163,3,FALSE))</f>
        <v>0</v>
      </c>
      <c r="F1580" s="77">
        <f>D1580*E1580</f>
        <v>0</v>
      </c>
      <c r="G1580" s="77">
        <f>F1580/$H$9</f>
        <v>0</v>
      </c>
      <c r="H1580" s="77">
        <f>F1580*'Date Generale'!$D$58</f>
        <v>0</v>
      </c>
      <c r="I1580" s="77">
        <f t="shared" ref="I1580:I1581" si="724">H1580+F1580</f>
        <v>0</v>
      </c>
      <c r="J1580" s="79">
        <f t="shared" ref="J1580:J1581" si="725">I1580/$H$9</f>
        <v>0</v>
      </c>
    </row>
    <row r="1581" spans="1:10" ht="15.75" thickBot="1">
      <c r="A1581" s="139">
        <f>A1580+1</f>
        <v>2</v>
      </c>
      <c r="B1581" s="140"/>
      <c r="C1581" s="141" t="str">
        <f>IF(B1581="","",VLOOKUP(B1581,'Lista articole'!$D$4:$E$2255,2,FALSE))</f>
        <v/>
      </c>
      <c r="D1581" s="142">
        <v>0</v>
      </c>
      <c r="E1581" s="143">
        <f>IF(B1581="",0,VLOOKUP(B1581,'Lista articole'!$D$4:$F$2163,3,FALSE))</f>
        <v>0</v>
      </c>
      <c r="F1581" s="142">
        <f t="shared" ref="F1581" si="726">D1581*E1581</f>
        <v>0</v>
      </c>
      <c r="G1581" s="142">
        <f t="shared" ref="G1581" si="727">F1581/$H$9</f>
        <v>0</v>
      </c>
      <c r="H1581" s="142">
        <f>F1581*'Date Generale'!$D$58</f>
        <v>0</v>
      </c>
      <c r="I1581" s="142">
        <f t="shared" si="724"/>
        <v>0</v>
      </c>
      <c r="J1581" s="144">
        <f t="shared" si="725"/>
        <v>0</v>
      </c>
    </row>
    <row r="1582" spans="1:10" ht="15.75" thickBot="1">
      <c r="A1582" s="685" t="s">
        <v>35</v>
      </c>
      <c r="B1582" s="686"/>
      <c r="C1582" s="686"/>
      <c r="D1582" s="686"/>
      <c r="E1582" s="686"/>
      <c r="F1582" s="62">
        <f>SUM(F1579,F1576,F1573)</f>
        <v>0</v>
      </c>
      <c r="G1582" s="62">
        <f>SUM(G1579,G1576,G1573)</f>
        <v>0</v>
      </c>
      <c r="H1582" s="62">
        <f>SUM(H1579,H1576,H1573)</f>
        <v>0</v>
      </c>
      <c r="I1582" s="62">
        <f>SUM(I1579,I1576,I1573)</f>
        <v>0</v>
      </c>
      <c r="J1582" s="63">
        <f>SUM(J1579,J1576,J1573)</f>
        <v>0</v>
      </c>
    </row>
    <row r="1583" spans="1:10">
      <c r="A1583" s="38"/>
      <c r="B1583" s="39"/>
      <c r="C1583" s="39"/>
      <c r="D1583" s="39"/>
      <c r="E1583" s="39"/>
      <c r="F1583" s="39"/>
      <c r="G1583" s="39"/>
      <c r="H1583" s="39"/>
      <c r="I1583" s="39"/>
      <c r="J1583" s="39"/>
    </row>
    <row r="1584" spans="1:10">
      <c r="A1584" s="38"/>
      <c r="C1584" s="42"/>
      <c r="D1584" s="42"/>
      <c r="E1584" s="42"/>
      <c r="F1584" s="42"/>
      <c r="G1584" s="42"/>
      <c r="H1584" s="42"/>
      <c r="I1584" s="42"/>
      <c r="J1584" s="42"/>
    </row>
    <row r="1585" spans="1:11" ht="18.75">
      <c r="A1585" s="42"/>
      <c r="B1585" s="90" t="s">
        <v>37</v>
      </c>
      <c r="C1585" s="42"/>
      <c r="D1585" s="42"/>
      <c r="E1585" s="42"/>
      <c r="F1585" s="42"/>
      <c r="G1585" s="42"/>
      <c r="H1585" s="42"/>
      <c r="I1585" s="42"/>
      <c r="J1585" s="42"/>
    </row>
    <row r="1586" spans="1:11" ht="18.75">
      <c r="A1586" s="38"/>
      <c r="B1586" s="90" t="str">
        <f>'Date Generale'!$C$7</f>
        <v>S.C. Tehno Consoulting Solutions S.R.L.</v>
      </c>
      <c r="C1586" s="39"/>
      <c r="D1586" s="39"/>
      <c r="E1586" s="39"/>
      <c r="F1586" s="39"/>
      <c r="G1586" s="39"/>
      <c r="H1586" s="39"/>
      <c r="I1586" s="39"/>
      <c r="J1586" s="39"/>
    </row>
    <row r="1587" spans="1:11">
      <c r="A1587" s="35"/>
      <c r="B1587" s="93"/>
      <c r="C1587" s="94"/>
      <c r="D1587" s="95"/>
      <c r="E1587" s="96"/>
      <c r="F1587" s="96"/>
      <c r="G1587" s="95"/>
      <c r="H1587" s="95"/>
      <c r="I1587" s="95"/>
      <c r="J1587" s="95"/>
    </row>
    <row r="1588" spans="1:11">
      <c r="A1588" s="35"/>
      <c r="B1588" s="93"/>
      <c r="C1588" s="94"/>
      <c r="D1588" s="95"/>
      <c r="E1588" s="96"/>
      <c r="F1588" s="96"/>
      <c r="G1588" s="95"/>
      <c r="H1588" s="95"/>
      <c r="I1588" s="95"/>
      <c r="J1588" s="95"/>
    </row>
    <row r="1589" spans="1:11">
      <c r="A1589" s="35"/>
      <c r="B1589" s="98"/>
      <c r="C1589" s="94"/>
      <c r="D1589" s="95"/>
      <c r="E1589" s="96"/>
      <c r="F1589" s="96"/>
      <c r="G1589" s="95"/>
      <c r="H1589" s="95"/>
      <c r="I1589" s="95"/>
      <c r="J1589" s="95"/>
      <c r="K1589" s="67"/>
    </row>
    <row r="1590" spans="1:11" ht="15.75">
      <c r="A1590" s="41" t="str">
        <f>"Beneficiar: " &amp;'Date Generale'!$C$6</f>
        <v xml:space="preserve">Beneficiar: Judetul Arges </v>
      </c>
      <c r="B1590" s="41"/>
      <c r="C1590" s="42"/>
      <c r="D1590" s="42"/>
      <c r="E1590" s="69"/>
      <c r="F1590" s="42"/>
      <c r="G1590" s="42"/>
      <c r="H1590" s="42"/>
      <c r="I1590" s="42"/>
      <c r="J1590" s="42"/>
    </row>
    <row r="1591" spans="1:11" ht="15.75">
      <c r="A1591" s="41" t="str">
        <f>"Denumire proiect: " &amp; 'Date Generale'!$C$3</f>
        <v>Denumire proiect: Modernizare DJ 703B Serbanesti (DJ659) - Silistea, km 70+410 - 77+826, 7.416km, in comunele Rociu si Cateasca</v>
      </c>
      <c r="B1591" s="41"/>
      <c r="C1591" s="44"/>
      <c r="D1591" s="44"/>
      <c r="E1591" s="44"/>
      <c r="F1591" s="44"/>
      <c r="G1591" s="44"/>
      <c r="H1591" s="44"/>
      <c r="I1591" s="44"/>
      <c r="J1591" s="44"/>
    </row>
    <row r="1592" spans="1:11" ht="15.75">
      <c r="A1592" s="41"/>
      <c r="B1592" s="41"/>
      <c r="C1592" s="44"/>
      <c r="D1592" s="44"/>
      <c r="E1592" s="44"/>
      <c r="F1592" s="44"/>
      <c r="G1592" s="44"/>
      <c r="H1592" s="44"/>
      <c r="I1592" s="44"/>
      <c r="J1592" s="44"/>
    </row>
    <row r="1593" spans="1:11" ht="15.75">
      <c r="A1593" s="41" t="str">
        <f>'Date Generale'!$E$81</f>
        <v>Obiect 021:0</v>
      </c>
      <c r="B1593" s="41"/>
      <c r="C1593" s="44"/>
      <c r="D1593" s="44"/>
      <c r="E1593" s="44"/>
      <c r="F1593" s="44"/>
      <c r="G1593" s="44"/>
      <c r="H1593" s="44"/>
      <c r="I1593" s="44"/>
      <c r="J1593" s="44"/>
    </row>
    <row r="1594" spans="1:11" ht="15.75">
      <c r="A1594" s="70"/>
      <c r="B1594" s="44"/>
      <c r="C1594" s="44"/>
      <c r="D1594" s="44"/>
      <c r="E1594" s="44"/>
      <c r="F1594" s="44"/>
      <c r="G1594" s="44"/>
      <c r="H1594" s="44"/>
      <c r="I1594" s="44"/>
      <c r="J1594" s="44"/>
    </row>
    <row r="1595" spans="1:11">
      <c r="A1595" s="687" t="s">
        <v>38</v>
      </c>
      <c r="B1595" s="687"/>
      <c r="C1595" s="687"/>
      <c r="D1595" s="687"/>
      <c r="E1595" s="687"/>
      <c r="F1595" s="687"/>
      <c r="G1595" s="687"/>
      <c r="H1595" s="687"/>
      <c r="I1595" s="687"/>
      <c r="J1595" s="687"/>
    </row>
    <row r="1596" spans="1:11">
      <c r="A1596" s="371"/>
      <c r="B1596" s="371"/>
      <c r="C1596" s="371"/>
      <c r="D1596" s="371"/>
      <c r="E1596" s="371"/>
      <c r="F1596" s="371"/>
      <c r="G1596" s="371"/>
      <c r="H1596" s="371"/>
      <c r="I1596" s="371"/>
      <c r="J1596" s="371"/>
    </row>
    <row r="1597" spans="1:11" ht="15.75" thickBot="1">
      <c r="A1597" s="42"/>
      <c r="B1597" s="46"/>
      <c r="C1597" s="71"/>
      <c r="D1597" s="71"/>
      <c r="E1597" s="71"/>
      <c r="F1597" s="33"/>
      <c r="G1597" s="47" t="s">
        <v>2</v>
      </c>
      <c r="H1597" s="48">
        <f>'Date Generale'!$C$54</f>
        <v>4.7233000000000001</v>
      </c>
      <c r="I1597" s="49" t="s">
        <v>3</v>
      </c>
      <c r="J1597" s="50" t="str">
        <f>'Date Generale'!$D$54</f>
        <v>21,06,2019</v>
      </c>
    </row>
    <row r="1598" spans="1:11" ht="15.75" thickBot="1">
      <c r="A1598" s="688" t="s">
        <v>4</v>
      </c>
      <c r="B1598" s="688" t="s">
        <v>5</v>
      </c>
      <c r="C1598" s="688" t="s">
        <v>39</v>
      </c>
      <c r="D1598" s="688" t="s">
        <v>40</v>
      </c>
      <c r="E1598" s="688" t="s">
        <v>228</v>
      </c>
      <c r="F1598" s="689" t="s">
        <v>160</v>
      </c>
      <c r="G1598" s="689"/>
      <c r="H1598" s="372" t="s">
        <v>7</v>
      </c>
      <c r="I1598" s="689" t="s">
        <v>159</v>
      </c>
      <c r="J1598" s="689"/>
    </row>
    <row r="1599" spans="1:11" ht="15.75" thickBot="1">
      <c r="A1599" s="688"/>
      <c r="B1599" s="688"/>
      <c r="C1599" s="688"/>
      <c r="D1599" s="688"/>
      <c r="E1599" s="688"/>
      <c r="F1599" s="51" t="s">
        <v>9</v>
      </c>
      <c r="G1599" s="51" t="s">
        <v>10</v>
      </c>
      <c r="H1599" s="51" t="s">
        <v>9</v>
      </c>
      <c r="I1599" s="51" t="s">
        <v>9</v>
      </c>
      <c r="J1599" s="51" t="s">
        <v>10</v>
      </c>
    </row>
    <row r="1600" spans="1:11" ht="15.75" thickBot="1">
      <c r="A1600" s="3">
        <v>1</v>
      </c>
      <c r="B1600" s="1">
        <v>2</v>
      </c>
      <c r="C1600" s="1">
        <v>3</v>
      </c>
      <c r="D1600" s="1">
        <v>4</v>
      </c>
      <c r="E1600" s="1">
        <v>5</v>
      </c>
      <c r="F1600" s="1">
        <v>6</v>
      </c>
      <c r="G1600" s="1">
        <v>7</v>
      </c>
      <c r="H1600" s="1">
        <v>8</v>
      </c>
      <c r="I1600" s="1">
        <v>9</v>
      </c>
      <c r="J1600" s="1">
        <v>10</v>
      </c>
    </row>
    <row r="1601" spans="1:10" ht="15.75" thickBot="1">
      <c r="A1601" s="683" t="s">
        <v>11</v>
      </c>
      <c r="B1601" s="684"/>
      <c r="C1601" s="684"/>
      <c r="D1601" s="684"/>
      <c r="E1601" s="684"/>
      <c r="F1601" s="72"/>
      <c r="G1601" s="72"/>
      <c r="H1601" s="72"/>
      <c r="I1601" s="72"/>
      <c r="J1601" s="73"/>
    </row>
    <row r="1602" spans="1:10">
      <c r="A1602" s="691" t="s">
        <v>41</v>
      </c>
      <c r="B1602" s="692"/>
      <c r="C1602" s="692"/>
      <c r="D1602" s="692"/>
      <c r="E1602" s="692"/>
      <c r="F1602" s="137">
        <f>SUM(F1603:F1604)</f>
        <v>0</v>
      </c>
      <c r="G1602" s="137">
        <f>SUM(G1603:G1604)</f>
        <v>0</v>
      </c>
      <c r="H1602" s="137">
        <f>SUM(H1603:H1604)</f>
        <v>0</v>
      </c>
      <c r="I1602" s="137">
        <f>SUM(I1603:I1604)</f>
        <v>0</v>
      </c>
      <c r="J1602" s="138">
        <f>SUM(J1603:J1604)</f>
        <v>0</v>
      </c>
    </row>
    <row r="1603" spans="1:10">
      <c r="A1603" s="74">
        <v>1</v>
      </c>
      <c r="B1603" s="75"/>
      <c r="C1603" s="76" t="str">
        <f>IF(B1603="","",VLOOKUP(B1603,'Lista articole'!$D$4:$E$2255,2,FALSE))</f>
        <v/>
      </c>
      <c r="D1603" s="77">
        <v>0</v>
      </c>
      <c r="E1603" s="78">
        <f>IF(B1603="",0,VLOOKUP(B1603,'Lista articole'!$D$4:$F$2163,3,FALSE))</f>
        <v>0</v>
      </c>
      <c r="F1603" s="77">
        <f>D1603*E1603</f>
        <v>0</v>
      </c>
      <c r="G1603" s="77">
        <f t="shared" ref="G1603:G1604" si="728">F1603/$H$9</f>
        <v>0</v>
      </c>
      <c r="H1603" s="77">
        <f>F1603*'Date Generale'!$D$58</f>
        <v>0</v>
      </c>
      <c r="I1603" s="77">
        <f>H1603+F1603</f>
        <v>0</v>
      </c>
      <c r="J1603" s="79">
        <f>I1603/$H$9</f>
        <v>0</v>
      </c>
    </row>
    <row r="1604" spans="1:10">
      <c r="A1604" s="74">
        <v>2</v>
      </c>
      <c r="B1604" s="75"/>
      <c r="C1604" s="76" t="str">
        <f>IF(B1604="","",VLOOKUP(B1604,'Lista articole'!$D$4:$E$2255,2,FALSE))</f>
        <v/>
      </c>
      <c r="D1604" s="77">
        <v>0</v>
      </c>
      <c r="E1604" s="78">
        <f>IF(B1604="",0,VLOOKUP(B1604,'Lista articole'!$D$4:$F$2163,3,FALSE))</f>
        <v>0</v>
      </c>
      <c r="F1604" s="77">
        <f>D1604*E1604</f>
        <v>0</v>
      </c>
      <c r="G1604" s="77">
        <f t="shared" si="728"/>
        <v>0</v>
      </c>
      <c r="H1604" s="77">
        <f>F1604*'Date Generale'!$D$58</f>
        <v>0</v>
      </c>
      <c r="I1604" s="77">
        <f>H1604+F1604</f>
        <v>0</v>
      </c>
      <c r="J1604" s="79">
        <f>I1604/$H$9</f>
        <v>0</v>
      </c>
    </row>
    <row r="1605" spans="1:10">
      <c r="A1605" s="693" t="s">
        <v>44</v>
      </c>
      <c r="B1605" s="694"/>
      <c r="C1605" s="694"/>
      <c r="D1605" s="694"/>
      <c r="E1605" s="694"/>
      <c r="F1605" s="56">
        <f>SUM(F1606:F1607)</f>
        <v>0</v>
      </c>
      <c r="G1605" s="56">
        <f>SUM(G1606:G1607)</f>
        <v>0</v>
      </c>
      <c r="H1605" s="56">
        <f>SUM(H1606:H1607)</f>
        <v>0</v>
      </c>
      <c r="I1605" s="56">
        <f>SUM(I1606:I1607)</f>
        <v>0</v>
      </c>
      <c r="J1605" s="57">
        <f>SUM(J1606:J1607)</f>
        <v>0</v>
      </c>
    </row>
    <row r="1606" spans="1:10">
      <c r="A1606" s="80">
        <v>1</v>
      </c>
      <c r="B1606" s="81"/>
      <c r="C1606" s="76" t="str">
        <f>IF(B1606="","",VLOOKUP(B1606,'Lista articole'!$D$4:$E$2255,2,FALSE))</f>
        <v/>
      </c>
      <c r="D1606" s="77">
        <v>0</v>
      </c>
      <c r="E1606" s="78">
        <f>IF(B1606="",0,VLOOKUP(B1606,'Lista articole'!$D$4:$F$2163,3,FALSE))</f>
        <v>0</v>
      </c>
      <c r="F1606" s="77">
        <f t="shared" ref="F1606:F1607" si="729">D1606*E1606</f>
        <v>0</v>
      </c>
      <c r="G1606" s="77">
        <f t="shared" ref="G1606:G1607" si="730">F1606/$H$9</f>
        <v>0</v>
      </c>
      <c r="H1606" s="77">
        <f>F1606*'Date Generale'!$D$58</f>
        <v>0</v>
      </c>
      <c r="I1606" s="77">
        <f t="shared" ref="I1606:I1607" si="731">H1606+F1606</f>
        <v>0</v>
      </c>
      <c r="J1606" s="79">
        <f t="shared" ref="J1606:J1607" si="732">I1606/$H$9</f>
        <v>0</v>
      </c>
    </row>
    <row r="1607" spans="1:10">
      <c r="A1607" s="80">
        <f t="shared" ref="A1607" si="733">A1606+1</f>
        <v>2</v>
      </c>
      <c r="B1607" s="81"/>
      <c r="C1607" s="76" t="str">
        <f>IF(B1607="","",VLOOKUP(B1607,'Lista articole'!$D$4:$E$2255,2,FALSE))</f>
        <v/>
      </c>
      <c r="D1607" s="77">
        <v>0</v>
      </c>
      <c r="E1607" s="78">
        <f>IF(B1607="",0,VLOOKUP(B1607,'Lista articole'!$D$4:$F$2163,3,FALSE))</f>
        <v>0</v>
      </c>
      <c r="F1607" s="77">
        <f t="shared" si="729"/>
        <v>0</v>
      </c>
      <c r="G1607" s="77">
        <f t="shared" si="730"/>
        <v>0</v>
      </c>
      <c r="H1607" s="77">
        <f>F1607*'Date Generale'!$D$58</f>
        <v>0</v>
      </c>
      <c r="I1607" s="77">
        <f t="shared" si="731"/>
        <v>0</v>
      </c>
      <c r="J1607" s="79">
        <f t="shared" si="732"/>
        <v>0</v>
      </c>
    </row>
    <row r="1608" spans="1:10">
      <c r="A1608" s="693" t="s">
        <v>45</v>
      </c>
      <c r="B1608" s="694"/>
      <c r="C1608" s="694"/>
      <c r="D1608" s="694"/>
      <c r="E1608" s="694"/>
      <c r="F1608" s="56">
        <f>SUM(F1609:F1610)</f>
        <v>0</v>
      </c>
      <c r="G1608" s="56">
        <f>SUM(G1609:G1610)</f>
        <v>0</v>
      </c>
      <c r="H1608" s="56">
        <f>SUM(H1609:H1610)</f>
        <v>0</v>
      </c>
      <c r="I1608" s="56">
        <f>SUM(I1609:I1610)</f>
        <v>0</v>
      </c>
      <c r="J1608" s="57">
        <f>SUM(J1609:J1610)</f>
        <v>0</v>
      </c>
    </row>
    <row r="1609" spans="1:10">
      <c r="A1609" s="80">
        <v>1</v>
      </c>
      <c r="B1609" s="81"/>
      <c r="C1609" s="76" t="str">
        <f>IF(B1609="","",VLOOKUP(B1609,'Lista articole'!$D$4:$E$2255,2,FALSE))</f>
        <v/>
      </c>
      <c r="D1609" s="77">
        <v>0</v>
      </c>
      <c r="E1609" s="78">
        <f>IF(B1609="",0,VLOOKUP(B1609,'Lista articole'!$D$4:$F$2163,3,FALSE))</f>
        <v>0</v>
      </c>
      <c r="F1609" s="77">
        <f t="shared" ref="F1609:F1610" si="734">D1609*E1609</f>
        <v>0</v>
      </c>
      <c r="G1609" s="77">
        <f t="shared" ref="G1609:G1610" si="735">F1609/$H$9</f>
        <v>0</v>
      </c>
      <c r="H1609" s="77">
        <f>F1609*'Date Generale'!$D$58</f>
        <v>0</v>
      </c>
      <c r="I1609" s="77">
        <f t="shared" ref="I1609:I1610" si="736">H1609+F1609</f>
        <v>0</v>
      </c>
      <c r="J1609" s="79">
        <f t="shared" ref="J1609:J1610" si="737">I1609/$H$9</f>
        <v>0</v>
      </c>
    </row>
    <row r="1610" spans="1:10">
      <c r="A1610" s="80">
        <v>2</v>
      </c>
      <c r="B1610" s="81"/>
      <c r="C1610" s="76" t="str">
        <f>IF(B1610="","",VLOOKUP(B1610,'Lista articole'!$D$4:$E$2255,2,FALSE))</f>
        <v/>
      </c>
      <c r="D1610" s="77">
        <v>0</v>
      </c>
      <c r="E1610" s="78">
        <f>IF(B1610="",0,VLOOKUP(B1610,'Lista articole'!$D$4:$F$2163,3,FALSE))</f>
        <v>0</v>
      </c>
      <c r="F1610" s="77">
        <f t="shared" si="734"/>
        <v>0</v>
      </c>
      <c r="G1610" s="77">
        <f t="shared" si="735"/>
        <v>0</v>
      </c>
      <c r="H1610" s="77">
        <f>F1610*'Date Generale'!$D$58</f>
        <v>0</v>
      </c>
      <c r="I1610" s="77">
        <f t="shared" si="736"/>
        <v>0</v>
      </c>
      <c r="J1610" s="79">
        <f t="shared" si="737"/>
        <v>0</v>
      </c>
    </row>
    <row r="1611" spans="1:10">
      <c r="A1611" s="693" t="s">
        <v>46</v>
      </c>
      <c r="B1611" s="694"/>
      <c r="C1611" s="694"/>
      <c r="D1611" s="694"/>
      <c r="E1611" s="694"/>
      <c r="F1611" s="56">
        <f>SUM(F1612:F1625)</f>
        <v>0</v>
      </c>
      <c r="G1611" s="56">
        <f>SUM(G1612:G1625)</f>
        <v>0</v>
      </c>
      <c r="H1611" s="56">
        <f>SUM(H1612:H1625)</f>
        <v>0</v>
      </c>
      <c r="I1611" s="56">
        <f>SUM(I1612:I1625)</f>
        <v>0</v>
      </c>
      <c r="J1611" s="57">
        <f>SUM(J1612:J1625)</f>
        <v>0</v>
      </c>
    </row>
    <row r="1612" spans="1:10">
      <c r="A1612" s="80">
        <v>1</v>
      </c>
      <c r="B1612" s="81"/>
      <c r="C1612" s="76" t="str">
        <f>IF(B1612="","",VLOOKUP(B1612,'Lista articole'!$D$4:$E$2255,2,FALSE))</f>
        <v/>
      </c>
      <c r="D1612" s="77">
        <v>0</v>
      </c>
      <c r="E1612" s="78">
        <f>IF(B1612="",0,VLOOKUP(B1612,'Lista articole'!$D$4:$F$2163,3,FALSE))</f>
        <v>0</v>
      </c>
      <c r="F1612" s="77">
        <f t="shared" ref="F1612:F1625" si="738">D1612*E1612</f>
        <v>0</v>
      </c>
      <c r="G1612" s="77">
        <f t="shared" ref="G1612:G1625" si="739">F1612/$H$9</f>
        <v>0</v>
      </c>
      <c r="H1612" s="77">
        <f>F1612*'Date Generale'!$D$58</f>
        <v>0</v>
      </c>
      <c r="I1612" s="77">
        <f t="shared" ref="I1612:I1625" si="740">H1612+F1612</f>
        <v>0</v>
      </c>
      <c r="J1612" s="79">
        <f t="shared" ref="J1612:J1625" si="741">I1612/$H$9</f>
        <v>0</v>
      </c>
    </row>
    <row r="1613" spans="1:10">
      <c r="A1613" s="80">
        <v>2</v>
      </c>
      <c r="B1613" s="81"/>
      <c r="C1613" s="76" t="str">
        <f>IF(B1613="","",VLOOKUP(B1613,'Lista articole'!$D$4:$E$2255,2,FALSE))</f>
        <v/>
      </c>
      <c r="D1613" s="77">
        <v>0</v>
      </c>
      <c r="E1613" s="78">
        <f>IF(B1613="",0,VLOOKUP(B1613,'Lista articole'!$D$4:$F$2163,3,FALSE))</f>
        <v>0</v>
      </c>
      <c r="F1613" s="77">
        <f t="shared" si="738"/>
        <v>0</v>
      </c>
      <c r="G1613" s="77">
        <f t="shared" si="739"/>
        <v>0</v>
      </c>
      <c r="H1613" s="77">
        <f>F1613*'Date Generale'!$D$58</f>
        <v>0</v>
      </c>
      <c r="I1613" s="77">
        <f t="shared" si="740"/>
        <v>0</v>
      </c>
      <c r="J1613" s="79">
        <f t="shared" si="741"/>
        <v>0</v>
      </c>
    </row>
    <row r="1614" spans="1:10">
      <c r="A1614" s="80">
        <v>3</v>
      </c>
      <c r="B1614" s="81"/>
      <c r="C1614" s="76" t="str">
        <f>IF(B1614="","",VLOOKUP(B1614,'Lista articole'!$D$4:$E$2255,2,FALSE))</f>
        <v/>
      </c>
      <c r="D1614" s="77">
        <v>0</v>
      </c>
      <c r="E1614" s="78">
        <f>IF(B1614="",0,VLOOKUP(B1614,'Lista articole'!$D$4:$F$2163,3,FALSE))</f>
        <v>0</v>
      </c>
      <c r="F1614" s="77">
        <f t="shared" si="738"/>
        <v>0</v>
      </c>
      <c r="G1614" s="77">
        <f t="shared" si="739"/>
        <v>0</v>
      </c>
      <c r="H1614" s="77">
        <f>F1614*'Date Generale'!$D$58</f>
        <v>0</v>
      </c>
      <c r="I1614" s="77">
        <f t="shared" si="740"/>
        <v>0</v>
      </c>
      <c r="J1614" s="79">
        <f t="shared" si="741"/>
        <v>0</v>
      </c>
    </row>
    <row r="1615" spans="1:10">
      <c r="A1615" s="80">
        <v>4</v>
      </c>
      <c r="B1615" s="81"/>
      <c r="C1615" s="76" t="str">
        <f>IF(B1615="","",VLOOKUP(B1615,'Lista articole'!$D$4:$E$2255,2,FALSE))</f>
        <v/>
      </c>
      <c r="D1615" s="77">
        <v>0</v>
      </c>
      <c r="E1615" s="78">
        <f>IF(B1615="",0,VLOOKUP(B1615,'Lista articole'!$D$4:$F$2163,3,FALSE))</f>
        <v>0</v>
      </c>
      <c r="F1615" s="77">
        <f t="shared" si="738"/>
        <v>0</v>
      </c>
      <c r="G1615" s="77">
        <f t="shared" si="739"/>
        <v>0</v>
      </c>
      <c r="H1615" s="77">
        <f>F1615*'Date Generale'!$D$58</f>
        <v>0</v>
      </c>
      <c r="I1615" s="77">
        <f t="shared" si="740"/>
        <v>0</v>
      </c>
      <c r="J1615" s="79">
        <f t="shared" si="741"/>
        <v>0</v>
      </c>
    </row>
    <row r="1616" spans="1:10">
      <c r="A1616" s="80">
        <v>5</v>
      </c>
      <c r="B1616" s="81"/>
      <c r="C1616" s="76" t="str">
        <f>IF(B1616="","",VLOOKUP(B1616,'Lista articole'!$D$4:$E$2255,2,FALSE))</f>
        <v/>
      </c>
      <c r="D1616" s="77">
        <v>0</v>
      </c>
      <c r="E1616" s="78">
        <f>IF(B1616="",0,VLOOKUP(B1616,'Lista articole'!$D$4:$F$2163,3,FALSE))</f>
        <v>0</v>
      </c>
      <c r="F1616" s="77">
        <f t="shared" si="738"/>
        <v>0</v>
      </c>
      <c r="G1616" s="77">
        <f t="shared" si="739"/>
        <v>0</v>
      </c>
      <c r="H1616" s="77">
        <f>F1616*'Date Generale'!$D$58</f>
        <v>0</v>
      </c>
      <c r="I1616" s="77">
        <f t="shared" si="740"/>
        <v>0</v>
      </c>
      <c r="J1616" s="79">
        <f t="shared" si="741"/>
        <v>0</v>
      </c>
    </row>
    <row r="1617" spans="1:10">
      <c r="A1617" s="80">
        <v>6</v>
      </c>
      <c r="B1617" s="81"/>
      <c r="C1617" s="76" t="str">
        <f>IF(B1617="","",VLOOKUP(B1617,'Lista articole'!$D$4:$E$2255,2,FALSE))</f>
        <v/>
      </c>
      <c r="D1617" s="77">
        <v>0</v>
      </c>
      <c r="E1617" s="78">
        <f>IF(B1617="",0,VLOOKUP(B1617,'Lista articole'!$D$4:$F$2163,3,FALSE))</f>
        <v>0</v>
      </c>
      <c r="F1617" s="77">
        <f t="shared" si="738"/>
        <v>0</v>
      </c>
      <c r="G1617" s="77">
        <f t="shared" si="739"/>
        <v>0</v>
      </c>
      <c r="H1617" s="77">
        <f>F1617*'Date Generale'!$D$58</f>
        <v>0</v>
      </c>
      <c r="I1617" s="77">
        <f t="shared" si="740"/>
        <v>0</v>
      </c>
      <c r="J1617" s="79">
        <f t="shared" si="741"/>
        <v>0</v>
      </c>
    </row>
    <row r="1618" spans="1:10">
      <c r="A1618" s="80">
        <v>7</v>
      </c>
      <c r="B1618" s="81"/>
      <c r="C1618" s="76" t="str">
        <f>IF(B1618="","",VLOOKUP(B1618,'Lista articole'!$D$4:$E$2255,2,FALSE))</f>
        <v/>
      </c>
      <c r="D1618" s="77">
        <v>0</v>
      </c>
      <c r="E1618" s="78">
        <f>IF(B1618="",0,VLOOKUP(B1618,'Lista articole'!$D$4:$F$2163,3,FALSE))</f>
        <v>0</v>
      </c>
      <c r="F1618" s="77">
        <f t="shared" si="738"/>
        <v>0</v>
      </c>
      <c r="G1618" s="77">
        <f t="shared" si="739"/>
        <v>0</v>
      </c>
      <c r="H1618" s="77">
        <f>F1618*'Date Generale'!$D$58</f>
        <v>0</v>
      </c>
      <c r="I1618" s="77">
        <f t="shared" si="740"/>
        <v>0</v>
      </c>
      <c r="J1618" s="79">
        <f t="shared" si="741"/>
        <v>0</v>
      </c>
    </row>
    <row r="1619" spans="1:10">
      <c r="A1619" s="80">
        <v>8</v>
      </c>
      <c r="B1619" s="81"/>
      <c r="C1619" s="76" t="str">
        <f>IF(B1619="","",VLOOKUP(B1619,'Lista articole'!$D$4:$E$2255,2,FALSE))</f>
        <v/>
      </c>
      <c r="D1619" s="77">
        <v>0</v>
      </c>
      <c r="E1619" s="78">
        <f>IF(B1619="",0,VLOOKUP(B1619,'Lista articole'!$D$4:$F$2163,3,FALSE))</f>
        <v>0</v>
      </c>
      <c r="F1619" s="77">
        <f t="shared" si="738"/>
        <v>0</v>
      </c>
      <c r="G1619" s="77">
        <f t="shared" si="739"/>
        <v>0</v>
      </c>
      <c r="H1619" s="77">
        <f>F1619*'Date Generale'!$D$58</f>
        <v>0</v>
      </c>
      <c r="I1619" s="77">
        <f t="shared" si="740"/>
        <v>0</v>
      </c>
      <c r="J1619" s="79">
        <f t="shared" si="741"/>
        <v>0</v>
      </c>
    </row>
    <row r="1620" spans="1:10">
      <c r="A1620" s="80">
        <v>9</v>
      </c>
      <c r="B1620" s="81"/>
      <c r="C1620" s="76" t="str">
        <f>IF(B1620="","",VLOOKUP(B1620,'Lista articole'!$D$4:$E$2255,2,FALSE))</f>
        <v/>
      </c>
      <c r="D1620" s="77">
        <v>0</v>
      </c>
      <c r="E1620" s="78">
        <f>IF(B1620="",0,VLOOKUP(B1620,'Lista articole'!$D$4:$F$2163,3,FALSE))</f>
        <v>0</v>
      </c>
      <c r="F1620" s="77">
        <f t="shared" si="738"/>
        <v>0</v>
      </c>
      <c r="G1620" s="77">
        <f t="shared" si="739"/>
        <v>0</v>
      </c>
      <c r="H1620" s="77">
        <f>F1620*'Date Generale'!$D$58</f>
        <v>0</v>
      </c>
      <c r="I1620" s="77">
        <f t="shared" si="740"/>
        <v>0</v>
      </c>
      <c r="J1620" s="79">
        <f t="shared" si="741"/>
        <v>0</v>
      </c>
    </row>
    <row r="1621" spans="1:10">
      <c r="A1621" s="80">
        <v>10</v>
      </c>
      <c r="B1621" s="81"/>
      <c r="C1621" s="76" t="str">
        <f>IF(B1621="","",VLOOKUP(B1621,'Lista articole'!$D$4:$E$2255,2,FALSE))</f>
        <v/>
      </c>
      <c r="D1621" s="77">
        <v>0</v>
      </c>
      <c r="E1621" s="78">
        <f>IF(B1621="",0,VLOOKUP(B1621,'Lista articole'!$D$4:$F$2163,3,FALSE))</f>
        <v>0</v>
      </c>
      <c r="F1621" s="77">
        <f t="shared" si="738"/>
        <v>0</v>
      </c>
      <c r="G1621" s="77">
        <f t="shared" si="739"/>
        <v>0</v>
      </c>
      <c r="H1621" s="77">
        <f>F1621*'Date Generale'!$D$58</f>
        <v>0</v>
      </c>
      <c r="I1621" s="77">
        <f t="shared" si="740"/>
        <v>0</v>
      </c>
      <c r="J1621" s="79">
        <f t="shared" si="741"/>
        <v>0</v>
      </c>
    </row>
    <row r="1622" spans="1:10">
      <c r="A1622" s="80">
        <v>11</v>
      </c>
      <c r="B1622" s="81"/>
      <c r="C1622" s="76" t="str">
        <f>IF(B1622="","",VLOOKUP(B1622,'Lista articole'!$D$4:$E$2255,2,FALSE))</f>
        <v/>
      </c>
      <c r="D1622" s="77">
        <v>0</v>
      </c>
      <c r="E1622" s="78">
        <f>IF(B1622="",0,VLOOKUP(B1622,'Lista articole'!$D$4:$F$2163,3,FALSE))</f>
        <v>0</v>
      </c>
      <c r="F1622" s="77">
        <f t="shared" si="738"/>
        <v>0</v>
      </c>
      <c r="G1622" s="77">
        <f t="shared" si="739"/>
        <v>0</v>
      </c>
      <c r="H1622" s="77">
        <f>F1622*'Date Generale'!$D$58</f>
        <v>0</v>
      </c>
      <c r="I1622" s="77">
        <f t="shared" si="740"/>
        <v>0</v>
      </c>
      <c r="J1622" s="79">
        <f t="shared" si="741"/>
        <v>0</v>
      </c>
    </row>
    <row r="1623" spans="1:10">
      <c r="A1623" s="80">
        <v>12</v>
      </c>
      <c r="B1623" s="81"/>
      <c r="C1623" s="76" t="str">
        <f>IF(B1623="","",VLOOKUP(B1623,'Lista articole'!$D$4:$E$2255,2,FALSE))</f>
        <v/>
      </c>
      <c r="D1623" s="77">
        <v>0</v>
      </c>
      <c r="E1623" s="78">
        <f>IF(B1623="",0,VLOOKUP(B1623,'Lista articole'!$D$4:$F$2163,3,FALSE))</f>
        <v>0</v>
      </c>
      <c r="F1623" s="77">
        <f t="shared" si="738"/>
        <v>0</v>
      </c>
      <c r="G1623" s="77">
        <f t="shared" si="739"/>
        <v>0</v>
      </c>
      <c r="H1623" s="77">
        <f>F1623*'Date Generale'!$D$58</f>
        <v>0</v>
      </c>
      <c r="I1623" s="77">
        <f t="shared" si="740"/>
        <v>0</v>
      </c>
      <c r="J1623" s="79">
        <f t="shared" si="741"/>
        <v>0</v>
      </c>
    </row>
    <row r="1624" spans="1:10">
      <c r="A1624" s="80">
        <v>13</v>
      </c>
      <c r="B1624" s="81"/>
      <c r="C1624" s="76" t="str">
        <f>IF(B1624="","",VLOOKUP(B1624,'Lista articole'!$D$4:$E$2255,2,FALSE))</f>
        <v/>
      </c>
      <c r="D1624" s="77">
        <v>0</v>
      </c>
      <c r="E1624" s="78">
        <f>IF(B1624="",0,VLOOKUP(B1624,'Lista articole'!$D$4:$F$2163,3,FALSE))</f>
        <v>0</v>
      </c>
      <c r="F1624" s="77">
        <f t="shared" si="738"/>
        <v>0</v>
      </c>
      <c r="G1624" s="77">
        <f t="shared" si="739"/>
        <v>0</v>
      </c>
      <c r="H1624" s="77">
        <f>F1624*'Date Generale'!$D$58</f>
        <v>0</v>
      </c>
      <c r="I1624" s="77">
        <f t="shared" si="740"/>
        <v>0</v>
      </c>
      <c r="J1624" s="79">
        <f t="shared" si="741"/>
        <v>0</v>
      </c>
    </row>
    <row r="1625" spans="1:10">
      <c r="A1625" s="80">
        <v>14</v>
      </c>
      <c r="B1625" s="81"/>
      <c r="C1625" s="76" t="str">
        <f>IF(B1625="","",VLOOKUP(B1625,'Lista articole'!$D$4:$E$2255,2,FALSE))</f>
        <v/>
      </c>
      <c r="D1625" s="77">
        <v>0</v>
      </c>
      <c r="E1625" s="78">
        <f>IF(B1625="",0,VLOOKUP(B1625,'Lista articole'!$D$4:$F$2163,3,FALSE))</f>
        <v>0</v>
      </c>
      <c r="F1625" s="77">
        <f t="shared" si="738"/>
        <v>0</v>
      </c>
      <c r="G1625" s="77">
        <f t="shared" si="739"/>
        <v>0</v>
      </c>
      <c r="H1625" s="77">
        <f>F1625*'Date Generale'!$D$58</f>
        <v>0</v>
      </c>
      <c r="I1625" s="77">
        <f t="shared" si="740"/>
        <v>0</v>
      </c>
      <c r="J1625" s="79">
        <f t="shared" si="741"/>
        <v>0</v>
      </c>
    </row>
    <row r="1626" spans="1:10">
      <c r="A1626" s="693" t="s">
        <v>50</v>
      </c>
      <c r="B1626" s="694"/>
      <c r="C1626" s="694"/>
      <c r="D1626" s="694"/>
      <c r="E1626" s="694"/>
      <c r="F1626" s="56">
        <f>SUM(F1627:F1628)</f>
        <v>0</v>
      </c>
      <c r="G1626" s="56">
        <f>SUM(G1627:G1628)</f>
        <v>0</v>
      </c>
      <c r="H1626" s="56">
        <f>SUM(H1627:H1628)</f>
        <v>0</v>
      </c>
      <c r="I1626" s="56">
        <f>SUM(I1627:I1628)</f>
        <v>0</v>
      </c>
      <c r="J1626" s="57">
        <f>SUM(J1627:J1628)</f>
        <v>0</v>
      </c>
    </row>
    <row r="1627" spans="1:10">
      <c r="A1627" s="80">
        <v>1</v>
      </c>
      <c r="B1627" s="81"/>
      <c r="C1627" s="76" t="str">
        <f>IF(B1627="","",VLOOKUP(B1627,'Lista articole'!$D$4:$E$2255,2,FALSE))</f>
        <v/>
      </c>
      <c r="D1627" s="77">
        <v>0</v>
      </c>
      <c r="E1627" s="78">
        <f>IF(B1627="",0,VLOOKUP(B1627,'Lista articole'!$D$4:$F$2163,3,FALSE))</f>
        <v>0</v>
      </c>
      <c r="F1627" s="77">
        <f t="shared" ref="F1627:F1628" si="742">D1627*E1627</f>
        <v>0</v>
      </c>
      <c r="G1627" s="77">
        <f t="shared" ref="G1627:G1628" si="743">F1627/$H$9</f>
        <v>0</v>
      </c>
      <c r="H1627" s="77">
        <f>F1627*'Date Generale'!$D$58</f>
        <v>0</v>
      </c>
      <c r="I1627" s="77">
        <f t="shared" ref="I1627:I1628" si="744">H1627+F1627</f>
        <v>0</v>
      </c>
      <c r="J1627" s="79">
        <f t="shared" ref="J1627:J1628" si="745">I1627/$H$9</f>
        <v>0</v>
      </c>
    </row>
    <row r="1628" spans="1:10">
      <c r="A1628" s="74">
        <f>A1627+1</f>
        <v>2</v>
      </c>
      <c r="B1628" s="75"/>
      <c r="C1628" s="76" t="str">
        <f>IF(B1628="","",VLOOKUP(B1628,'Lista articole'!$D$4:$E$2255,2,FALSE))</f>
        <v/>
      </c>
      <c r="D1628" s="77">
        <v>0</v>
      </c>
      <c r="E1628" s="78">
        <f>IF(B1628="",0,VLOOKUP(B1628,'Lista articole'!$D$4:$F$2163,3,FALSE))</f>
        <v>0</v>
      </c>
      <c r="F1628" s="77">
        <f t="shared" si="742"/>
        <v>0</v>
      </c>
      <c r="G1628" s="77">
        <f t="shared" si="743"/>
        <v>0</v>
      </c>
      <c r="H1628" s="77">
        <f>F1628*'Date Generale'!$D$58</f>
        <v>0</v>
      </c>
      <c r="I1628" s="77">
        <f t="shared" si="744"/>
        <v>0</v>
      </c>
      <c r="J1628" s="79">
        <f t="shared" si="745"/>
        <v>0</v>
      </c>
    </row>
    <row r="1629" spans="1:10">
      <c r="A1629" s="693" t="s">
        <v>51</v>
      </c>
      <c r="B1629" s="694"/>
      <c r="C1629" s="694"/>
      <c r="D1629" s="694"/>
      <c r="E1629" s="694"/>
      <c r="F1629" s="56">
        <f>SUM(F1630:F1631)</f>
        <v>0</v>
      </c>
      <c r="G1629" s="56">
        <f>SUM(G1630:G1631)</f>
        <v>0</v>
      </c>
      <c r="H1629" s="56">
        <f>SUM(H1630:H1631)</f>
        <v>0</v>
      </c>
      <c r="I1629" s="56">
        <f>SUM(I1630:I1631)</f>
        <v>0</v>
      </c>
      <c r="J1629" s="57">
        <f>SUM(J1630:J1631)</f>
        <v>0</v>
      </c>
    </row>
    <row r="1630" spans="1:10">
      <c r="A1630" s="80">
        <v>1</v>
      </c>
      <c r="B1630" s="81"/>
      <c r="C1630" s="76" t="str">
        <f>IF(B1630="","",VLOOKUP(B1630,'Lista articole'!$D$4:$E$2255,2,FALSE))</f>
        <v/>
      </c>
      <c r="D1630" s="77">
        <v>0</v>
      </c>
      <c r="E1630" s="78">
        <f>IF(B1630="",0,VLOOKUP(B1630,'Lista articole'!$D$4:$F$2163,3,FALSE))</f>
        <v>0</v>
      </c>
      <c r="F1630" s="77">
        <f t="shared" ref="F1630:F1631" si="746">D1630*E1630</f>
        <v>0</v>
      </c>
      <c r="G1630" s="77">
        <f t="shared" ref="G1630:G1631" si="747">F1630/$H$9</f>
        <v>0</v>
      </c>
      <c r="H1630" s="77">
        <f>F1630*'Date Generale'!$D$58</f>
        <v>0</v>
      </c>
      <c r="I1630" s="77">
        <f t="shared" ref="I1630:I1631" si="748">H1630+F1630</f>
        <v>0</v>
      </c>
      <c r="J1630" s="79">
        <f t="shared" ref="J1630:J1631" si="749">I1630/$H$9</f>
        <v>0</v>
      </c>
    </row>
    <row r="1631" spans="1:10">
      <c r="A1631" s="74">
        <f>A1630+1</f>
        <v>2</v>
      </c>
      <c r="B1631" s="75"/>
      <c r="C1631" s="76" t="str">
        <f>IF(B1631="","",VLOOKUP(B1631,'Lista articole'!$D$4:$E$2255,2,FALSE))</f>
        <v/>
      </c>
      <c r="D1631" s="77">
        <v>0</v>
      </c>
      <c r="E1631" s="78">
        <f>IF(B1631="",0,VLOOKUP(B1631,'Lista articole'!$D$4:$F$2163,3,FALSE))</f>
        <v>0</v>
      </c>
      <c r="F1631" s="77">
        <f t="shared" si="746"/>
        <v>0</v>
      </c>
      <c r="G1631" s="77">
        <f t="shared" si="747"/>
        <v>0</v>
      </c>
      <c r="H1631" s="77">
        <f>F1631*'Date Generale'!$D$58</f>
        <v>0</v>
      </c>
      <c r="I1631" s="77">
        <f t="shared" si="748"/>
        <v>0</v>
      </c>
      <c r="J1631" s="79">
        <f t="shared" si="749"/>
        <v>0</v>
      </c>
    </row>
    <row r="1632" spans="1:10">
      <c r="A1632" s="693" t="s">
        <v>52</v>
      </c>
      <c r="B1632" s="694"/>
      <c r="C1632" s="694"/>
      <c r="D1632" s="694"/>
      <c r="E1632" s="694"/>
      <c r="F1632" s="56">
        <f>SUM(F1633:F1634)</f>
        <v>0</v>
      </c>
      <c r="G1632" s="56">
        <f>SUM(G1633:G1634)</f>
        <v>0</v>
      </c>
      <c r="H1632" s="56">
        <f>SUM(H1633:H1634)</f>
        <v>0</v>
      </c>
      <c r="I1632" s="56">
        <f>SUM(I1633:I1634)</f>
        <v>0</v>
      </c>
      <c r="J1632" s="57">
        <f>SUM(J1633:J1634)</f>
        <v>0</v>
      </c>
    </row>
    <row r="1633" spans="1:10">
      <c r="A1633" s="80">
        <v>1</v>
      </c>
      <c r="B1633" s="81"/>
      <c r="C1633" s="76" t="str">
        <f>IF(B1633="","",VLOOKUP(B1633,'Lista articole'!$D$4:$E$2255,2,FALSE))</f>
        <v/>
      </c>
      <c r="D1633" s="77">
        <v>0</v>
      </c>
      <c r="E1633" s="78">
        <f>IF(B1633="",0,VLOOKUP(B1633,'Lista articole'!$D$4:$F$2163,3,FALSE))</f>
        <v>0</v>
      </c>
      <c r="F1633" s="77">
        <f>D1633*E1633</f>
        <v>0</v>
      </c>
      <c r="G1633" s="77">
        <f>F1633/$H$9</f>
        <v>0</v>
      </c>
      <c r="H1633" s="77">
        <f>F1633*'Date Generale'!$D$58</f>
        <v>0</v>
      </c>
      <c r="I1633" s="77">
        <f t="shared" ref="I1633:I1634" si="750">H1633+F1633</f>
        <v>0</v>
      </c>
      <c r="J1633" s="79">
        <f t="shared" ref="J1633:J1634" si="751">I1633/$H$9</f>
        <v>0</v>
      </c>
    </row>
    <row r="1634" spans="1:10">
      <c r="A1634" s="74">
        <f>A1633+1</f>
        <v>2</v>
      </c>
      <c r="B1634" s="75"/>
      <c r="C1634" s="76" t="str">
        <f>IF(B1634="","",VLOOKUP(B1634,'Lista articole'!$D$4:$E$2255,2,FALSE))</f>
        <v/>
      </c>
      <c r="D1634" s="77">
        <v>0</v>
      </c>
      <c r="E1634" s="78">
        <f>IF(B1634="",0,VLOOKUP(B1634,'Lista articole'!$D$4:$F$2163,3,FALSE))</f>
        <v>0</v>
      </c>
      <c r="F1634" s="77">
        <f t="shared" ref="F1634" si="752">D1634*E1634</f>
        <v>0</v>
      </c>
      <c r="G1634" s="77">
        <f t="shared" ref="G1634" si="753">F1634/$H$9</f>
        <v>0</v>
      </c>
      <c r="H1634" s="77">
        <f>F1634*'Date Generale'!$D$58</f>
        <v>0</v>
      </c>
      <c r="I1634" s="77">
        <f t="shared" si="750"/>
        <v>0</v>
      </c>
      <c r="J1634" s="79">
        <f t="shared" si="751"/>
        <v>0</v>
      </c>
    </row>
    <row r="1635" spans="1:10">
      <c r="A1635" s="693" t="s">
        <v>53</v>
      </c>
      <c r="B1635" s="694"/>
      <c r="C1635" s="694"/>
      <c r="D1635" s="694"/>
      <c r="E1635" s="694"/>
      <c r="F1635" s="56">
        <f>SUM(F1636:F1637)</f>
        <v>0</v>
      </c>
      <c r="G1635" s="56">
        <f>SUM(G1636:G1637)</f>
        <v>0</v>
      </c>
      <c r="H1635" s="56">
        <f>SUM(H1636:H1637)</f>
        <v>0</v>
      </c>
      <c r="I1635" s="56">
        <f>SUM(I1636:I1637)</f>
        <v>0</v>
      </c>
      <c r="J1635" s="57">
        <f>SUM(J1636:J1637)</f>
        <v>0</v>
      </c>
    </row>
    <row r="1636" spans="1:10">
      <c r="A1636" s="80">
        <v>1</v>
      </c>
      <c r="B1636" s="81"/>
      <c r="C1636" s="76" t="str">
        <f>IF(B1636="","",VLOOKUP(B1636,'Lista articole'!$D$4:$E$2255,2,FALSE))</f>
        <v/>
      </c>
      <c r="D1636" s="77">
        <v>0</v>
      </c>
      <c r="E1636" s="78">
        <f>IF(B1636="",0,VLOOKUP(B1636,'Lista articole'!$D$4:$F$2163,3,FALSE))</f>
        <v>0</v>
      </c>
      <c r="F1636" s="77">
        <f>D1636*E1636</f>
        <v>0</v>
      </c>
      <c r="G1636" s="77">
        <f>F1636/$H$9</f>
        <v>0</v>
      </c>
      <c r="H1636" s="77">
        <f>F1636*'Date Generale'!$D$58</f>
        <v>0</v>
      </c>
      <c r="I1636" s="77">
        <f t="shared" ref="I1636:I1637" si="754">H1636+F1636</f>
        <v>0</v>
      </c>
      <c r="J1636" s="79">
        <f t="shared" ref="J1636:J1637" si="755">I1636/$H$9</f>
        <v>0</v>
      </c>
    </row>
    <row r="1637" spans="1:10" ht="15.75" thickBot="1">
      <c r="A1637" s="139">
        <f>A1636+1</f>
        <v>2</v>
      </c>
      <c r="B1637" s="140"/>
      <c r="C1637" s="141" t="str">
        <f>IF(B1637="","",VLOOKUP(B1637,'Lista articole'!$D$4:$E$2255,2,FALSE))</f>
        <v/>
      </c>
      <c r="D1637" s="142">
        <v>0</v>
      </c>
      <c r="E1637" s="143">
        <f>IF(B1637="",0,VLOOKUP(B1637,'Lista articole'!$D$4:$F$2163,3,FALSE))</f>
        <v>0</v>
      </c>
      <c r="F1637" s="142">
        <f t="shared" ref="F1637" si="756">D1637*E1637</f>
        <v>0</v>
      </c>
      <c r="G1637" s="142">
        <f t="shared" ref="G1637" si="757">F1637/$H$9</f>
        <v>0</v>
      </c>
      <c r="H1637" s="142">
        <f>F1637*'Date Generale'!$D$58</f>
        <v>0</v>
      </c>
      <c r="I1637" s="142">
        <f t="shared" si="754"/>
        <v>0</v>
      </c>
      <c r="J1637" s="144">
        <f t="shared" si="755"/>
        <v>0</v>
      </c>
    </row>
    <row r="1638" spans="1:10" ht="15.75" thickBot="1">
      <c r="A1638" s="685" t="s">
        <v>27</v>
      </c>
      <c r="B1638" s="686"/>
      <c r="C1638" s="686"/>
      <c r="D1638" s="686"/>
      <c r="E1638" s="686"/>
      <c r="F1638" s="82">
        <f>SUM(F1602,F1605,F1608,F1611,F1626,F1629,F1632,F1635)</f>
        <v>0</v>
      </c>
      <c r="G1638" s="82">
        <f>SUM(G1602,G1605,G1608,G1611,G1626,G1629,G1632,G1635)</f>
        <v>0</v>
      </c>
      <c r="H1638" s="82">
        <f>SUM(H1602,H1605,H1608,H1611,H1626,H1629,H1632,H1635)</f>
        <v>0</v>
      </c>
      <c r="I1638" s="82">
        <f>SUM(I1602,I1605,I1608,I1611,I1626,I1629,I1632,I1635)</f>
        <v>0</v>
      </c>
      <c r="J1638" s="83">
        <f>SUM(J1602,J1605,J1608,J1611,J1626,J1629,J1632,J1635)</f>
        <v>0</v>
      </c>
    </row>
    <row r="1639" spans="1:10" ht="15.75" thickBot="1">
      <c r="A1639" s="683" t="s">
        <v>28</v>
      </c>
      <c r="B1639" s="684"/>
      <c r="C1639" s="684"/>
      <c r="D1639" s="684"/>
      <c r="E1639" s="684"/>
      <c r="F1639" s="72"/>
      <c r="G1639" s="72"/>
      <c r="H1639" s="72"/>
      <c r="I1639" s="72"/>
      <c r="J1639" s="73"/>
    </row>
    <row r="1640" spans="1:10">
      <c r="A1640" s="145"/>
      <c r="B1640" s="695" t="s">
        <v>29</v>
      </c>
      <c r="C1640" s="695"/>
      <c r="D1640" s="695"/>
      <c r="E1640" s="695"/>
      <c r="F1640" s="146">
        <f>SUM(F1641:F1642)</f>
        <v>0</v>
      </c>
      <c r="G1640" s="146">
        <f>SUM(G1641:G1642)</f>
        <v>0</v>
      </c>
      <c r="H1640" s="146">
        <f>SUM(H1641:H1642)</f>
        <v>0</v>
      </c>
      <c r="I1640" s="146">
        <f>SUM(I1641:I1642)</f>
        <v>0</v>
      </c>
      <c r="J1640" s="147">
        <f>SUM(J1641:J1642)</f>
        <v>0</v>
      </c>
    </row>
    <row r="1641" spans="1:10">
      <c r="A1641" s="80">
        <v>1</v>
      </c>
      <c r="B1641" s="81"/>
      <c r="C1641" s="76" t="str">
        <f>IF(B1641="","",VLOOKUP(B1641,'Lista articole'!$D$4:$E$2255,2,FALSE))</f>
        <v/>
      </c>
      <c r="D1641" s="77">
        <v>0</v>
      </c>
      <c r="E1641" s="78">
        <f>IF(B1641="",0,VLOOKUP(B1641,'Lista articole'!$D$4:$F$2163,3,FALSE))</f>
        <v>0</v>
      </c>
      <c r="F1641" s="77">
        <f>D1641*E1641</f>
        <v>0</v>
      </c>
      <c r="G1641" s="77">
        <f>F1641/$H$9</f>
        <v>0</v>
      </c>
      <c r="H1641" s="77">
        <f>F1641*'Date Generale'!$D$58</f>
        <v>0</v>
      </c>
      <c r="I1641" s="77">
        <f t="shared" ref="I1641:I1642" si="758">H1641+F1641</f>
        <v>0</v>
      </c>
      <c r="J1641" s="79">
        <f t="shared" ref="J1641:J1642" si="759">I1641/$H$9</f>
        <v>0</v>
      </c>
    </row>
    <row r="1642" spans="1:10" ht="15.75" thickBot="1">
      <c r="A1642" s="139">
        <f>A1641+1</f>
        <v>2</v>
      </c>
      <c r="B1642" s="140"/>
      <c r="C1642" s="141" t="str">
        <f>IF(B1642="","",VLOOKUP(B1642,'Lista articole'!$D$4:$E$2255,2,FALSE))</f>
        <v/>
      </c>
      <c r="D1642" s="142">
        <v>0</v>
      </c>
      <c r="E1642" s="143">
        <f>IF(B1642="",0,VLOOKUP(B1642,'Lista articole'!$D$4:$F$2163,3,FALSE))</f>
        <v>0</v>
      </c>
      <c r="F1642" s="142">
        <f t="shared" ref="F1642" si="760">D1642*E1642</f>
        <v>0</v>
      </c>
      <c r="G1642" s="142">
        <f t="shared" ref="G1642" si="761">F1642/$H$9</f>
        <v>0</v>
      </c>
      <c r="H1642" s="142">
        <f>F1642*'Date Generale'!$D$58</f>
        <v>0</v>
      </c>
      <c r="I1642" s="142">
        <f t="shared" si="758"/>
        <v>0</v>
      </c>
      <c r="J1642" s="144">
        <f t="shared" si="759"/>
        <v>0</v>
      </c>
    </row>
    <row r="1643" spans="1:10" ht="15.75" thickBot="1">
      <c r="A1643" s="685" t="s">
        <v>30</v>
      </c>
      <c r="B1643" s="686"/>
      <c r="C1643" s="686"/>
      <c r="D1643" s="686"/>
      <c r="E1643" s="686"/>
      <c r="F1643" s="85">
        <f>F1640</f>
        <v>0</v>
      </c>
      <c r="G1643" s="85">
        <f>G1640</f>
        <v>0</v>
      </c>
      <c r="H1643" s="85">
        <f>H1640</f>
        <v>0</v>
      </c>
      <c r="I1643" s="85">
        <f>I1640</f>
        <v>0</v>
      </c>
      <c r="J1643" s="86">
        <f>J1640</f>
        <v>0</v>
      </c>
    </row>
    <row r="1644" spans="1:10" ht="15.75" thickBot="1">
      <c r="A1644" s="683" t="s">
        <v>31</v>
      </c>
      <c r="B1644" s="684"/>
      <c r="C1644" s="684"/>
      <c r="D1644" s="684"/>
      <c r="E1644" s="684"/>
      <c r="F1644" s="72"/>
      <c r="G1644" s="72"/>
      <c r="H1644" s="72"/>
      <c r="I1644" s="72"/>
      <c r="J1644" s="73"/>
    </row>
    <row r="1645" spans="1:10">
      <c r="A1645" s="145"/>
      <c r="B1645" s="695" t="s">
        <v>32</v>
      </c>
      <c r="C1645" s="695"/>
      <c r="D1645" s="695"/>
      <c r="E1645" s="695"/>
      <c r="F1645" s="148">
        <f>SUM(F1646:F1647)</f>
        <v>0</v>
      </c>
      <c r="G1645" s="148">
        <f>SUM(G1646:G1647)</f>
        <v>0</v>
      </c>
      <c r="H1645" s="148">
        <f>SUM(H1646:H1647)</f>
        <v>0</v>
      </c>
      <c r="I1645" s="148">
        <f>SUM(I1646:I1647)</f>
        <v>0</v>
      </c>
      <c r="J1645" s="149">
        <f>SUM(J1646:J1647)</f>
        <v>0</v>
      </c>
    </row>
    <row r="1646" spans="1:10">
      <c r="A1646" s="80">
        <v>1</v>
      </c>
      <c r="B1646" s="81"/>
      <c r="C1646" s="76" t="str">
        <f>IF(B1646="","",VLOOKUP(B1646,'Lista articole'!$D$4:$E$2255,2,FALSE))</f>
        <v/>
      </c>
      <c r="D1646" s="77">
        <v>0</v>
      </c>
      <c r="E1646" s="78">
        <f>IF(B1646="",0,VLOOKUP(B1646,'Lista articole'!$D$4:$F$2163,3,FALSE))</f>
        <v>0</v>
      </c>
      <c r="F1646" s="77">
        <f>D1646*E1646</f>
        <v>0</v>
      </c>
      <c r="G1646" s="77">
        <f>F1646/$H$9</f>
        <v>0</v>
      </c>
      <c r="H1646" s="77">
        <f>F1646*'Date Generale'!$D$58</f>
        <v>0</v>
      </c>
      <c r="I1646" s="77">
        <f t="shared" ref="I1646:I1647" si="762">H1646+F1646</f>
        <v>0</v>
      </c>
      <c r="J1646" s="79">
        <f t="shared" ref="J1646:J1647" si="763">I1646/$H$9</f>
        <v>0</v>
      </c>
    </row>
    <row r="1647" spans="1:10">
      <c r="A1647" s="74">
        <f>A1646+1</f>
        <v>2</v>
      </c>
      <c r="B1647" s="75"/>
      <c r="C1647" s="76" t="str">
        <f>IF(B1647="","",VLOOKUP(B1647,'Lista articole'!$D$4:$E$2255,2,FALSE))</f>
        <v/>
      </c>
      <c r="D1647" s="77">
        <v>0</v>
      </c>
      <c r="E1647" s="78">
        <f>IF(B1647="",0,VLOOKUP(B1647,'Lista articole'!$D$4:$F$2163,3,FALSE))</f>
        <v>0</v>
      </c>
      <c r="F1647" s="77">
        <f t="shared" ref="F1647" si="764">D1647*E1647</f>
        <v>0</v>
      </c>
      <c r="G1647" s="77">
        <f t="shared" ref="G1647" si="765">F1647/$H$9</f>
        <v>0</v>
      </c>
      <c r="H1647" s="77">
        <f>F1647*'Date Generale'!$D$58</f>
        <v>0</v>
      </c>
      <c r="I1647" s="77">
        <f t="shared" si="762"/>
        <v>0</v>
      </c>
      <c r="J1647" s="79">
        <f t="shared" si="763"/>
        <v>0</v>
      </c>
    </row>
    <row r="1648" spans="1:10">
      <c r="A1648" s="87"/>
      <c r="B1648" s="696" t="s">
        <v>33</v>
      </c>
      <c r="C1648" s="696"/>
      <c r="D1648" s="696"/>
      <c r="E1648" s="696"/>
      <c r="F1648" s="88">
        <f>SUM(F1649:F1650)</f>
        <v>0</v>
      </c>
      <c r="G1648" s="88">
        <f>SUM(G1649:G1650)</f>
        <v>0</v>
      </c>
      <c r="H1648" s="88">
        <f>SUM(H1649:H1650)</f>
        <v>0</v>
      </c>
      <c r="I1648" s="88">
        <f>SUM(I1649:I1650)</f>
        <v>0</v>
      </c>
      <c r="J1648" s="89">
        <f>SUM(J1649:J1650)</f>
        <v>0</v>
      </c>
    </row>
    <row r="1649" spans="1:11">
      <c r="A1649" s="80">
        <v>1</v>
      </c>
      <c r="B1649" s="81"/>
      <c r="C1649" s="76" t="str">
        <f>IF(B1649="","",VLOOKUP(B1649,'Lista articole'!$D$4:$E$2255,2,FALSE))</f>
        <v/>
      </c>
      <c r="D1649" s="77">
        <v>0</v>
      </c>
      <c r="E1649" s="78">
        <f>IF(B1649="",0,VLOOKUP(B1649,'Lista articole'!$D$4:$F$2163,3,FALSE))</f>
        <v>0</v>
      </c>
      <c r="F1649" s="77">
        <f>D1649*E1649</f>
        <v>0</v>
      </c>
      <c r="G1649" s="77">
        <f>F1649/$H$9</f>
        <v>0</v>
      </c>
      <c r="H1649" s="77">
        <f>F1649*'Date Generale'!$D$58</f>
        <v>0</v>
      </c>
      <c r="I1649" s="77">
        <f t="shared" ref="I1649:I1650" si="766">H1649+F1649</f>
        <v>0</v>
      </c>
      <c r="J1649" s="79">
        <f t="shared" ref="J1649:J1650" si="767">I1649/$H$9</f>
        <v>0</v>
      </c>
    </row>
    <row r="1650" spans="1:11">
      <c r="A1650" s="74">
        <f>A1649+1</f>
        <v>2</v>
      </c>
      <c r="B1650" s="75"/>
      <c r="C1650" s="76" t="str">
        <f>IF(B1650="","",VLOOKUP(B1650,'Lista articole'!$D$4:$E$2255,2,FALSE))</f>
        <v/>
      </c>
      <c r="D1650" s="77">
        <v>0</v>
      </c>
      <c r="E1650" s="78">
        <f>IF(B1650="",0,VLOOKUP(B1650,'Lista articole'!$D$4:$F$2163,3,FALSE))</f>
        <v>0</v>
      </c>
      <c r="F1650" s="77">
        <f t="shared" ref="F1650" si="768">D1650*E1650</f>
        <v>0</v>
      </c>
      <c r="G1650" s="77">
        <f t="shared" ref="G1650" si="769">F1650/$H$9</f>
        <v>0</v>
      </c>
      <c r="H1650" s="77">
        <f>F1650*'Date Generale'!$D$58</f>
        <v>0</v>
      </c>
      <c r="I1650" s="77">
        <f t="shared" si="766"/>
        <v>0</v>
      </c>
      <c r="J1650" s="79">
        <f t="shared" si="767"/>
        <v>0</v>
      </c>
    </row>
    <row r="1651" spans="1:11">
      <c r="A1651" s="87"/>
      <c r="B1651" s="696" t="s">
        <v>34</v>
      </c>
      <c r="C1651" s="696"/>
      <c r="D1651" s="696"/>
      <c r="E1651" s="696"/>
      <c r="F1651" s="88">
        <f>SUM(F1652:F1653)</f>
        <v>0</v>
      </c>
      <c r="G1651" s="88">
        <f>SUM(G1652:G1653)</f>
        <v>0</v>
      </c>
      <c r="H1651" s="88">
        <f>SUM(H1652:H1653)</f>
        <v>0</v>
      </c>
      <c r="I1651" s="88">
        <f>SUM(I1652:I1653)</f>
        <v>0</v>
      </c>
      <c r="J1651" s="89">
        <f>SUM(J1652:J1653)</f>
        <v>0</v>
      </c>
    </row>
    <row r="1652" spans="1:11">
      <c r="A1652" s="80">
        <v>1</v>
      </c>
      <c r="B1652" s="81"/>
      <c r="C1652" s="76" t="str">
        <f>IF(B1652="","",VLOOKUP(B1652,'Lista articole'!$D$4:$E$2255,2,FALSE))</f>
        <v/>
      </c>
      <c r="D1652" s="77">
        <v>0</v>
      </c>
      <c r="E1652" s="78">
        <f>IF(B1652="",0,VLOOKUP(B1652,'Lista articole'!$D$4:$F$2163,3,FALSE))</f>
        <v>0</v>
      </c>
      <c r="F1652" s="77">
        <f>D1652*E1652</f>
        <v>0</v>
      </c>
      <c r="G1652" s="77">
        <f>F1652/$H$9</f>
        <v>0</v>
      </c>
      <c r="H1652" s="77">
        <f>F1652*'Date Generale'!$D$58</f>
        <v>0</v>
      </c>
      <c r="I1652" s="77">
        <f t="shared" ref="I1652:I1653" si="770">H1652+F1652</f>
        <v>0</v>
      </c>
      <c r="J1652" s="79">
        <f t="shared" ref="J1652:J1653" si="771">I1652/$H$9</f>
        <v>0</v>
      </c>
    </row>
    <row r="1653" spans="1:11" ht="15.75" thickBot="1">
      <c r="A1653" s="139">
        <f>A1652+1</f>
        <v>2</v>
      </c>
      <c r="B1653" s="140"/>
      <c r="C1653" s="141" t="str">
        <f>IF(B1653="","",VLOOKUP(B1653,'Lista articole'!$D$4:$E$2255,2,FALSE))</f>
        <v/>
      </c>
      <c r="D1653" s="142">
        <v>0</v>
      </c>
      <c r="E1653" s="143">
        <f>IF(B1653="",0,VLOOKUP(B1653,'Lista articole'!$D$4:$F$2163,3,FALSE))</f>
        <v>0</v>
      </c>
      <c r="F1653" s="142">
        <f t="shared" ref="F1653" si="772">D1653*E1653</f>
        <v>0</v>
      </c>
      <c r="G1653" s="142">
        <f t="shared" ref="G1653" si="773">F1653/$H$9</f>
        <v>0</v>
      </c>
      <c r="H1653" s="142">
        <f>F1653*'Date Generale'!$D$58</f>
        <v>0</v>
      </c>
      <c r="I1653" s="142">
        <f t="shared" si="770"/>
        <v>0</v>
      </c>
      <c r="J1653" s="144">
        <f t="shared" si="771"/>
        <v>0</v>
      </c>
    </row>
    <row r="1654" spans="1:11" ht="15.75" thickBot="1">
      <c r="A1654" s="685" t="s">
        <v>35</v>
      </c>
      <c r="B1654" s="686"/>
      <c r="C1654" s="686"/>
      <c r="D1654" s="686"/>
      <c r="E1654" s="686"/>
      <c r="F1654" s="62">
        <f>SUM(F1651,F1648,F1645)</f>
        <v>0</v>
      </c>
      <c r="G1654" s="62">
        <f>SUM(G1651,G1648,G1645)</f>
        <v>0</v>
      </c>
      <c r="H1654" s="62">
        <f>SUM(H1651,H1648,H1645)</f>
        <v>0</v>
      </c>
      <c r="I1654" s="62">
        <f>SUM(I1651,I1648,I1645)</f>
        <v>0</v>
      </c>
      <c r="J1654" s="63">
        <f>SUM(J1651,J1648,J1645)</f>
        <v>0</v>
      </c>
    </row>
    <row r="1655" spans="1:11">
      <c r="A1655" s="38"/>
      <c r="B1655" s="39"/>
      <c r="C1655" s="39"/>
      <c r="D1655" s="39"/>
      <c r="E1655" s="39"/>
      <c r="F1655" s="39"/>
      <c r="G1655" s="39"/>
      <c r="H1655" s="39"/>
      <c r="I1655" s="39"/>
      <c r="J1655" s="39"/>
    </row>
    <row r="1656" spans="1:11">
      <c r="A1656" s="38"/>
      <c r="C1656" s="42"/>
      <c r="D1656" s="42"/>
      <c r="E1656" s="42"/>
      <c r="F1656" s="42"/>
      <c r="G1656" s="42"/>
      <c r="H1656" s="42"/>
      <c r="I1656" s="42"/>
      <c r="J1656" s="42"/>
    </row>
    <row r="1657" spans="1:11" ht="18.75">
      <c r="A1657" s="42"/>
      <c r="B1657" s="90" t="s">
        <v>37</v>
      </c>
      <c r="C1657" s="42"/>
      <c r="D1657" s="42"/>
      <c r="E1657" s="42"/>
      <c r="F1657" s="42"/>
      <c r="G1657" s="42"/>
      <c r="H1657" s="42"/>
      <c r="I1657" s="42"/>
      <c r="J1657" s="42"/>
    </row>
    <row r="1658" spans="1:11" ht="18.75">
      <c r="A1658" s="38"/>
      <c r="B1658" s="90" t="str">
        <f>'Date Generale'!$C$7</f>
        <v>S.C. Tehno Consoulting Solutions S.R.L.</v>
      </c>
      <c r="C1658" s="39"/>
      <c r="D1658" s="39"/>
      <c r="E1658" s="39"/>
      <c r="F1658" s="39"/>
      <c r="G1658" s="39"/>
      <c r="H1658" s="39"/>
      <c r="I1658" s="39"/>
      <c r="J1658" s="39"/>
    </row>
    <row r="1659" spans="1:11">
      <c r="A1659" s="35"/>
      <c r="B1659" s="93"/>
      <c r="C1659" s="94"/>
      <c r="D1659" s="95"/>
      <c r="E1659" s="96"/>
      <c r="F1659" s="96"/>
      <c r="G1659" s="95"/>
      <c r="H1659" s="95"/>
      <c r="I1659" s="95"/>
      <c r="J1659" s="95"/>
    </row>
    <row r="1660" spans="1:11">
      <c r="A1660" s="35"/>
      <c r="B1660" s="93"/>
      <c r="C1660" s="94"/>
      <c r="D1660" s="95"/>
      <c r="E1660" s="96"/>
      <c r="F1660" s="96"/>
      <c r="G1660" s="95"/>
      <c r="H1660" s="95"/>
      <c r="I1660" s="95"/>
      <c r="J1660" s="95"/>
    </row>
    <row r="1661" spans="1:11">
      <c r="A1661" s="35"/>
      <c r="B1661" s="98"/>
      <c r="C1661" s="94"/>
      <c r="D1661" s="95"/>
      <c r="E1661" s="96"/>
      <c r="F1661" s="96"/>
      <c r="G1661" s="95"/>
      <c r="H1661" s="95"/>
      <c r="I1661" s="95"/>
      <c r="J1661" s="95"/>
      <c r="K1661" s="67"/>
    </row>
    <row r="1662" spans="1:11" ht="15.75">
      <c r="A1662" s="41" t="str">
        <f>"Beneficiar: " &amp;'Date Generale'!$C$6</f>
        <v xml:space="preserve">Beneficiar: Judetul Arges </v>
      </c>
      <c r="B1662" s="41"/>
      <c r="C1662" s="42"/>
      <c r="D1662" s="42"/>
      <c r="E1662" s="69"/>
      <c r="F1662" s="42"/>
      <c r="G1662" s="42"/>
      <c r="H1662" s="42"/>
      <c r="I1662" s="42"/>
      <c r="J1662" s="42"/>
    </row>
    <row r="1663" spans="1:11" ht="15.75">
      <c r="A1663" s="41" t="str">
        <f>"Denumire proiect: " &amp; 'Date Generale'!$C$3</f>
        <v>Denumire proiect: Modernizare DJ 703B Serbanesti (DJ659) - Silistea, km 70+410 - 77+826, 7.416km, in comunele Rociu si Cateasca</v>
      </c>
      <c r="B1663" s="41"/>
      <c r="C1663" s="44"/>
      <c r="D1663" s="44"/>
      <c r="E1663" s="44"/>
      <c r="F1663" s="44"/>
      <c r="G1663" s="44"/>
      <c r="H1663" s="44"/>
      <c r="I1663" s="44"/>
      <c r="J1663" s="44"/>
    </row>
    <row r="1664" spans="1:11" ht="15.75">
      <c r="A1664" s="41"/>
      <c r="B1664" s="41"/>
      <c r="C1664" s="44"/>
      <c r="D1664" s="44"/>
      <c r="E1664" s="44"/>
      <c r="F1664" s="44"/>
      <c r="G1664" s="44"/>
      <c r="H1664" s="44"/>
      <c r="I1664" s="44"/>
      <c r="J1664" s="44"/>
    </row>
    <row r="1665" spans="1:10" ht="15.75">
      <c r="A1665" s="41" t="str">
        <f>'Date Generale'!$E$82</f>
        <v>Obiect 022:0</v>
      </c>
      <c r="B1665" s="41"/>
      <c r="C1665" s="44"/>
      <c r="D1665" s="44"/>
      <c r="E1665" s="44"/>
      <c r="F1665" s="44"/>
      <c r="G1665" s="44"/>
      <c r="H1665" s="44"/>
      <c r="I1665" s="44"/>
      <c r="J1665" s="44"/>
    </row>
    <row r="1666" spans="1:10" ht="15.75">
      <c r="A1666" s="70"/>
      <c r="B1666" s="44"/>
      <c r="C1666" s="44"/>
      <c r="D1666" s="44"/>
      <c r="E1666" s="44"/>
      <c r="F1666" s="44"/>
      <c r="G1666" s="44"/>
      <c r="H1666" s="44"/>
      <c r="I1666" s="44"/>
      <c r="J1666" s="44"/>
    </row>
    <row r="1667" spans="1:10">
      <c r="A1667" s="687" t="s">
        <v>38</v>
      </c>
      <c r="B1667" s="687"/>
      <c r="C1667" s="687"/>
      <c r="D1667" s="687"/>
      <c r="E1667" s="687"/>
      <c r="F1667" s="687"/>
      <c r="G1667" s="687"/>
      <c r="H1667" s="687"/>
      <c r="I1667" s="687"/>
      <c r="J1667" s="687"/>
    </row>
    <row r="1668" spans="1:10">
      <c r="A1668" s="371"/>
      <c r="B1668" s="371"/>
      <c r="C1668" s="371"/>
      <c r="D1668" s="371"/>
      <c r="E1668" s="371"/>
      <c r="F1668" s="371"/>
      <c r="G1668" s="371"/>
      <c r="H1668" s="371"/>
      <c r="I1668" s="371"/>
      <c r="J1668" s="371"/>
    </row>
    <row r="1669" spans="1:10" ht="15.75" thickBot="1">
      <c r="A1669" s="42"/>
      <c r="B1669" s="46"/>
      <c r="C1669" s="71"/>
      <c r="D1669" s="71"/>
      <c r="E1669" s="71"/>
      <c r="F1669" s="33"/>
      <c r="G1669" s="47" t="s">
        <v>2</v>
      </c>
      <c r="H1669" s="48">
        <f>'Date Generale'!$C$54</f>
        <v>4.7233000000000001</v>
      </c>
      <c r="I1669" s="49" t="s">
        <v>3</v>
      </c>
      <c r="J1669" s="50" t="str">
        <f>'Date Generale'!$D$54</f>
        <v>21,06,2019</v>
      </c>
    </row>
    <row r="1670" spans="1:10" ht="15.75" thickBot="1">
      <c r="A1670" s="688" t="s">
        <v>4</v>
      </c>
      <c r="B1670" s="688" t="s">
        <v>5</v>
      </c>
      <c r="C1670" s="688" t="s">
        <v>39</v>
      </c>
      <c r="D1670" s="688" t="s">
        <v>40</v>
      </c>
      <c r="E1670" s="688" t="s">
        <v>228</v>
      </c>
      <c r="F1670" s="689" t="s">
        <v>160</v>
      </c>
      <c r="G1670" s="689"/>
      <c r="H1670" s="372" t="s">
        <v>7</v>
      </c>
      <c r="I1670" s="689" t="s">
        <v>159</v>
      </c>
      <c r="J1670" s="689"/>
    </row>
    <row r="1671" spans="1:10" ht="15.75" thickBot="1">
      <c r="A1671" s="688"/>
      <c r="B1671" s="688"/>
      <c r="C1671" s="688"/>
      <c r="D1671" s="688"/>
      <c r="E1671" s="688"/>
      <c r="F1671" s="51" t="s">
        <v>9</v>
      </c>
      <c r="G1671" s="51" t="s">
        <v>10</v>
      </c>
      <c r="H1671" s="51" t="s">
        <v>9</v>
      </c>
      <c r="I1671" s="51" t="s">
        <v>9</v>
      </c>
      <c r="J1671" s="51" t="s">
        <v>10</v>
      </c>
    </row>
    <row r="1672" spans="1:10" ht="15.75" thickBot="1">
      <c r="A1672" s="3">
        <v>1</v>
      </c>
      <c r="B1672" s="1">
        <v>2</v>
      </c>
      <c r="C1672" s="1">
        <v>3</v>
      </c>
      <c r="D1672" s="1">
        <v>4</v>
      </c>
      <c r="E1672" s="1">
        <v>5</v>
      </c>
      <c r="F1672" s="1">
        <v>6</v>
      </c>
      <c r="G1672" s="1">
        <v>7</v>
      </c>
      <c r="H1672" s="1">
        <v>8</v>
      </c>
      <c r="I1672" s="1">
        <v>9</v>
      </c>
      <c r="J1672" s="1">
        <v>10</v>
      </c>
    </row>
    <row r="1673" spans="1:10" ht="15.75" thickBot="1">
      <c r="A1673" s="683" t="s">
        <v>11</v>
      </c>
      <c r="B1673" s="684"/>
      <c r="C1673" s="684"/>
      <c r="D1673" s="684"/>
      <c r="E1673" s="684"/>
      <c r="F1673" s="72"/>
      <c r="G1673" s="72"/>
      <c r="H1673" s="72"/>
      <c r="I1673" s="72"/>
      <c r="J1673" s="73"/>
    </row>
    <row r="1674" spans="1:10">
      <c r="A1674" s="691" t="s">
        <v>41</v>
      </c>
      <c r="B1674" s="692"/>
      <c r="C1674" s="692"/>
      <c r="D1674" s="692"/>
      <c r="E1674" s="692"/>
      <c r="F1674" s="137">
        <f>SUM(F1675:F1676)</f>
        <v>0</v>
      </c>
      <c r="G1674" s="137">
        <f>SUM(G1675:G1676)</f>
        <v>0</v>
      </c>
      <c r="H1674" s="137">
        <f>SUM(H1675:H1676)</f>
        <v>0</v>
      </c>
      <c r="I1674" s="137">
        <f>SUM(I1675:I1676)</f>
        <v>0</v>
      </c>
      <c r="J1674" s="138">
        <f>SUM(J1675:J1676)</f>
        <v>0</v>
      </c>
    </row>
    <row r="1675" spans="1:10">
      <c r="A1675" s="74">
        <v>1</v>
      </c>
      <c r="B1675" s="75"/>
      <c r="C1675" s="76" t="str">
        <f>IF(B1675="","",VLOOKUP(B1675,'Lista articole'!$D$4:$E$2255,2,FALSE))</f>
        <v/>
      </c>
      <c r="D1675" s="77">
        <v>0</v>
      </c>
      <c r="E1675" s="78">
        <f>IF(B1675="",0,VLOOKUP(B1675,'Lista articole'!$D$4:$F$2163,3,FALSE))</f>
        <v>0</v>
      </c>
      <c r="F1675" s="77">
        <f>D1675*E1675</f>
        <v>0</v>
      </c>
      <c r="G1675" s="77">
        <f t="shared" ref="G1675:G1676" si="774">F1675/$H$9</f>
        <v>0</v>
      </c>
      <c r="H1675" s="77">
        <f>F1675*'Date Generale'!$D$58</f>
        <v>0</v>
      </c>
      <c r="I1675" s="77">
        <f>H1675+F1675</f>
        <v>0</v>
      </c>
      <c r="J1675" s="79">
        <f>I1675/$H$9</f>
        <v>0</v>
      </c>
    </row>
    <row r="1676" spans="1:10">
      <c r="A1676" s="74">
        <v>2</v>
      </c>
      <c r="B1676" s="75"/>
      <c r="C1676" s="76" t="str">
        <f>IF(B1676="","",VLOOKUP(B1676,'Lista articole'!$D$4:$E$2255,2,FALSE))</f>
        <v/>
      </c>
      <c r="D1676" s="77">
        <v>0</v>
      </c>
      <c r="E1676" s="78">
        <f>IF(B1676="",0,VLOOKUP(B1676,'Lista articole'!$D$4:$F$2163,3,FALSE))</f>
        <v>0</v>
      </c>
      <c r="F1676" s="77">
        <f>D1676*E1676</f>
        <v>0</v>
      </c>
      <c r="G1676" s="77">
        <f t="shared" si="774"/>
        <v>0</v>
      </c>
      <c r="H1676" s="77">
        <f>F1676*'Date Generale'!$D$58</f>
        <v>0</v>
      </c>
      <c r="I1676" s="77">
        <f>H1676+F1676</f>
        <v>0</v>
      </c>
      <c r="J1676" s="79">
        <f>I1676/$H$9</f>
        <v>0</v>
      </c>
    </row>
    <row r="1677" spans="1:10">
      <c r="A1677" s="693" t="s">
        <v>44</v>
      </c>
      <c r="B1677" s="694"/>
      <c r="C1677" s="694"/>
      <c r="D1677" s="694"/>
      <c r="E1677" s="694"/>
      <c r="F1677" s="56">
        <f>SUM(F1678:F1679)</f>
        <v>0</v>
      </c>
      <c r="G1677" s="56">
        <f>SUM(G1678:G1679)</f>
        <v>0</v>
      </c>
      <c r="H1677" s="56">
        <f>SUM(H1678:H1679)</f>
        <v>0</v>
      </c>
      <c r="I1677" s="56">
        <f>SUM(I1678:I1679)</f>
        <v>0</v>
      </c>
      <c r="J1677" s="57">
        <f>SUM(J1678:J1679)</f>
        <v>0</v>
      </c>
    </row>
    <row r="1678" spans="1:10">
      <c r="A1678" s="80">
        <v>1</v>
      </c>
      <c r="B1678" s="81"/>
      <c r="C1678" s="76" t="str">
        <f>IF(B1678="","",VLOOKUP(B1678,'Lista articole'!$D$4:$E$2255,2,FALSE))</f>
        <v/>
      </c>
      <c r="D1678" s="77">
        <v>0</v>
      </c>
      <c r="E1678" s="78">
        <f>IF(B1678="",0,VLOOKUP(B1678,'Lista articole'!$D$4:$F$2163,3,FALSE))</f>
        <v>0</v>
      </c>
      <c r="F1678" s="77">
        <f t="shared" ref="F1678:F1679" si="775">D1678*E1678</f>
        <v>0</v>
      </c>
      <c r="G1678" s="77">
        <f t="shared" ref="G1678:G1679" si="776">F1678/$H$9</f>
        <v>0</v>
      </c>
      <c r="H1678" s="77">
        <f>F1678*'Date Generale'!$D$58</f>
        <v>0</v>
      </c>
      <c r="I1678" s="77">
        <f t="shared" ref="I1678:I1679" si="777">H1678+F1678</f>
        <v>0</v>
      </c>
      <c r="J1678" s="79">
        <f t="shared" ref="J1678:J1679" si="778">I1678/$H$9</f>
        <v>0</v>
      </c>
    </row>
    <row r="1679" spans="1:10">
      <c r="A1679" s="80">
        <f t="shared" ref="A1679" si="779">A1678+1</f>
        <v>2</v>
      </c>
      <c r="B1679" s="81"/>
      <c r="C1679" s="76" t="str">
        <f>IF(B1679="","",VLOOKUP(B1679,'Lista articole'!$D$4:$E$2255,2,FALSE))</f>
        <v/>
      </c>
      <c r="D1679" s="77">
        <v>0</v>
      </c>
      <c r="E1679" s="78">
        <f>IF(B1679="",0,VLOOKUP(B1679,'Lista articole'!$D$4:$F$2163,3,FALSE))</f>
        <v>0</v>
      </c>
      <c r="F1679" s="77">
        <f t="shared" si="775"/>
        <v>0</v>
      </c>
      <c r="G1679" s="77">
        <f t="shared" si="776"/>
        <v>0</v>
      </c>
      <c r="H1679" s="77">
        <f>F1679*'Date Generale'!$D$58</f>
        <v>0</v>
      </c>
      <c r="I1679" s="77">
        <f t="shared" si="777"/>
        <v>0</v>
      </c>
      <c r="J1679" s="79">
        <f t="shared" si="778"/>
        <v>0</v>
      </c>
    </row>
    <row r="1680" spans="1:10">
      <c r="A1680" s="693" t="s">
        <v>45</v>
      </c>
      <c r="B1680" s="694"/>
      <c r="C1680" s="694"/>
      <c r="D1680" s="694"/>
      <c r="E1680" s="694"/>
      <c r="F1680" s="56">
        <f>SUM(F1681:F1682)</f>
        <v>0</v>
      </c>
      <c r="G1680" s="56">
        <f>SUM(G1681:G1682)</f>
        <v>0</v>
      </c>
      <c r="H1680" s="56">
        <f>SUM(H1681:H1682)</f>
        <v>0</v>
      </c>
      <c r="I1680" s="56">
        <f>SUM(I1681:I1682)</f>
        <v>0</v>
      </c>
      <c r="J1680" s="57">
        <f>SUM(J1681:J1682)</f>
        <v>0</v>
      </c>
    </row>
    <row r="1681" spans="1:10">
      <c r="A1681" s="80">
        <v>1</v>
      </c>
      <c r="B1681" s="81"/>
      <c r="C1681" s="76" t="str">
        <f>IF(B1681="","",VLOOKUP(B1681,'Lista articole'!$D$4:$E$2255,2,FALSE))</f>
        <v/>
      </c>
      <c r="D1681" s="77">
        <v>0</v>
      </c>
      <c r="E1681" s="78">
        <f>IF(B1681="",0,VLOOKUP(B1681,'Lista articole'!$D$4:$F$2163,3,FALSE))</f>
        <v>0</v>
      </c>
      <c r="F1681" s="77">
        <f t="shared" ref="F1681:F1682" si="780">D1681*E1681</f>
        <v>0</v>
      </c>
      <c r="G1681" s="77">
        <f t="shared" ref="G1681:G1682" si="781">F1681/$H$9</f>
        <v>0</v>
      </c>
      <c r="H1681" s="77">
        <f>F1681*'Date Generale'!$D$58</f>
        <v>0</v>
      </c>
      <c r="I1681" s="77">
        <f t="shared" ref="I1681:I1682" si="782">H1681+F1681</f>
        <v>0</v>
      </c>
      <c r="J1681" s="79">
        <f t="shared" ref="J1681:J1682" si="783">I1681/$H$9</f>
        <v>0</v>
      </c>
    </row>
    <row r="1682" spans="1:10">
      <c r="A1682" s="80">
        <v>2</v>
      </c>
      <c r="B1682" s="81"/>
      <c r="C1682" s="76" t="str">
        <f>IF(B1682="","",VLOOKUP(B1682,'Lista articole'!$D$4:$E$2255,2,FALSE))</f>
        <v/>
      </c>
      <c r="D1682" s="77">
        <v>0</v>
      </c>
      <c r="E1682" s="78">
        <f>IF(B1682="",0,VLOOKUP(B1682,'Lista articole'!$D$4:$F$2163,3,FALSE))</f>
        <v>0</v>
      </c>
      <c r="F1682" s="77">
        <f t="shared" si="780"/>
        <v>0</v>
      </c>
      <c r="G1682" s="77">
        <f t="shared" si="781"/>
        <v>0</v>
      </c>
      <c r="H1682" s="77">
        <f>F1682*'Date Generale'!$D$58</f>
        <v>0</v>
      </c>
      <c r="I1682" s="77">
        <f t="shared" si="782"/>
        <v>0</v>
      </c>
      <c r="J1682" s="79">
        <f t="shared" si="783"/>
        <v>0</v>
      </c>
    </row>
    <row r="1683" spans="1:10">
      <c r="A1683" s="693" t="s">
        <v>46</v>
      </c>
      <c r="B1683" s="694"/>
      <c r="C1683" s="694"/>
      <c r="D1683" s="694"/>
      <c r="E1683" s="694"/>
      <c r="F1683" s="56">
        <f>SUM(F1684:F1697)</f>
        <v>0</v>
      </c>
      <c r="G1683" s="56">
        <f>SUM(G1684:G1697)</f>
        <v>0</v>
      </c>
      <c r="H1683" s="56">
        <f>SUM(H1684:H1697)</f>
        <v>0</v>
      </c>
      <c r="I1683" s="56">
        <f>SUM(I1684:I1697)</f>
        <v>0</v>
      </c>
      <c r="J1683" s="57">
        <f>SUM(J1684:J1697)</f>
        <v>0</v>
      </c>
    </row>
    <row r="1684" spans="1:10">
      <c r="A1684" s="80">
        <v>1</v>
      </c>
      <c r="B1684" s="81"/>
      <c r="C1684" s="76" t="str">
        <f>IF(B1684="","",VLOOKUP(B1684,'Lista articole'!$D$4:$E$2255,2,FALSE))</f>
        <v/>
      </c>
      <c r="D1684" s="77">
        <v>0</v>
      </c>
      <c r="E1684" s="78">
        <f>IF(B1684="",0,VLOOKUP(B1684,'Lista articole'!$D$4:$F$2163,3,FALSE))</f>
        <v>0</v>
      </c>
      <c r="F1684" s="77">
        <f t="shared" ref="F1684:F1697" si="784">D1684*E1684</f>
        <v>0</v>
      </c>
      <c r="G1684" s="77">
        <f t="shared" ref="G1684:G1697" si="785">F1684/$H$9</f>
        <v>0</v>
      </c>
      <c r="H1684" s="77">
        <f>F1684*'Date Generale'!$D$58</f>
        <v>0</v>
      </c>
      <c r="I1684" s="77">
        <f t="shared" ref="I1684:I1697" si="786">H1684+F1684</f>
        <v>0</v>
      </c>
      <c r="J1684" s="79">
        <f t="shared" ref="J1684:J1697" si="787">I1684/$H$9</f>
        <v>0</v>
      </c>
    </row>
    <row r="1685" spans="1:10">
      <c r="A1685" s="80">
        <v>2</v>
      </c>
      <c r="B1685" s="81"/>
      <c r="C1685" s="76" t="str">
        <f>IF(B1685="","",VLOOKUP(B1685,'Lista articole'!$D$4:$E$2255,2,FALSE))</f>
        <v/>
      </c>
      <c r="D1685" s="77">
        <v>0</v>
      </c>
      <c r="E1685" s="78">
        <f>IF(B1685="",0,VLOOKUP(B1685,'Lista articole'!$D$4:$F$2163,3,FALSE))</f>
        <v>0</v>
      </c>
      <c r="F1685" s="77">
        <f t="shared" si="784"/>
        <v>0</v>
      </c>
      <c r="G1685" s="77">
        <f t="shared" si="785"/>
        <v>0</v>
      </c>
      <c r="H1685" s="77">
        <f>F1685*'Date Generale'!$D$58</f>
        <v>0</v>
      </c>
      <c r="I1685" s="77">
        <f t="shared" si="786"/>
        <v>0</v>
      </c>
      <c r="J1685" s="79">
        <f t="shared" si="787"/>
        <v>0</v>
      </c>
    </row>
    <row r="1686" spans="1:10">
      <c r="A1686" s="80">
        <v>3</v>
      </c>
      <c r="B1686" s="81"/>
      <c r="C1686" s="76" t="str">
        <f>IF(B1686="","",VLOOKUP(B1686,'Lista articole'!$D$4:$E$2255,2,FALSE))</f>
        <v/>
      </c>
      <c r="D1686" s="77">
        <v>0</v>
      </c>
      <c r="E1686" s="78">
        <f>IF(B1686="",0,VLOOKUP(B1686,'Lista articole'!$D$4:$F$2163,3,FALSE))</f>
        <v>0</v>
      </c>
      <c r="F1686" s="77">
        <f t="shared" si="784"/>
        <v>0</v>
      </c>
      <c r="G1686" s="77">
        <f t="shared" si="785"/>
        <v>0</v>
      </c>
      <c r="H1686" s="77">
        <f>F1686*'Date Generale'!$D$58</f>
        <v>0</v>
      </c>
      <c r="I1686" s="77">
        <f t="shared" si="786"/>
        <v>0</v>
      </c>
      <c r="J1686" s="79">
        <f t="shared" si="787"/>
        <v>0</v>
      </c>
    </row>
    <row r="1687" spans="1:10">
      <c r="A1687" s="80">
        <v>4</v>
      </c>
      <c r="B1687" s="81"/>
      <c r="C1687" s="76" t="str">
        <f>IF(B1687="","",VLOOKUP(B1687,'Lista articole'!$D$4:$E$2255,2,FALSE))</f>
        <v/>
      </c>
      <c r="D1687" s="77">
        <v>0</v>
      </c>
      <c r="E1687" s="78">
        <f>IF(B1687="",0,VLOOKUP(B1687,'Lista articole'!$D$4:$F$2163,3,FALSE))</f>
        <v>0</v>
      </c>
      <c r="F1687" s="77">
        <f t="shared" si="784"/>
        <v>0</v>
      </c>
      <c r="G1687" s="77">
        <f t="shared" si="785"/>
        <v>0</v>
      </c>
      <c r="H1687" s="77">
        <f>F1687*'Date Generale'!$D$58</f>
        <v>0</v>
      </c>
      <c r="I1687" s="77">
        <f t="shared" si="786"/>
        <v>0</v>
      </c>
      <c r="J1687" s="79">
        <f t="shared" si="787"/>
        <v>0</v>
      </c>
    </row>
    <row r="1688" spans="1:10">
      <c r="A1688" s="80">
        <v>5</v>
      </c>
      <c r="B1688" s="81"/>
      <c r="C1688" s="76" t="str">
        <f>IF(B1688="","",VLOOKUP(B1688,'Lista articole'!$D$4:$E$2255,2,FALSE))</f>
        <v/>
      </c>
      <c r="D1688" s="77">
        <v>0</v>
      </c>
      <c r="E1688" s="78">
        <f>IF(B1688="",0,VLOOKUP(B1688,'Lista articole'!$D$4:$F$2163,3,FALSE))</f>
        <v>0</v>
      </c>
      <c r="F1688" s="77">
        <f t="shared" si="784"/>
        <v>0</v>
      </c>
      <c r="G1688" s="77">
        <f t="shared" si="785"/>
        <v>0</v>
      </c>
      <c r="H1688" s="77">
        <f>F1688*'Date Generale'!$D$58</f>
        <v>0</v>
      </c>
      <c r="I1688" s="77">
        <f t="shared" si="786"/>
        <v>0</v>
      </c>
      <c r="J1688" s="79">
        <f t="shared" si="787"/>
        <v>0</v>
      </c>
    </row>
    <row r="1689" spans="1:10">
      <c r="A1689" s="80">
        <v>6</v>
      </c>
      <c r="B1689" s="81"/>
      <c r="C1689" s="76" t="str">
        <f>IF(B1689="","",VLOOKUP(B1689,'Lista articole'!$D$4:$E$2255,2,FALSE))</f>
        <v/>
      </c>
      <c r="D1689" s="77">
        <v>0</v>
      </c>
      <c r="E1689" s="78">
        <f>IF(B1689="",0,VLOOKUP(B1689,'Lista articole'!$D$4:$F$2163,3,FALSE))</f>
        <v>0</v>
      </c>
      <c r="F1689" s="77">
        <f t="shared" si="784"/>
        <v>0</v>
      </c>
      <c r="G1689" s="77">
        <f t="shared" si="785"/>
        <v>0</v>
      </c>
      <c r="H1689" s="77">
        <f>F1689*'Date Generale'!$D$58</f>
        <v>0</v>
      </c>
      <c r="I1689" s="77">
        <f t="shared" si="786"/>
        <v>0</v>
      </c>
      <c r="J1689" s="79">
        <f t="shared" si="787"/>
        <v>0</v>
      </c>
    </row>
    <row r="1690" spans="1:10">
      <c r="A1690" s="80">
        <v>7</v>
      </c>
      <c r="B1690" s="81"/>
      <c r="C1690" s="76" t="str">
        <f>IF(B1690="","",VLOOKUP(B1690,'Lista articole'!$D$4:$E$2255,2,FALSE))</f>
        <v/>
      </c>
      <c r="D1690" s="77">
        <v>0</v>
      </c>
      <c r="E1690" s="78">
        <f>IF(B1690="",0,VLOOKUP(B1690,'Lista articole'!$D$4:$F$2163,3,FALSE))</f>
        <v>0</v>
      </c>
      <c r="F1690" s="77">
        <f t="shared" si="784"/>
        <v>0</v>
      </c>
      <c r="G1690" s="77">
        <f t="shared" si="785"/>
        <v>0</v>
      </c>
      <c r="H1690" s="77">
        <f>F1690*'Date Generale'!$D$58</f>
        <v>0</v>
      </c>
      <c r="I1690" s="77">
        <f t="shared" si="786"/>
        <v>0</v>
      </c>
      <c r="J1690" s="79">
        <f t="shared" si="787"/>
        <v>0</v>
      </c>
    </row>
    <row r="1691" spans="1:10">
      <c r="A1691" s="80">
        <v>8</v>
      </c>
      <c r="B1691" s="81"/>
      <c r="C1691" s="76" t="str">
        <f>IF(B1691="","",VLOOKUP(B1691,'Lista articole'!$D$4:$E$2255,2,FALSE))</f>
        <v/>
      </c>
      <c r="D1691" s="77">
        <v>0</v>
      </c>
      <c r="E1691" s="78">
        <f>IF(B1691="",0,VLOOKUP(B1691,'Lista articole'!$D$4:$F$2163,3,FALSE))</f>
        <v>0</v>
      </c>
      <c r="F1691" s="77">
        <f t="shared" si="784"/>
        <v>0</v>
      </c>
      <c r="G1691" s="77">
        <f t="shared" si="785"/>
        <v>0</v>
      </c>
      <c r="H1691" s="77">
        <f>F1691*'Date Generale'!$D$58</f>
        <v>0</v>
      </c>
      <c r="I1691" s="77">
        <f t="shared" si="786"/>
        <v>0</v>
      </c>
      <c r="J1691" s="79">
        <f t="shared" si="787"/>
        <v>0</v>
      </c>
    </row>
    <row r="1692" spans="1:10">
      <c r="A1692" s="80">
        <v>9</v>
      </c>
      <c r="B1692" s="81"/>
      <c r="C1692" s="76" t="str">
        <f>IF(B1692="","",VLOOKUP(B1692,'Lista articole'!$D$4:$E$2255,2,FALSE))</f>
        <v/>
      </c>
      <c r="D1692" s="77">
        <v>0</v>
      </c>
      <c r="E1692" s="78">
        <f>IF(B1692="",0,VLOOKUP(B1692,'Lista articole'!$D$4:$F$2163,3,FALSE))</f>
        <v>0</v>
      </c>
      <c r="F1692" s="77">
        <f t="shared" si="784"/>
        <v>0</v>
      </c>
      <c r="G1692" s="77">
        <f t="shared" si="785"/>
        <v>0</v>
      </c>
      <c r="H1692" s="77">
        <f>F1692*'Date Generale'!$D$58</f>
        <v>0</v>
      </c>
      <c r="I1692" s="77">
        <f t="shared" si="786"/>
        <v>0</v>
      </c>
      <c r="J1692" s="79">
        <f t="shared" si="787"/>
        <v>0</v>
      </c>
    </row>
    <row r="1693" spans="1:10">
      <c r="A1693" s="80">
        <v>10</v>
      </c>
      <c r="B1693" s="81"/>
      <c r="C1693" s="76" t="str">
        <f>IF(B1693="","",VLOOKUP(B1693,'Lista articole'!$D$4:$E$2255,2,FALSE))</f>
        <v/>
      </c>
      <c r="D1693" s="77">
        <v>0</v>
      </c>
      <c r="E1693" s="78">
        <f>IF(B1693="",0,VLOOKUP(B1693,'Lista articole'!$D$4:$F$2163,3,FALSE))</f>
        <v>0</v>
      </c>
      <c r="F1693" s="77">
        <f t="shared" si="784"/>
        <v>0</v>
      </c>
      <c r="G1693" s="77">
        <f t="shared" si="785"/>
        <v>0</v>
      </c>
      <c r="H1693" s="77">
        <f>F1693*'Date Generale'!$D$58</f>
        <v>0</v>
      </c>
      <c r="I1693" s="77">
        <f t="shared" si="786"/>
        <v>0</v>
      </c>
      <c r="J1693" s="79">
        <f t="shared" si="787"/>
        <v>0</v>
      </c>
    </row>
    <row r="1694" spans="1:10">
      <c r="A1694" s="80">
        <v>11</v>
      </c>
      <c r="B1694" s="81"/>
      <c r="C1694" s="76" t="str">
        <f>IF(B1694="","",VLOOKUP(B1694,'Lista articole'!$D$4:$E$2255,2,FALSE))</f>
        <v/>
      </c>
      <c r="D1694" s="77">
        <v>0</v>
      </c>
      <c r="E1694" s="78">
        <f>IF(B1694="",0,VLOOKUP(B1694,'Lista articole'!$D$4:$F$2163,3,FALSE))</f>
        <v>0</v>
      </c>
      <c r="F1694" s="77">
        <f t="shared" si="784"/>
        <v>0</v>
      </c>
      <c r="G1694" s="77">
        <f t="shared" si="785"/>
        <v>0</v>
      </c>
      <c r="H1694" s="77">
        <f>F1694*'Date Generale'!$D$58</f>
        <v>0</v>
      </c>
      <c r="I1694" s="77">
        <f t="shared" si="786"/>
        <v>0</v>
      </c>
      <c r="J1694" s="79">
        <f t="shared" si="787"/>
        <v>0</v>
      </c>
    </row>
    <row r="1695" spans="1:10">
      <c r="A1695" s="80">
        <v>12</v>
      </c>
      <c r="B1695" s="81"/>
      <c r="C1695" s="76" t="str">
        <f>IF(B1695="","",VLOOKUP(B1695,'Lista articole'!$D$4:$E$2255,2,FALSE))</f>
        <v/>
      </c>
      <c r="D1695" s="77">
        <v>0</v>
      </c>
      <c r="E1695" s="78">
        <f>IF(B1695="",0,VLOOKUP(B1695,'Lista articole'!$D$4:$F$2163,3,FALSE))</f>
        <v>0</v>
      </c>
      <c r="F1695" s="77">
        <f t="shared" si="784"/>
        <v>0</v>
      </c>
      <c r="G1695" s="77">
        <f t="shared" si="785"/>
        <v>0</v>
      </c>
      <c r="H1695" s="77">
        <f>F1695*'Date Generale'!$D$58</f>
        <v>0</v>
      </c>
      <c r="I1695" s="77">
        <f t="shared" si="786"/>
        <v>0</v>
      </c>
      <c r="J1695" s="79">
        <f t="shared" si="787"/>
        <v>0</v>
      </c>
    </row>
    <row r="1696" spans="1:10">
      <c r="A1696" s="80">
        <v>13</v>
      </c>
      <c r="B1696" s="81"/>
      <c r="C1696" s="76" t="str">
        <f>IF(B1696="","",VLOOKUP(B1696,'Lista articole'!$D$4:$E$2255,2,FALSE))</f>
        <v/>
      </c>
      <c r="D1696" s="77">
        <v>0</v>
      </c>
      <c r="E1696" s="78">
        <f>IF(B1696="",0,VLOOKUP(B1696,'Lista articole'!$D$4:$F$2163,3,FALSE))</f>
        <v>0</v>
      </c>
      <c r="F1696" s="77">
        <f t="shared" si="784"/>
        <v>0</v>
      </c>
      <c r="G1696" s="77">
        <f t="shared" si="785"/>
        <v>0</v>
      </c>
      <c r="H1696" s="77">
        <f>F1696*'Date Generale'!$D$58</f>
        <v>0</v>
      </c>
      <c r="I1696" s="77">
        <f t="shared" si="786"/>
        <v>0</v>
      </c>
      <c r="J1696" s="79">
        <f t="shared" si="787"/>
        <v>0</v>
      </c>
    </row>
    <row r="1697" spans="1:10">
      <c r="A1697" s="80">
        <v>14</v>
      </c>
      <c r="B1697" s="81"/>
      <c r="C1697" s="76" t="str">
        <f>IF(B1697="","",VLOOKUP(B1697,'Lista articole'!$D$4:$E$2255,2,FALSE))</f>
        <v/>
      </c>
      <c r="D1697" s="77">
        <v>0</v>
      </c>
      <c r="E1697" s="78">
        <f>IF(B1697="",0,VLOOKUP(B1697,'Lista articole'!$D$4:$F$2163,3,FALSE))</f>
        <v>0</v>
      </c>
      <c r="F1697" s="77">
        <f t="shared" si="784"/>
        <v>0</v>
      </c>
      <c r="G1697" s="77">
        <f t="shared" si="785"/>
        <v>0</v>
      </c>
      <c r="H1697" s="77">
        <f>F1697*'Date Generale'!$D$58</f>
        <v>0</v>
      </c>
      <c r="I1697" s="77">
        <f t="shared" si="786"/>
        <v>0</v>
      </c>
      <c r="J1697" s="79">
        <f t="shared" si="787"/>
        <v>0</v>
      </c>
    </row>
    <row r="1698" spans="1:10">
      <c r="A1698" s="693" t="s">
        <v>50</v>
      </c>
      <c r="B1698" s="694"/>
      <c r="C1698" s="694"/>
      <c r="D1698" s="694"/>
      <c r="E1698" s="694"/>
      <c r="F1698" s="56">
        <f>SUM(F1699:F1700)</f>
        <v>0</v>
      </c>
      <c r="G1698" s="56">
        <f>SUM(G1699:G1700)</f>
        <v>0</v>
      </c>
      <c r="H1698" s="56">
        <f>SUM(H1699:H1700)</f>
        <v>0</v>
      </c>
      <c r="I1698" s="56">
        <f>SUM(I1699:I1700)</f>
        <v>0</v>
      </c>
      <c r="J1698" s="57">
        <f>SUM(J1699:J1700)</f>
        <v>0</v>
      </c>
    </row>
    <row r="1699" spans="1:10">
      <c r="A1699" s="80">
        <v>1</v>
      </c>
      <c r="B1699" s="81"/>
      <c r="C1699" s="76" t="str">
        <f>IF(B1699="","",VLOOKUP(B1699,'Lista articole'!$D$4:$E$2255,2,FALSE))</f>
        <v/>
      </c>
      <c r="D1699" s="77">
        <v>0</v>
      </c>
      <c r="E1699" s="78">
        <f>IF(B1699="",0,VLOOKUP(B1699,'Lista articole'!$D$4:$F$2163,3,FALSE))</f>
        <v>0</v>
      </c>
      <c r="F1699" s="77">
        <f t="shared" ref="F1699:F1700" si="788">D1699*E1699</f>
        <v>0</v>
      </c>
      <c r="G1699" s="77">
        <f t="shared" ref="G1699:G1700" si="789">F1699/$H$9</f>
        <v>0</v>
      </c>
      <c r="H1699" s="77">
        <f>F1699*'Date Generale'!$D$58</f>
        <v>0</v>
      </c>
      <c r="I1699" s="77">
        <f t="shared" ref="I1699:I1700" si="790">H1699+F1699</f>
        <v>0</v>
      </c>
      <c r="J1699" s="79">
        <f t="shared" ref="J1699:J1700" si="791">I1699/$H$9</f>
        <v>0</v>
      </c>
    </row>
    <row r="1700" spans="1:10">
      <c r="A1700" s="74">
        <f>A1699+1</f>
        <v>2</v>
      </c>
      <c r="B1700" s="75"/>
      <c r="C1700" s="76" t="str">
        <f>IF(B1700="","",VLOOKUP(B1700,'Lista articole'!$D$4:$E$2255,2,FALSE))</f>
        <v/>
      </c>
      <c r="D1700" s="77">
        <v>0</v>
      </c>
      <c r="E1700" s="78">
        <f>IF(B1700="",0,VLOOKUP(B1700,'Lista articole'!$D$4:$F$2163,3,FALSE))</f>
        <v>0</v>
      </c>
      <c r="F1700" s="77">
        <f t="shared" si="788"/>
        <v>0</v>
      </c>
      <c r="G1700" s="77">
        <f t="shared" si="789"/>
        <v>0</v>
      </c>
      <c r="H1700" s="77">
        <f>F1700*'Date Generale'!$D$58</f>
        <v>0</v>
      </c>
      <c r="I1700" s="77">
        <f t="shared" si="790"/>
        <v>0</v>
      </c>
      <c r="J1700" s="79">
        <f t="shared" si="791"/>
        <v>0</v>
      </c>
    </row>
    <row r="1701" spans="1:10">
      <c r="A1701" s="693" t="s">
        <v>51</v>
      </c>
      <c r="B1701" s="694"/>
      <c r="C1701" s="694"/>
      <c r="D1701" s="694"/>
      <c r="E1701" s="694"/>
      <c r="F1701" s="56">
        <f>SUM(F1702:F1703)</f>
        <v>0</v>
      </c>
      <c r="G1701" s="56">
        <f>SUM(G1702:G1703)</f>
        <v>0</v>
      </c>
      <c r="H1701" s="56">
        <f>SUM(H1702:H1703)</f>
        <v>0</v>
      </c>
      <c r="I1701" s="56">
        <f>SUM(I1702:I1703)</f>
        <v>0</v>
      </c>
      <c r="J1701" s="57">
        <f>SUM(J1702:J1703)</f>
        <v>0</v>
      </c>
    </row>
    <row r="1702" spans="1:10">
      <c r="A1702" s="80">
        <v>1</v>
      </c>
      <c r="B1702" s="81"/>
      <c r="C1702" s="76" t="str">
        <f>IF(B1702="","",VLOOKUP(B1702,'Lista articole'!$D$4:$E$2255,2,FALSE))</f>
        <v/>
      </c>
      <c r="D1702" s="77">
        <v>0</v>
      </c>
      <c r="E1702" s="78">
        <f>IF(B1702="",0,VLOOKUP(B1702,'Lista articole'!$D$4:$F$2163,3,FALSE))</f>
        <v>0</v>
      </c>
      <c r="F1702" s="77">
        <f t="shared" ref="F1702:F1703" si="792">D1702*E1702</f>
        <v>0</v>
      </c>
      <c r="G1702" s="77">
        <f t="shared" ref="G1702:G1703" si="793">F1702/$H$9</f>
        <v>0</v>
      </c>
      <c r="H1702" s="77">
        <f>F1702*'Date Generale'!$D$58</f>
        <v>0</v>
      </c>
      <c r="I1702" s="77">
        <f t="shared" ref="I1702:I1703" si="794">H1702+F1702</f>
        <v>0</v>
      </c>
      <c r="J1702" s="79">
        <f t="shared" ref="J1702:J1703" si="795">I1702/$H$9</f>
        <v>0</v>
      </c>
    </row>
    <row r="1703" spans="1:10">
      <c r="A1703" s="74">
        <f>A1702+1</f>
        <v>2</v>
      </c>
      <c r="B1703" s="75"/>
      <c r="C1703" s="76" t="str">
        <f>IF(B1703="","",VLOOKUP(B1703,'Lista articole'!$D$4:$E$2255,2,FALSE))</f>
        <v/>
      </c>
      <c r="D1703" s="77">
        <v>0</v>
      </c>
      <c r="E1703" s="78">
        <f>IF(B1703="",0,VLOOKUP(B1703,'Lista articole'!$D$4:$F$2163,3,FALSE))</f>
        <v>0</v>
      </c>
      <c r="F1703" s="77">
        <f t="shared" si="792"/>
        <v>0</v>
      </c>
      <c r="G1703" s="77">
        <f t="shared" si="793"/>
        <v>0</v>
      </c>
      <c r="H1703" s="77">
        <f>F1703*'Date Generale'!$D$58</f>
        <v>0</v>
      </c>
      <c r="I1703" s="77">
        <f t="shared" si="794"/>
        <v>0</v>
      </c>
      <c r="J1703" s="79">
        <f t="shared" si="795"/>
        <v>0</v>
      </c>
    </row>
    <row r="1704" spans="1:10">
      <c r="A1704" s="693" t="s">
        <v>52</v>
      </c>
      <c r="B1704" s="694"/>
      <c r="C1704" s="694"/>
      <c r="D1704" s="694"/>
      <c r="E1704" s="694"/>
      <c r="F1704" s="56">
        <f>SUM(F1705:F1706)</f>
        <v>0</v>
      </c>
      <c r="G1704" s="56">
        <f>SUM(G1705:G1706)</f>
        <v>0</v>
      </c>
      <c r="H1704" s="56">
        <f>SUM(H1705:H1706)</f>
        <v>0</v>
      </c>
      <c r="I1704" s="56">
        <f>SUM(I1705:I1706)</f>
        <v>0</v>
      </c>
      <c r="J1704" s="57">
        <f>SUM(J1705:J1706)</f>
        <v>0</v>
      </c>
    </row>
    <row r="1705" spans="1:10">
      <c r="A1705" s="80">
        <v>1</v>
      </c>
      <c r="B1705" s="81"/>
      <c r="C1705" s="76" t="str">
        <f>IF(B1705="","",VLOOKUP(B1705,'Lista articole'!$D$4:$E$2255,2,FALSE))</f>
        <v/>
      </c>
      <c r="D1705" s="77">
        <v>0</v>
      </c>
      <c r="E1705" s="78">
        <f>IF(B1705="",0,VLOOKUP(B1705,'Lista articole'!$D$4:$F$2163,3,FALSE))</f>
        <v>0</v>
      </c>
      <c r="F1705" s="77">
        <f>D1705*E1705</f>
        <v>0</v>
      </c>
      <c r="G1705" s="77">
        <f>F1705/$H$9</f>
        <v>0</v>
      </c>
      <c r="H1705" s="77">
        <f>F1705*'Date Generale'!$D$58</f>
        <v>0</v>
      </c>
      <c r="I1705" s="77">
        <f t="shared" ref="I1705:I1706" si="796">H1705+F1705</f>
        <v>0</v>
      </c>
      <c r="J1705" s="79">
        <f t="shared" ref="J1705:J1706" si="797">I1705/$H$9</f>
        <v>0</v>
      </c>
    </row>
    <row r="1706" spans="1:10">
      <c r="A1706" s="74">
        <f>A1705+1</f>
        <v>2</v>
      </c>
      <c r="B1706" s="75"/>
      <c r="C1706" s="76" t="str">
        <f>IF(B1706="","",VLOOKUP(B1706,'Lista articole'!$D$4:$E$2255,2,FALSE))</f>
        <v/>
      </c>
      <c r="D1706" s="77">
        <v>0</v>
      </c>
      <c r="E1706" s="78">
        <f>IF(B1706="",0,VLOOKUP(B1706,'Lista articole'!$D$4:$F$2163,3,FALSE))</f>
        <v>0</v>
      </c>
      <c r="F1706" s="77">
        <f t="shared" ref="F1706" si="798">D1706*E1706</f>
        <v>0</v>
      </c>
      <c r="G1706" s="77">
        <f t="shared" ref="G1706" si="799">F1706/$H$9</f>
        <v>0</v>
      </c>
      <c r="H1706" s="77">
        <f>F1706*'Date Generale'!$D$58</f>
        <v>0</v>
      </c>
      <c r="I1706" s="77">
        <f t="shared" si="796"/>
        <v>0</v>
      </c>
      <c r="J1706" s="79">
        <f t="shared" si="797"/>
        <v>0</v>
      </c>
    </row>
    <row r="1707" spans="1:10">
      <c r="A1707" s="693" t="s">
        <v>53</v>
      </c>
      <c r="B1707" s="694"/>
      <c r="C1707" s="694"/>
      <c r="D1707" s="694"/>
      <c r="E1707" s="694"/>
      <c r="F1707" s="56">
        <f>SUM(F1708:F1709)</f>
        <v>0</v>
      </c>
      <c r="G1707" s="56">
        <f>SUM(G1708:G1709)</f>
        <v>0</v>
      </c>
      <c r="H1707" s="56">
        <f>SUM(H1708:H1709)</f>
        <v>0</v>
      </c>
      <c r="I1707" s="56">
        <f>SUM(I1708:I1709)</f>
        <v>0</v>
      </c>
      <c r="J1707" s="57">
        <f>SUM(J1708:J1709)</f>
        <v>0</v>
      </c>
    </row>
    <row r="1708" spans="1:10">
      <c r="A1708" s="80">
        <v>1</v>
      </c>
      <c r="B1708" s="81"/>
      <c r="C1708" s="76" t="str">
        <f>IF(B1708="","",VLOOKUP(B1708,'Lista articole'!$D$4:$E$2255,2,FALSE))</f>
        <v/>
      </c>
      <c r="D1708" s="77">
        <v>0</v>
      </c>
      <c r="E1708" s="78">
        <f>IF(B1708="",0,VLOOKUP(B1708,'Lista articole'!$D$4:$F$2163,3,FALSE))</f>
        <v>0</v>
      </c>
      <c r="F1708" s="77">
        <f>D1708*E1708</f>
        <v>0</v>
      </c>
      <c r="G1708" s="77">
        <f>F1708/$H$9</f>
        <v>0</v>
      </c>
      <c r="H1708" s="77">
        <f>F1708*'Date Generale'!$D$58</f>
        <v>0</v>
      </c>
      <c r="I1708" s="77">
        <f t="shared" ref="I1708:I1709" si="800">H1708+F1708</f>
        <v>0</v>
      </c>
      <c r="J1708" s="79">
        <f t="shared" ref="J1708:J1709" si="801">I1708/$H$9</f>
        <v>0</v>
      </c>
    </row>
    <row r="1709" spans="1:10" ht="15.75" thickBot="1">
      <c r="A1709" s="139">
        <f>A1708+1</f>
        <v>2</v>
      </c>
      <c r="B1709" s="140"/>
      <c r="C1709" s="141" t="str">
        <f>IF(B1709="","",VLOOKUP(B1709,'Lista articole'!$D$4:$E$2255,2,FALSE))</f>
        <v/>
      </c>
      <c r="D1709" s="142">
        <v>0</v>
      </c>
      <c r="E1709" s="143">
        <f>IF(B1709="",0,VLOOKUP(B1709,'Lista articole'!$D$4:$F$2163,3,FALSE))</f>
        <v>0</v>
      </c>
      <c r="F1709" s="142">
        <f t="shared" ref="F1709" si="802">D1709*E1709</f>
        <v>0</v>
      </c>
      <c r="G1709" s="142">
        <f t="shared" ref="G1709" si="803">F1709/$H$9</f>
        <v>0</v>
      </c>
      <c r="H1709" s="142">
        <f>F1709*'Date Generale'!$D$58</f>
        <v>0</v>
      </c>
      <c r="I1709" s="142">
        <f t="shared" si="800"/>
        <v>0</v>
      </c>
      <c r="J1709" s="144">
        <f t="shared" si="801"/>
        <v>0</v>
      </c>
    </row>
    <row r="1710" spans="1:10" ht="15.75" thickBot="1">
      <c r="A1710" s="685" t="s">
        <v>27</v>
      </c>
      <c r="B1710" s="686"/>
      <c r="C1710" s="686"/>
      <c r="D1710" s="686"/>
      <c r="E1710" s="686"/>
      <c r="F1710" s="82">
        <f>SUM(F1674,F1677,F1680,F1683,F1698,F1701,F1704,F1707)</f>
        <v>0</v>
      </c>
      <c r="G1710" s="82">
        <f>SUM(G1674,G1677,G1680,G1683,G1698,G1701,G1704,G1707)</f>
        <v>0</v>
      </c>
      <c r="H1710" s="82">
        <f>SUM(H1674,H1677,H1680,H1683,H1698,H1701,H1704,H1707)</f>
        <v>0</v>
      </c>
      <c r="I1710" s="82">
        <f>SUM(I1674,I1677,I1680,I1683,I1698,I1701,I1704,I1707)</f>
        <v>0</v>
      </c>
      <c r="J1710" s="83">
        <f>SUM(J1674,J1677,J1680,J1683,J1698,J1701,J1704,J1707)</f>
        <v>0</v>
      </c>
    </row>
    <row r="1711" spans="1:10" ht="15.75" thickBot="1">
      <c r="A1711" s="683" t="s">
        <v>28</v>
      </c>
      <c r="B1711" s="684"/>
      <c r="C1711" s="684"/>
      <c r="D1711" s="684"/>
      <c r="E1711" s="684"/>
      <c r="F1711" s="72"/>
      <c r="G1711" s="72"/>
      <c r="H1711" s="72"/>
      <c r="I1711" s="72"/>
      <c r="J1711" s="73"/>
    </row>
    <row r="1712" spans="1:10">
      <c r="A1712" s="145"/>
      <c r="B1712" s="695" t="s">
        <v>29</v>
      </c>
      <c r="C1712" s="695"/>
      <c r="D1712" s="695"/>
      <c r="E1712" s="695"/>
      <c r="F1712" s="146">
        <f>SUM(F1713:F1714)</f>
        <v>0</v>
      </c>
      <c r="G1712" s="146">
        <f>SUM(G1713:G1714)</f>
        <v>0</v>
      </c>
      <c r="H1712" s="146">
        <f>SUM(H1713:H1714)</f>
        <v>0</v>
      </c>
      <c r="I1712" s="146">
        <f>SUM(I1713:I1714)</f>
        <v>0</v>
      </c>
      <c r="J1712" s="147">
        <f>SUM(J1713:J1714)</f>
        <v>0</v>
      </c>
    </row>
    <row r="1713" spans="1:10">
      <c r="A1713" s="80">
        <v>1</v>
      </c>
      <c r="B1713" s="81"/>
      <c r="C1713" s="76" t="str">
        <f>IF(B1713="","",VLOOKUP(B1713,'Lista articole'!$D$4:$E$2255,2,FALSE))</f>
        <v/>
      </c>
      <c r="D1713" s="77">
        <v>0</v>
      </c>
      <c r="E1713" s="78">
        <f>IF(B1713="",0,VLOOKUP(B1713,'Lista articole'!$D$4:$F$2163,3,FALSE))</f>
        <v>0</v>
      </c>
      <c r="F1713" s="77">
        <f>D1713*E1713</f>
        <v>0</v>
      </c>
      <c r="G1713" s="77">
        <f>F1713/$H$9</f>
        <v>0</v>
      </c>
      <c r="H1713" s="77">
        <f>F1713*'Date Generale'!$D$58</f>
        <v>0</v>
      </c>
      <c r="I1713" s="77">
        <f t="shared" ref="I1713:I1714" si="804">H1713+F1713</f>
        <v>0</v>
      </c>
      <c r="J1713" s="79">
        <f t="shared" ref="J1713:J1714" si="805">I1713/$H$9</f>
        <v>0</v>
      </c>
    </row>
    <row r="1714" spans="1:10" ht="15.75" thickBot="1">
      <c r="A1714" s="139">
        <f>A1713+1</f>
        <v>2</v>
      </c>
      <c r="B1714" s="140"/>
      <c r="C1714" s="141" t="str">
        <f>IF(B1714="","",VLOOKUP(B1714,'Lista articole'!$D$4:$E$2255,2,FALSE))</f>
        <v/>
      </c>
      <c r="D1714" s="142">
        <v>0</v>
      </c>
      <c r="E1714" s="143">
        <f>IF(B1714="",0,VLOOKUP(B1714,'Lista articole'!$D$4:$F$2163,3,FALSE))</f>
        <v>0</v>
      </c>
      <c r="F1714" s="142">
        <f t="shared" ref="F1714" si="806">D1714*E1714</f>
        <v>0</v>
      </c>
      <c r="G1714" s="142">
        <f t="shared" ref="G1714" si="807">F1714/$H$9</f>
        <v>0</v>
      </c>
      <c r="H1714" s="142">
        <f>F1714*'Date Generale'!$D$58</f>
        <v>0</v>
      </c>
      <c r="I1714" s="142">
        <f t="shared" si="804"/>
        <v>0</v>
      </c>
      <c r="J1714" s="144">
        <f t="shared" si="805"/>
        <v>0</v>
      </c>
    </row>
    <row r="1715" spans="1:10" ht="15.75" thickBot="1">
      <c r="A1715" s="685" t="s">
        <v>30</v>
      </c>
      <c r="B1715" s="686"/>
      <c r="C1715" s="686"/>
      <c r="D1715" s="686"/>
      <c r="E1715" s="686"/>
      <c r="F1715" s="85">
        <f>F1712</f>
        <v>0</v>
      </c>
      <c r="G1715" s="85">
        <f>G1712</f>
        <v>0</v>
      </c>
      <c r="H1715" s="85">
        <f>H1712</f>
        <v>0</v>
      </c>
      <c r="I1715" s="85">
        <f>I1712</f>
        <v>0</v>
      </c>
      <c r="J1715" s="86">
        <f>J1712</f>
        <v>0</v>
      </c>
    </row>
    <row r="1716" spans="1:10" ht="15.75" thickBot="1">
      <c r="A1716" s="683" t="s">
        <v>31</v>
      </c>
      <c r="B1716" s="684"/>
      <c r="C1716" s="684"/>
      <c r="D1716" s="684"/>
      <c r="E1716" s="684"/>
      <c r="F1716" s="72"/>
      <c r="G1716" s="72"/>
      <c r="H1716" s="72"/>
      <c r="I1716" s="72"/>
      <c r="J1716" s="73"/>
    </row>
    <row r="1717" spans="1:10">
      <c r="A1717" s="145"/>
      <c r="B1717" s="695" t="s">
        <v>32</v>
      </c>
      <c r="C1717" s="695"/>
      <c r="D1717" s="695"/>
      <c r="E1717" s="695"/>
      <c r="F1717" s="148">
        <f>SUM(F1718:F1719)</f>
        <v>0</v>
      </c>
      <c r="G1717" s="148">
        <f>SUM(G1718:G1719)</f>
        <v>0</v>
      </c>
      <c r="H1717" s="148">
        <f>SUM(H1718:H1719)</f>
        <v>0</v>
      </c>
      <c r="I1717" s="148">
        <f>SUM(I1718:I1719)</f>
        <v>0</v>
      </c>
      <c r="J1717" s="149">
        <f>SUM(J1718:J1719)</f>
        <v>0</v>
      </c>
    </row>
    <row r="1718" spans="1:10">
      <c r="A1718" s="80">
        <v>1</v>
      </c>
      <c r="B1718" s="81"/>
      <c r="C1718" s="76" t="str">
        <f>IF(B1718="","",VLOOKUP(B1718,'Lista articole'!$D$4:$E$2255,2,FALSE))</f>
        <v/>
      </c>
      <c r="D1718" s="77">
        <v>0</v>
      </c>
      <c r="E1718" s="78">
        <f>IF(B1718="",0,VLOOKUP(B1718,'Lista articole'!$D$4:$F$2163,3,FALSE))</f>
        <v>0</v>
      </c>
      <c r="F1718" s="77">
        <f>D1718*E1718</f>
        <v>0</v>
      </c>
      <c r="G1718" s="77">
        <f>F1718/$H$9</f>
        <v>0</v>
      </c>
      <c r="H1718" s="77">
        <f>F1718*'Date Generale'!$D$58</f>
        <v>0</v>
      </c>
      <c r="I1718" s="77">
        <f t="shared" ref="I1718:I1719" si="808">H1718+F1718</f>
        <v>0</v>
      </c>
      <c r="J1718" s="79">
        <f t="shared" ref="J1718:J1719" si="809">I1718/$H$9</f>
        <v>0</v>
      </c>
    </row>
    <row r="1719" spans="1:10">
      <c r="A1719" s="74">
        <f>A1718+1</f>
        <v>2</v>
      </c>
      <c r="B1719" s="75"/>
      <c r="C1719" s="76" t="str">
        <f>IF(B1719="","",VLOOKUP(B1719,'Lista articole'!$D$4:$E$2255,2,FALSE))</f>
        <v/>
      </c>
      <c r="D1719" s="77">
        <v>0</v>
      </c>
      <c r="E1719" s="78">
        <f>IF(B1719="",0,VLOOKUP(B1719,'Lista articole'!$D$4:$F$2163,3,FALSE))</f>
        <v>0</v>
      </c>
      <c r="F1719" s="77">
        <f t="shared" ref="F1719" si="810">D1719*E1719</f>
        <v>0</v>
      </c>
      <c r="G1719" s="77">
        <f t="shared" ref="G1719" si="811">F1719/$H$9</f>
        <v>0</v>
      </c>
      <c r="H1719" s="77">
        <f>F1719*'Date Generale'!$D$58</f>
        <v>0</v>
      </c>
      <c r="I1719" s="77">
        <f t="shared" si="808"/>
        <v>0</v>
      </c>
      <c r="J1719" s="79">
        <f t="shared" si="809"/>
        <v>0</v>
      </c>
    </row>
    <row r="1720" spans="1:10">
      <c r="A1720" s="87"/>
      <c r="B1720" s="696" t="s">
        <v>33</v>
      </c>
      <c r="C1720" s="696"/>
      <c r="D1720" s="696"/>
      <c r="E1720" s="696"/>
      <c r="F1720" s="88">
        <f>SUM(F1721:F1722)</f>
        <v>0</v>
      </c>
      <c r="G1720" s="88">
        <f>SUM(G1721:G1722)</f>
        <v>0</v>
      </c>
      <c r="H1720" s="88">
        <f>SUM(H1721:H1722)</f>
        <v>0</v>
      </c>
      <c r="I1720" s="88">
        <f>SUM(I1721:I1722)</f>
        <v>0</v>
      </c>
      <c r="J1720" s="89">
        <f>SUM(J1721:J1722)</f>
        <v>0</v>
      </c>
    </row>
    <row r="1721" spans="1:10">
      <c r="A1721" s="80">
        <v>1</v>
      </c>
      <c r="B1721" s="81"/>
      <c r="C1721" s="76" t="str">
        <f>IF(B1721="","",VLOOKUP(B1721,'Lista articole'!$D$4:$E$2255,2,FALSE))</f>
        <v/>
      </c>
      <c r="D1721" s="77">
        <v>0</v>
      </c>
      <c r="E1721" s="78">
        <f>IF(B1721="",0,VLOOKUP(B1721,'Lista articole'!$D$4:$F$2163,3,FALSE))</f>
        <v>0</v>
      </c>
      <c r="F1721" s="77">
        <f>D1721*E1721</f>
        <v>0</v>
      </c>
      <c r="G1721" s="77">
        <f>F1721/$H$9</f>
        <v>0</v>
      </c>
      <c r="H1721" s="77">
        <f>F1721*'Date Generale'!$D$58</f>
        <v>0</v>
      </c>
      <c r="I1721" s="77">
        <f t="shared" ref="I1721:I1722" si="812">H1721+F1721</f>
        <v>0</v>
      </c>
      <c r="J1721" s="79">
        <f t="shared" ref="J1721:J1722" si="813">I1721/$H$9</f>
        <v>0</v>
      </c>
    </row>
    <row r="1722" spans="1:10">
      <c r="A1722" s="74">
        <f>A1721+1</f>
        <v>2</v>
      </c>
      <c r="B1722" s="75"/>
      <c r="C1722" s="76" t="str">
        <f>IF(B1722="","",VLOOKUP(B1722,'Lista articole'!$D$4:$E$2255,2,FALSE))</f>
        <v/>
      </c>
      <c r="D1722" s="77">
        <v>0</v>
      </c>
      <c r="E1722" s="78">
        <f>IF(B1722="",0,VLOOKUP(B1722,'Lista articole'!$D$4:$F$2163,3,FALSE))</f>
        <v>0</v>
      </c>
      <c r="F1722" s="77">
        <f t="shared" ref="F1722" si="814">D1722*E1722</f>
        <v>0</v>
      </c>
      <c r="G1722" s="77">
        <f t="shared" ref="G1722" si="815">F1722/$H$9</f>
        <v>0</v>
      </c>
      <c r="H1722" s="77">
        <f>F1722*'Date Generale'!$D$58</f>
        <v>0</v>
      </c>
      <c r="I1722" s="77">
        <f t="shared" si="812"/>
        <v>0</v>
      </c>
      <c r="J1722" s="79">
        <f t="shared" si="813"/>
        <v>0</v>
      </c>
    </row>
    <row r="1723" spans="1:10">
      <c r="A1723" s="87"/>
      <c r="B1723" s="696" t="s">
        <v>34</v>
      </c>
      <c r="C1723" s="696"/>
      <c r="D1723" s="696"/>
      <c r="E1723" s="696"/>
      <c r="F1723" s="88">
        <f>SUM(F1724:F1725)</f>
        <v>0</v>
      </c>
      <c r="G1723" s="88">
        <f>SUM(G1724:G1725)</f>
        <v>0</v>
      </c>
      <c r="H1723" s="88">
        <f>SUM(H1724:H1725)</f>
        <v>0</v>
      </c>
      <c r="I1723" s="88">
        <f>SUM(I1724:I1725)</f>
        <v>0</v>
      </c>
      <c r="J1723" s="89">
        <f>SUM(J1724:J1725)</f>
        <v>0</v>
      </c>
    </row>
    <row r="1724" spans="1:10">
      <c r="A1724" s="80">
        <v>1</v>
      </c>
      <c r="B1724" s="81"/>
      <c r="C1724" s="76" t="str">
        <f>IF(B1724="","",VLOOKUP(B1724,'Lista articole'!$D$4:$E$2255,2,FALSE))</f>
        <v/>
      </c>
      <c r="D1724" s="77">
        <v>0</v>
      </c>
      <c r="E1724" s="78">
        <f>IF(B1724="",0,VLOOKUP(B1724,'Lista articole'!$D$4:$F$2163,3,FALSE))</f>
        <v>0</v>
      </c>
      <c r="F1724" s="77">
        <f>D1724*E1724</f>
        <v>0</v>
      </c>
      <c r="G1724" s="77">
        <f>F1724/$H$9</f>
        <v>0</v>
      </c>
      <c r="H1724" s="77">
        <f>F1724*'Date Generale'!$D$58</f>
        <v>0</v>
      </c>
      <c r="I1724" s="77">
        <f t="shared" ref="I1724:I1725" si="816">H1724+F1724</f>
        <v>0</v>
      </c>
      <c r="J1724" s="79">
        <f t="shared" ref="J1724:J1725" si="817">I1724/$H$9</f>
        <v>0</v>
      </c>
    </row>
    <row r="1725" spans="1:10" ht="15.75" thickBot="1">
      <c r="A1725" s="139">
        <f>A1724+1</f>
        <v>2</v>
      </c>
      <c r="B1725" s="140"/>
      <c r="C1725" s="141" t="str">
        <f>IF(B1725="","",VLOOKUP(B1725,'Lista articole'!$D$4:$E$2255,2,FALSE))</f>
        <v/>
      </c>
      <c r="D1725" s="142">
        <v>0</v>
      </c>
      <c r="E1725" s="143">
        <f>IF(B1725="",0,VLOOKUP(B1725,'Lista articole'!$D$4:$F$2163,3,FALSE))</f>
        <v>0</v>
      </c>
      <c r="F1725" s="142">
        <f t="shared" ref="F1725" si="818">D1725*E1725</f>
        <v>0</v>
      </c>
      <c r="G1725" s="142">
        <f t="shared" ref="G1725" si="819">F1725/$H$9</f>
        <v>0</v>
      </c>
      <c r="H1725" s="142">
        <f>F1725*'Date Generale'!$D$58</f>
        <v>0</v>
      </c>
      <c r="I1725" s="142">
        <f t="shared" si="816"/>
        <v>0</v>
      </c>
      <c r="J1725" s="144">
        <f t="shared" si="817"/>
        <v>0</v>
      </c>
    </row>
    <row r="1726" spans="1:10" ht="15.75" thickBot="1">
      <c r="A1726" s="685" t="s">
        <v>35</v>
      </c>
      <c r="B1726" s="686"/>
      <c r="C1726" s="686"/>
      <c r="D1726" s="686"/>
      <c r="E1726" s="686"/>
      <c r="F1726" s="62">
        <f>SUM(F1723,F1720,F1717)</f>
        <v>0</v>
      </c>
      <c r="G1726" s="62">
        <f>SUM(G1723,G1720,G1717)</f>
        <v>0</v>
      </c>
      <c r="H1726" s="62">
        <f>SUM(H1723,H1720,H1717)</f>
        <v>0</v>
      </c>
      <c r="I1726" s="62">
        <f>SUM(I1723,I1720,I1717)</f>
        <v>0</v>
      </c>
      <c r="J1726" s="63">
        <f>SUM(J1723,J1720,J1717)</f>
        <v>0</v>
      </c>
    </row>
    <row r="1727" spans="1:10">
      <c r="A1727" s="38"/>
      <c r="B1727" s="39"/>
      <c r="C1727" s="39"/>
      <c r="D1727" s="39"/>
      <c r="E1727" s="39"/>
      <c r="F1727" s="39"/>
      <c r="G1727" s="39"/>
      <c r="H1727" s="39"/>
      <c r="I1727" s="39"/>
      <c r="J1727" s="39"/>
    </row>
    <row r="1728" spans="1:10">
      <c r="A1728" s="38"/>
      <c r="C1728" s="42"/>
      <c r="D1728" s="42"/>
      <c r="E1728" s="42"/>
      <c r="F1728" s="42"/>
      <c r="G1728" s="42"/>
      <c r="H1728" s="42"/>
      <c r="I1728" s="42"/>
      <c r="J1728" s="42"/>
    </row>
    <row r="1729" spans="1:11" ht="18.75">
      <c r="A1729" s="42"/>
      <c r="B1729" s="90" t="s">
        <v>37</v>
      </c>
      <c r="C1729" s="42"/>
      <c r="D1729" s="42"/>
      <c r="E1729" s="42"/>
      <c r="F1729" s="42"/>
      <c r="G1729" s="42"/>
      <c r="H1729" s="42"/>
      <c r="I1729" s="42"/>
      <c r="J1729" s="42"/>
    </row>
    <row r="1730" spans="1:11" ht="18.75">
      <c r="A1730" s="38"/>
      <c r="B1730" s="90" t="str">
        <f>'Date Generale'!$C$7</f>
        <v>S.C. Tehno Consoulting Solutions S.R.L.</v>
      </c>
      <c r="C1730" s="39"/>
      <c r="D1730" s="39"/>
      <c r="E1730" s="39"/>
      <c r="F1730" s="39"/>
      <c r="G1730" s="39"/>
      <c r="H1730" s="39"/>
      <c r="I1730" s="39"/>
      <c r="J1730" s="39"/>
    </row>
    <row r="1731" spans="1:11">
      <c r="A1731" s="35"/>
      <c r="B1731" s="93"/>
      <c r="C1731" s="94"/>
      <c r="D1731" s="95"/>
      <c r="E1731" s="96"/>
      <c r="F1731" s="96"/>
      <c r="G1731" s="95"/>
      <c r="H1731" s="95"/>
      <c r="I1731" s="95"/>
      <c r="J1731" s="95"/>
    </row>
    <row r="1732" spans="1:11">
      <c r="A1732" s="35"/>
      <c r="B1732" s="93"/>
      <c r="C1732" s="94"/>
      <c r="D1732" s="95"/>
      <c r="E1732" s="96"/>
      <c r="F1732" s="96"/>
      <c r="G1732" s="95"/>
      <c r="H1732" s="95"/>
      <c r="I1732" s="95"/>
      <c r="J1732" s="95"/>
    </row>
    <row r="1733" spans="1:11">
      <c r="A1733" s="35"/>
      <c r="B1733" s="98"/>
      <c r="C1733" s="94"/>
      <c r="D1733" s="95"/>
      <c r="E1733" s="96"/>
      <c r="F1733" s="96"/>
      <c r="G1733" s="95"/>
      <c r="H1733" s="95"/>
      <c r="I1733" s="95"/>
      <c r="J1733" s="95"/>
      <c r="K1733" s="67"/>
    </row>
    <row r="1734" spans="1:11" ht="15.75">
      <c r="A1734" s="41" t="str">
        <f>"Beneficiar: " &amp;'Date Generale'!$C$6</f>
        <v xml:space="preserve">Beneficiar: Judetul Arges </v>
      </c>
      <c r="B1734" s="41"/>
      <c r="C1734" s="42"/>
      <c r="D1734" s="42"/>
      <c r="E1734" s="69"/>
      <c r="F1734" s="42"/>
      <c r="G1734" s="42"/>
      <c r="H1734" s="42"/>
      <c r="I1734" s="42"/>
      <c r="J1734" s="42"/>
    </row>
    <row r="1735" spans="1:11" ht="15.75">
      <c r="A1735" s="41" t="str">
        <f>"Denumire proiect: " &amp; 'Date Generale'!$C$3</f>
        <v>Denumire proiect: Modernizare DJ 703B Serbanesti (DJ659) - Silistea, km 70+410 - 77+826, 7.416km, in comunele Rociu si Cateasca</v>
      </c>
      <c r="B1735" s="41"/>
      <c r="C1735" s="44"/>
      <c r="D1735" s="44"/>
      <c r="E1735" s="44"/>
      <c r="F1735" s="44"/>
      <c r="G1735" s="44"/>
      <c r="H1735" s="44"/>
      <c r="I1735" s="44"/>
      <c r="J1735" s="44"/>
    </row>
    <row r="1736" spans="1:11" ht="15.75">
      <c r="A1736" s="41"/>
      <c r="B1736" s="41"/>
      <c r="C1736" s="44"/>
      <c r="D1736" s="44"/>
      <c r="E1736" s="44"/>
      <c r="F1736" s="44"/>
      <c r="G1736" s="44"/>
      <c r="H1736" s="44"/>
      <c r="I1736" s="44"/>
      <c r="J1736" s="44"/>
    </row>
    <row r="1737" spans="1:11" ht="15.75">
      <c r="A1737" s="41" t="str">
        <f>'Date Generale'!$E$83</f>
        <v>Obiect 023:0</v>
      </c>
      <c r="B1737" s="41"/>
      <c r="C1737" s="44"/>
      <c r="D1737" s="44"/>
      <c r="E1737" s="44"/>
      <c r="F1737" s="44"/>
      <c r="G1737" s="44"/>
      <c r="H1737" s="44"/>
      <c r="I1737" s="44"/>
      <c r="J1737" s="44"/>
    </row>
    <row r="1738" spans="1:11" ht="15.75">
      <c r="A1738" s="70"/>
      <c r="B1738" s="44"/>
      <c r="C1738" s="44"/>
      <c r="D1738" s="44"/>
      <c r="E1738" s="44"/>
      <c r="F1738" s="44"/>
      <c r="G1738" s="44"/>
      <c r="H1738" s="44"/>
      <c r="I1738" s="44"/>
      <c r="J1738" s="44"/>
    </row>
    <row r="1739" spans="1:11">
      <c r="A1739" s="687" t="s">
        <v>38</v>
      </c>
      <c r="B1739" s="687"/>
      <c r="C1739" s="687"/>
      <c r="D1739" s="687"/>
      <c r="E1739" s="687"/>
      <c r="F1739" s="687"/>
      <c r="G1739" s="687"/>
      <c r="H1739" s="687"/>
      <c r="I1739" s="687"/>
      <c r="J1739" s="687"/>
    </row>
    <row r="1740" spans="1:11">
      <c r="A1740" s="371"/>
      <c r="B1740" s="371"/>
      <c r="C1740" s="371"/>
      <c r="D1740" s="371"/>
      <c r="E1740" s="371"/>
      <c r="F1740" s="371"/>
      <c r="G1740" s="371"/>
      <c r="H1740" s="371"/>
      <c r="I1740" s="371"/>
      <c r="J1740" s="371"/>
    </row>
    <row r="1741" spans="1:11" ht="15.75" thickBot="1">
      <c r="A1741" s="42"/>
      <c r="B1741" s="46"/>
      <c r="C1741" s="71"/>
      <c r="D1741" s="71"/>
      <c r="E1741" s="71"/>
      <c r="F1741" s="33"/>
      <c r="G1741" s="47" t="s">
        <v>2</v>
      </c>
      <c r="H1741" s="48">
        <f>'Date Generale'!$C$54</f>
        <v>4.7233000000000001</v>
      </c>
      <c r="I1741" s="49" t="s">
        <v>3</v>
      </c>
      <c r="J1741" s="50" t="str">
        <f>'Date Generale'!$D$54</f>
        <v>21,06,2019</v>
      </c>
    </row>
    <row r="1742" spans="1:11" ht="15.75" thickBot="1">
      <c r="A1742" s="688" t="s">
        <v>4</v>
      </c>
      <c r="B1742" s="688" t="s">
        <v>5</v>
      </c>
      <c r="C1742" s="688" t="s">
        <v>39</v>
      </c>
      <c r="D1742" s="688" t="s">
        <v>40</v>
      </c>
      <c r="E1742" s="688" t="s">
        <v>228</v>
      </c>
      <c r="F1742" s="689" t="s">
        <v>160</v>
      </c>
      <c r="G1742" s="689"/>
      <c r="H1742" s="372" t="s">
        <v>7</v>
      </c>
      <c r="I1742" s="689" t="s">
        <v>159</v>
      </c>
      <c r="J1742" s="689"/>
    </row>
    <row r="1743" spans="1:11" ht="15.75" thickBot="1">
      <c r="A1743" s="688"/>
      <c r="B1743" s="688"/>
      <c r="C1743" s="688"/>
      <c r="D1743" s="688"/>
      <c r="E1743" s="688"/>
      <c r="F1743" s="51" t="s">
        <v>9</v>
      </c>
      <c r="G1743" s="51" t="s">
        <v>10</v>
      </c>
      <c r="H1743" s="51" t="s">
        <v>9</v>
      </c>
      <c r="I1743" s="51" t="s">
        <v>9</v>
      </c>
      <c r="J1743" s="51" t="s">
        <v>10</v>
      </c>
    </row>
    <row r="1744" spans="1:11" ht="15.75" thickBot="1">
      <c r="A1744" s="3">
        <v>1</v>
      </c>
      <c r="B1744" s="1">
        <v>2</v>
      </c>
      <c r="C1744" s="1">
        <v>3</v>
      </c>
      <c r="D1744" s="1">
        <v>4</v>
      </c>
      <c r="E1744" s="1">
        <v>5</v>
      </c>
      <c r="F1744" s="1">
        <v>6</v>
      </c>
      <c r="G1744" s="1">
        <v>7</v>
      </c>
      <c r="H1744" s="1">
        <v>8</v>
      </c>
      <c r="I1744" s="1">
        <v>9</v>
      </c>
      <c r="J1744" s="1">
        <v>10</v>
      </c>
    </row>
    <row r="1745" spans="1:10" ht="15.75" thickBot="1">
      <c r="A1745" s="683" t="s">
        <v>11</v>
      </c>
      <c r="B1745" s="684"/>
      <c r="C1745" s="684"/>
      <c r="D1745" s="684"/>
      <c r="E1745" s="684"/>
      <c r="F1745" s="72"/>
      <c r="G1745" s="72"/>
      <c r="H1745" s="72"/>
      <c r="I1745" s="72"/>
      <c r="J1745" s="73"/>
    </row>
    <row r="1746" spans="1:10">
      <c r="A1746" s="691" t="s">
        <v>41</v>
      </c>
      <c r="B1746" s="692"/>
      <c r="C1746" s="692"/>
      <c r="D1746" s="692"/>
      <c r="E1746" s="692"/>
      <c r="F1746" s="137">
        <f>SUM(F1747:F1748)</f>
        <v>0</v>
      </c>
      <c r="G1746" s="137">
        <f>SUM(G1747:G1748)</f>
        <v>0</v>
      </c>
      <c r="H1746" s="137">
        <f>SUM(H1747:H1748)</f>
        <v>0</v>
      </c>
      <c r="I1746" s="137">
        <f>SUM(I1747:I1748)</f>
        <v>0</v>
      </c>
      <c r="J1746" s="138">
        <f>SUM(J1747:J1748)</f>
        <v>0</v>
      </c>
    </row>
    <row r="1747" spans="1:10">
      <c r="A1747" s="74">
        <v>1</v>
      </c>
      <c r="B1747" s="75"/>
      <c r="C1747" s="76" t="str">
        <f>IF(B1747="","",VLOOKUP(B1747,'Lista articole'!$D$4:$E$2255,2,FALSE))</f>
        <v/>
      </c>
      <c r="D1747" s="77">
        <v>0</v>
      </c>
      <c r="E1747" s="78">
        <f>IF(B1747="",0,VLOOKUP(B1747,'Lista articole'!$D$4:$F$2163,3,FALSE))</f>
        <v>0</v>
      </c>
      <c r="F1747" s="77">
        <f>D1747*E1747</f>
        <v>0</v>
      </c>
      <c r="G1747" s="77">
        <f t="shared" ref="G1747:G1748" si="820">F1747/$H$9</f>
        <v>0</v>
      </c>
      <c r="H1747" s="77">
        <f>F1747*'Date Generale'!$D$58</f>
        <v>0</v>
      </c>
      <c r="I1747" s="77">
        <f>H1747+F1747</f>
        <v>0</v>
      </c>
      <c r="J1747" s="79">
        <f>I1747/$H$9</f>
        <v>0</v>
      </c>
    </row>
    <row r="1748" spans="1:10">
      <c r="A1748" s="74">
        <v>2</v>
      </c>
      <c r="B1748" s="75"/>
      <c r="C1748" s="76" t="str">
        <f>IF(B1748="","",VLOOKUP(B1748,'Lista articole'!$D$4:$E$2255,2,FALSE))</f>
        <v/>
      </c>
      <c r="D1748" s="77">
        <v>0</v>
      </c>
      <c r="E1748" s="78">
        <f>IF(B1748="",0,VLOOKUP(B1748,'Lista articole'!$D$4:$F$2163,3,FALSE))</f>
        <v>0</v>
      </c>
      <c r="F1748" s="77">
        <f>D1748*E1748</f>
        <v>0</v>
      </c>
      <c r="G1748" s="77">
        <f t="shared" si="820"/>
        <v>0</v>
      </c>
      <c r="H1748" s="77">
        <f>F1748*'Date Generale'!$D$58</f>
        <v>0</v>
      </c>
      <c r="I1748" s="77">
        <f>H1748+F1748</f>
        <v>0</v>
      </c>
      <c r="J1748" s="79">
        <f>I1748/$H$9</f>
        <v>0</v>
      </c>
    </row>
    <row r="1749" spans="1:10">
      <c r="A1749" s="693" t="s">
        <v>44</v>
      </c>
      <c r="B1749" s="694"/>
      <c r="C1749" s="694"/>
      <c r="D1749" s="694"/>
      <c r="E1749" s="694"/>
      <c r="F1749" s="56">
        <f>SUM(F1750:F1751)</f>
        <v>0</v>
      </c>
      <c r="G1749" s="56">
        <f>SUM(G1750:G1751)</f>
        <v>0</v>
      </c>
      <c r="H1749" s="56">
        <f>SUM(H1750:H1751)</f>
        <v>0</v>
      </c>
      <c r="I1749" s="56">
        <f>SUM(I1750:I1751)</f>
        <v>0</v>
      </c>
      <c r="J1749" s="57">
        <f>SUM(J1750:J1751)</f>
        <v>0</v>
      </c>
    </row>
    <row r="1750" spans="1:10">
      <c r="A1750" s="80">
        <v>1</v>
      </c>
      <c r="B1750" s="81"/>
      <c r="C1750" s="76" t="str">
        <f>IF(B1750="","",VLOOKUP(B1750,'Lista articole'!$D$4:$E$2255,2,FALSE))</f>
        <v/>
      </c>
      <c r="D1750" s="77">
        <v>0</v>
      </c>
      <c r="E1750" s="78">
        <f>IF(B1750="",0,VLOOKUP(B1750,'Lista articole'!$D$4:$F$2163,3,FALSE))</f>
        <v>0</v>
      </c>
      <c r="F1750" s="77">
        <f t="shared" ref="F1750:F1751" si="821">D1750*E1750</f>
        <v>0</v>
      </c>
      <c r="G1750" s="77">
        <f t="shared" ref="G1750:G1751" si="822">F1750/$H$9</f>
        <v>0</v>
      </c>
      <c r="H1750" s="77">
        <f>F1750*'Date Generale'!$D$58</f>
        <v>0</v>
      </c>
      <c r="I1750" s="77">
        <f t="shared" ref="I1750:I1751" si="823">H1750+F1750</f>
        <v>0</v>
      </c>
      <c r="J1750" s="79">
        <f t="shared" ref="J1750:J1751" si="824">I1750/$H$9</f>
        <v>0</v>
      </c>
    </row>
    <row r="1751" spans="1:10">
      <c r="A1751" s="80">
        <f t="shared" ref="A1751" si="825">A1750+1</f>
        <v>2</v>
      </c>
      <c r="B1751" s="81"/>
      <c r="C1751" s="76" t="str">
        <f>IF(B1751="","",VLOOKUP(B1751,'Lista articole'!$D$4:$E$2255,2,FALSE))</f>
        <v/>
      </c>
      <c r="D1751" s="77">
        <v>0</v>
      </c>
      <c r="E1751" s="78">
        <f>IF(B1751="",0,VLOOKUP(B1751,'Lista articole'!$D$4:$F$2163,3,FALSE))</f>
        <v>0</v>
      </c>
      <c r="F1751" s="77">
        <f t="shared" si="821"/>
        <v>0</v>
      </c>
      <c r="G1751" s="77">
        <f t="shared" si="822"/>
        <v>0</v>
      </c>
      <c r="H1751" s="77">
        <f>F1751*'Date Generale'!$D$58</f>
        <v>0</v>
      </c>
      <c r="I1751" s="77">
        <f t="shared" si="823"/>
        <v>0</v>
      </c>
      <c r="J1751" s="79">
        <f t="shared" si="824"/>
        <v>0</v>
      </c>
    </row>
    <row r="1752" spans="1:10">
      <c r="A1752" s="693" t="s">
        <v>45</v>
      </c>
      <c r="B1752" s="694"/>
      <c r="C1752" s="694"/>
      <c r="D1752" s="694"/>
      <c r="E1752" s="694"/>
      <c r="F1752" s="56">
        <f>SUM(F1753:F1754)</f>
        <v>0</v>
      </c>
      <c r="G1752" s="56">
        <f>SUM(G1753:G1754)</f>
        <v>0</v>
      </c>
      <c r="H1752" s="56">
        <f>SUM(H1753:H1754)</f>
        <v>0</v>
      </c>
      <c r="I1752" s="56">
        <f>SUM(I1753:I1754)</f>
        <v>0</v>
      </c>
      <c r="J1752" s="57">
        <f>SUM(J1753:J1754)</f>
        <v>0</v>
      </c>
    </row>
    <row r="1753" spans="1:10">
      <c r="A1753" s="80">
        <v>1</v>
      </c>
      <c r="B1753" s="81"/>
      <c r="C1753" s="76" t="str">
        <f>IF(B1753="","",VLOOKUP(B1753,'Lista articole'!$D$4:$E$2255,2,FALSE))</f>
        <v/>
      </c>
      <c r="D1753" s="77">
        <v>0</v>
      </c>
      <c r="E1753" s="78">
        <f>IF(B1753="",0,VLOOKUP(B1753,'Lista articole'!$D$4:$F$2163,3,FALSE))</f>
        <v>0</v>
      </c>
      <c r="F1753" s="77">
        <f t="shared" ref="F1753:F1754" si="826">D1753*E1753</f>
        <v>0</v>
      </c>
      <c r="G1753" s="77">
        <f t="shared" ref="G1753:G1754" si="827">F1753/$H$9</f>
        <v>0</v>
      </c>
      <c r="H1753" s="77">
        <f>F1753*'Date Generale'!$D$58</f>
        <v>0</v>
      </c>
      <c r="I1753" s="77">
        <f t="shared" ref="I1753:I1754" si="828">H1753+F1753</f>
        <v>0</v>
      </c>
      <c r="J1753" s="79">
        <f t="shared" ref="J1753:J1754" si="829">I1753/$H$9</f>
        <v>0</v>
      </c>
    </row>
    <row r="1754" spans="1:10">
      <c r="A1754" s="80">
        <v>2</v>
      </c>
      <c r="B1754" s="81"/>
      <c r="C1754" s="76" t="str">
        <f>IF(B1754="","",VLOOKUP(B1754,'Lista articole'!$D$4:$E$2255,2,FALSE))</f>
        <v/>
      </c>
      <c r="D1754" s="77">
        <v>0</v>
      </c>
      <c r="E1754" s="78">
        <f>IF(B1754="",0,VLOOKUP(B1754,'Lista articole'!$D$4:$F$2163,3,FALSE))</f>
        <v>0</v>
      </c>
      <c r="F1754" s="77">
        <f t="shared" si="826"/>
        <v>0</v>
      </c>
      <c r="G1754" s="77">
        <f t="shared" si="827"/>
        <v>0</v>
      </c>
      <c r="H1754" s="77">
        <f>F1754*'Date Generale'!$D$58</f>
        <v>0</v>
      </c>
      <c r="I1754" s="77">
        <f t="shared" si="828"/>
        <v>0</v>
      </c>
      <c r="J1754" s="79">
        <f t="shared" si="829"/>
        <v>0</v>
      </c>
    </row>
    <row r="1755" spans="1:10">
      <c r="A1755" s="693" t="s">
        <v>46</v>
      </c>
      <c r="B1755" s="694"/>
      <c r="C1755" s="694"/>
      <c r="D1755" s="694"/>
      <c r="E1755" s="694"/>
      <c r="F1755" s="56">
        <f>SUM(F1756:F1769)</f>
        <v>0</v>
      </c>
      <c r="G1755" s="56">
        <f>SUM(G1756:G1769)</f>
        <v>0</v>
      </c>
      <c r="H1755" s="56">
        <f>SUM(H1756:H1769)</f>
        <v>0</v>
      </c>
      <c r="I1755" s="56">
        <f>SUM(I1756:I1769)</f>
        <v>0</v>
      </c>
      <c r="J1755" s="57">
        <f>SUM(J1756:J1769)</f>
        <v>0</v>
      </c>
    </row>
    <row r="1756" spans="1:10">
      <c r="A1756" s="80">
        <v>1</v>
      </c>
      <c r="B1756" s="81"/>
      <c r="C1756" s="76" t="str">
        <f>IF(B1756="","",VLOOKUP(B1756,'Lista articole'!$D$4:$E$2255,2,FALSE))</f>
        <v/>
      </c>
      <c r="D1756" s="77">
        <v>0</v>
      </c>
      <c r="E1756" s="78">
        <f>IF(B1756="",0,VLOOKUP(B1756,'Lista articole'!$D$4:$F$2163,3,FALSE))</f>
        <v>0</v>
      </c>
      <c r="F1756" s="77">
        <f t="shared" ref="F1756:F1769" si="830">D1756*E1756</f>
        <v>0</v>
      </c>
      <c r="G1756" s="77">
        <f t="shared" ref="G1756:G1769" si="831">F1756/$H$9</f>
        <v>0</v>
      </c>
      <c r="H1756" s="77">
        <f>F1756*'Date Generale'!$D$58</f>
        <v>0</v>
      </c>
      <c r="I1756" s="77">
        <f t="shared" ref="I1756:I1769" si="832">H1756+F1756</f>
        <v>0</v>
      </c>
      <c r="J1756" s="79">
        <f t="shared" ref="J1756:J1769" si="833">I1756/$H$9</f>
        <v>0</v>
      </c>
    </row>
    <row r="1757" spans="1:10">
      <c r="A1757" s="80">
        <v>2</v>
      </c>
      <c r="B1757" s="81"/>
      <c r="C1757" s="76" t="str">
        <f>IF(B1757="","",VLOOKUP(B1757,'Lista articole'!$D$4:$E$2255,2,FALSE))</f>
        <v/>
      </c>
      <c r="D1757" s="77">
        <v>0</v>
      </c>
      <c r="E1757" s="78">
        <f>IF(B1757="",0,VLOOKUP(B1757,'Lista articole'!$D$4:$F$2163,3,FALSE))</f>
        <v>0</v>
      </c>
      <c r="F1757" s="77">
        <f t="shared" si="830"/>
        <v>0</v>
      </c>
      <c r="G1757" s="77">
        <f t="shared" si="831"/>
        <v>0</v>
      </c>
      <c r="H1757" s="77">
        <f>F1757*'Date Generale'!$D$58</f>
        <v>0</v>
      </c>
      <c r="I1757" s="77">
        <f t="shared" si="832"/>
        <v>0</v>
      </c>
      <c r="J1757" s="79">
        <f t="shared" si="833"/>
        <v>0</v>
      </c>
    </row>
    <row r="1758" spans="1:10">
      <c r="A1758" s="80">
        <v>3</v>
      </c>
      <c r="B1758" s="81"/>
      <c r="C1758" s="76" t="str">
        <f>IF(B1758="","",VLOOKUP(B1758,'Lista articole'!$D$4:$E$2255,2,FALSE))</f>
        <v/>
      </c>
      <c r="D1758" s="77">
        <v>0</v>
      </c>
      <c r="E1758" s="78">
        <f>IF(B1758="",0,VLOOKUP(B1758,'Lista articole'!$D$4:$F$2163,3,FALSE))</f>
        <v>0</v>
      </c>
      <c r="F1758" s="77">
        <f t="shared" si="830"/>
        <v>0</v>
      </c>
      <c r="G1758" s="77">
        <f t="shared" si="831"/>
        <v>0</v>
      </c>
      <c r="H1758" s="77">
        <f>F1758*'Date Generale'!$D$58</f>
        <v>0</v>
      </c>
      <c r="I1758" s="77">
        <f t="shared" si="832"/>
        <v>0</v>
      </c>
      <c r="J1758" s="79">
        <f t="shared" si="833"/>
        <v>0</v>
      </c>
    </row>
    <row r="1759" spans="1:10">
      <c r="A1759" s="80">
        <v>4</v>
      </c>
      <c r="B1759" s="81"/>
      <c r="C1759" s="76" t="str">
        <f>IF(B1759="","",VLOOKUP(B1759,'Lista articole'!$D$4:$E$2255,2,FALSE))</f>
        <v/>
      </c>
      <c r="D1759" s="77">
        <v>0</v>
      </c>
      <c r="E1759" s="78">
        <f>IF(B1759="",0,VLOOKUP(B1759,'Lista articole'!$D$4:$F$2163,3,FALSE))</f>
        <v>0</v>
      </c>
      <c r="F1759" s="77">
        <f t="shared" si="830"/>
        <v>0</v>
      </c>
      <c r="G1759" s="77">
        <f t="shared" si="831"/>
        <v>0</v>
      </c>
      <c r="H1759" s="77">
        <f>F1759*'Date Generale'!$D$58</f>
        <v>0</v>
      </c>
      <c r="I1759" s="77">
        <f t="shared" si="832"/>
        <v>0</v>
      </c>
      <c r="J1759" s="79">
        <f t="shared" si="833"/>
        <v>0</v>
      </c>
    </row>
    <row r="1760" spans="1:10">
      <c r="A1760" s="80">
        <v>5</v>
      </c>
      <c r="B1760" s="81"/>
      <c r="C1760" s="76" t="str">
        <f>IF(B1760="","",VLOOKUP(B1760,'Lista articole'!$D$4:$E$2255,2,FALSE))</f>
        <v/>
      </c>
      <c r="D1760" s="77">
        <v>0</v>
      </c>
      <c r="E1760" s="78">
        <f>IF(B1760="",0,VLOOKUP(B1760,'Lista articole'!$D$4:$F$2163,3,FALSE))</f>
        <v>0</v>
      </c>
      <c r="F1760" s="77">
        <f t="shared" si="830"/>
        <v>0</v>
      </c>
      <c r="G1760" s="77">
        <f t="shared" si="831"/>
        <v>0</v>
      </c>
      <c r="H1760" s="77">
        <f>F1760*'Date Generale'!$D$58</f>
        <v>0</v>
      </c>
      <c r="I1760" s="77">
        <f t="shared" si="832"/>
        <v>0</v>
      </c>
      <c r="J1760" s="79">
        <f t="shared" si="833"/>
        <v>0</v>
      </c>
    </row>
    <row r="1761" spans="1:10">
      <c r="A1761" s="80">
        <v>6</v>
      </c>
      <c r="B1761" s="81"/>
      <c r="C1761" s="76" t="str">
        <f>IF(B1761="","",VLOOKUP(B1761,'Lista articole'!$D$4:$E$2255,2,FALSE))</f>
        <v/>
      </c>
      <c r="D1761" s="77">
        <v>0</v>
      </c>
      <c r="E1761" s="78">
        <f>IF(B1761="",0,VLOOKUP(B1761,'Lista articole'!$D$4:$F$2163,3,FALSE))</f>
        <v>0</v>
      </c>
      <c r="F1761" s="77">
        <f t="shared" si="830"/>
        <v>0</v>
      </c>
      <c r="G1761" s="77">
        <f t="shared" si="831"/>
        <v>0</v>
      </c>
      <c r="H1761" s="77">
        <f>F1761*'Date Generale'!$D$58</f>
        <v>0</v>
      </c>
      <c r="I1761" s="77">
        <f t="shared" si="832"/>
        <v>0</v>
      </c>
      <c r="J1761" s="79">
        <f t="shared" si="833"/>
        <v>0</v>
      </c>
    </row>
    <row r="1762" spans="1:10">
      <c r="A1762" s="80">
        <v>7</v>
      </c>
      <c r="B1762" s="81"/>
      <c r="C1762" s="76" t="str">
        <f>IF(B1762="","",VLOOKUP(B1762,'Lista articole'!$D$4:$E$2255,2,FALSE))</f>
        <v/>
      </c>
      <c r="D1762" s="77">
        <v>0</v>
      </c>
      <c r="E1762" s="78">
        <f>IF(B1762="",0,VLOOKUP(B1762,'Lista articole'!$D$4:$F$2163,3,FALSE))</f>
        <v>0</v>
      </c>
      <c r="F1762" s="77">
        <f t="shared" si="830"/>
        <v>0</v>
      </c>
      <c r="G1762" s="77">
        <f t="shared" si="831"/>
        <v>0</v>
      </c>
      <c r="H1762" s="77">
        <f>F1762*'Date Generale'!$D$58</f>
        <v>0</v>
      </c>
      <c r="I1762" s="77">
        <f t="shared" si="832"/>
        <v>0</v>
      </c>
      <c r="J1762" s="79">
        <f t="shared" si="833"/>
        <v>0</v>
      </c>
    </row>
    <row r="1763" spans="1:10">
      <c r="A1763" s="80">
        <v>8</v>
      </c>
      <c r="B1763" s="81"/>
      <c r="C1763" s="76" t="str">
        <f>IF(B1763="","",VLOOKUP(B1763,'Lista articole'!$D$4:$E$2255,2,FALSE))</f>
        <v/>
      </c>
      <c r="D1763" s="77">
        <v>0</v>
      </c>
      <c r="E1763" s="78">
        <f>IF(B1763="",0,VLOOKUP(B1763,'Lista articole'!$D$4:$F$2163,3,FALSE))</f>
        <v>0</v>
      </c>
      <c r="F1763" s="77">
        <f t="shared" si="830"/>
        <v>0</v>
      </c>
      <c r="G1763" s="77">
        <f t="shared" si="831"/>
        <v>0</v>
      </c>
      <c r="H1763" s="77">
        <f>F1763*'Date Generale'!$D$58</f>
        <v>0</v>
      </c>
      <c r="I1763" s="77">
        <f t="shared" si="832"/>
        <v>0</v>
      </c>
      <c r="J1763" s="79">
        <f t="shared" si="833"/>
        <v>0</v>
      </c>
    </row>
    <row r="1764" spans="1:10">
      <c r="A1764" s="80">
        <v>9</v>
      </c>
      <c r="B1764" s="81"/>
      <c r="C1764" s="76" t="str">
        <f>IF(B1764="","",VLOOKUP(B1764,'Lista articole'!$D$4:$E$2255,2,FALSE))</f>
        <v/>
      </c>
      <c r="D1764" s="77">
        <v>0</v>
      </c>
      <c r="E1764" s="78">
        <f>IF(B1764="",0,VLOOKUP(B1764,'Lista articole'!$D$4:$F$2163,3,FALSE))</f>
        <v>0</v>
      </c>
      <c r="F1764" s="77">
        <f t="shared" si="830"/>
        <v>0</v>
      </c>
      <c r="G1764" s="77">
        <f t="shared" si="831"/>
        <v>0</v>
      </c>
      <c r="H1764" s="77">
        <f>F1764*'Date Generale'!$D$58</f>
        <v>0</v>
      </c>
      <c r="I1764" s="77">
        <f t="shared" si="832"/>
        <v>0</v>
      </c>
      <c r="J1764" s="79">
        <f t="shared" si="833"/>
        <v>0</v>
      </c>
    </row>
    <row r="1765" spans="1:10">
      <c r="A1765" s="80">
        <v>10</v>
      </c>
      <c r="B1765" s="81"/>
      <c r="C1765" s="76" t="str">
        <f>IF(B1765="","",VLOOKUP(B1765,'Lista articole'!$D$4:$E$2255,2,FALSE))</f>
        <v/>
      </c>
      <c r="D1765" s="77">
        <v>0</v>
      </c>
      <c r="E1765" s="78">
        <f>IF(B1765="",0,VLOOKUP(B1765,'Lista articole'!$D$4:$F$2163,3,FALSE))</f>
        <v>0</v>
      </c>
      <c r="F1765" s="77">
        <f t="shared" si="830"/>
        <v>0</v>
      </c>
      <c r="G1765" s="77">
        <f t="shared" si="831"/>
        <v>0</v>
      </c>
      <c r="H1765" s="77">
        <f>F1765*'Date Generale'!$D$58</f>
        <v>0</v>
      </c>
      <c r="I1765" s="77">
        <f t="shared" si="832"/>
        <v>0</v>
      </c>
      <c r="J1765" s="79">
        <f t="shared" si="833"/>
        <v>0</v>
      </c>
    </row>
    <row r="1766" spans="1:10">
      <c r="A1766" s="80">
        <v>11</v>
      </c>
      <c r="B1766" s="81"/>
      <c r="C1766" s="76" t="str">
        <f>IF(B1766="","",VLOOKUP(B1766,'Lista articole'!$D$4:$E$2255,2,FALSE))</f>
        <v/>
      </c>
      <c r="D1766" s="77">
        <v>0</v>
      </c>
      <c r="E1766" s="78">
        <f>IF(B1766="",0,VLOOKUP(B1766,'Lista articole'!$D$4:$F$2163,3,FALSE))</f>
        <v>0</v>
      </c>
      <c r="F1766" s="77">
        <f t="shared" si="830"/>
        <v>0</v>
      </c>
      <c r="G1766" s="77">
        <f t="shared" si="831"/>
        <v>0</v>
      </c>
      <c r="H1766" s="77">
        <f>F1766*'Date Generale'!$D$58</f>
        <v>0</v>
      </c>
      <c r="I1766" s="77">
        <f t="shared" si="832"/>
        <v>0</v>
      </c>
      <c r="J1766" s="79">
        <f t="shared" si="833"/>
        <v>0</v>
      </c>
    </row>
    <row r="1767" spans="1:10">
      <c r="A1767" s="80">
        <v>12</v>
      </c>
      <c r="B1767" s="81"/>
      <c r="C1767" s="76" t="str">
        <f>IF(B1767="","",VLOOKUP(B1767,'Lista articole'!$D$4:$E$2255,2,FALSE))</f>
        <v/>
      </c>
      <c r="D1767" s="77">
        <v>0</v>
      </c>
      <c r="E1767" s="78">
        <f>IF(B1767="",0,VLOOKUP(B1767,'Lista articole'!$D$4:$F$2163,3,FALSE))</f>
        <v>0</v>
      </c>
      <c r="F1767" s="77">
        <f t="shared" si="830"/>
        <v>0</v>
      </c>
      <c r="G1767" s="77">
        <f t="shared" si="831"/>
        <v>0</v>
      </c>
      <c r="H1767" s="77">
        <f>F1767*'Date Generale'!$D$58</f>
        <v>0</v>
      </c>
      <c r="I1767" s="77">
        <f t="shared" si="832"/>
        <v>0</v>
      </c>
      <c r="J1767" s="79">
        <f t="shared" si="833"/>
        <v>0</v>
      </c>
    </row>
    <row r="1768" spans="1:10">
      <c r="A1768" s="80">
        <v>13</v>
      </c>
      <c r="B1768" s="81"/>
      <c r="C1768" s="76" t="str">
        <f>IF(B1768="","",VLOOKUP(B1768,'Lista articole'!$D$4:$E$2255,2,FALSE))</f>
        <v/>
      </c>
      <c r="D1768" s="77">
        <v>0</v>
      </c>
      <c r="E1768" s="78">
        <f>IF(B1768="",0,VLOOKUP(B1768,'Lista articole'!$D$4:$F$2163,3,FALSE))</f>
        <v>0</v>
      </c>
      <c r="F1768" s="77">
        <f t="shared" si="830"/>
        <v>0</v>
      </c>
      <c r="G1768" s="77">
        <f t="shared" si="831"/>
        <v>0</v>
      </c>
      <c r="H1768" s="77">
        <f>F1768*'Date Generale'!$D$58</f>
        <v>0</v>
      </c>
      <c r="I1768" s="77">
        <f t="shared" si="832"/>
        <v>0</v>
      </c>
      <c r="J1768" s="79">
        <f t="shared" si="833"/>
        <v>0</v>
      </c>
    </row>
    <row r="1769" spans="1:10">
      <c r="A1769" s="80">
        <v>14</v>
      </c>
      <c r="B1769" s="81"/>
      <c r="C1769" s="76" t="str">
        <f>IF(B1769="","",VLOOKUP(B1769,'Lista articole'!$D$4:$E$2255,2,FALSE))</f>
        <v/>
      </c>
      <c r="D1769" s="77">
        <v>0</v>
      </c>
      <c r="E1769" s="78">
        <f>IF(B1769="",0,VLOOKUP(B1769,'Lista articole'!$D$4:$F$2163,3,FALSE))</f>
        <v>0</v>
      </c>
      <c r="F1769" s="77">
        <f t="shared" si="830"/>
        <v>0</v>
      </c>
      <c r="G1769" s="77">
        <f t="shared" si="831"/>
        <v>0</v>
      </c>
      <c r="H1769" s="77">
        <f>F1769*'Date Generale'!$D$58</f>
        <v>0</v>
      </c>
      <c r="I1769" s="77">
        <f t="shared" si="832"/>
        <v>0</v>
      </c>
      <c r="J1769" s="79">
        <f t="shared" si="833"/>
        <v>0</v>
      </c>
    </row>
    <row r="1770" spans="1:10">
      <c r="A1770" s="693" t="s">
        <v>50</v>
      </c>
      <c r="B1770" s="694"/>
      <c r="C1770" s="694"/>
      <c r="D1770" s="694"/>
      <c r="E1770" s="694"/>
      <c r="F1770" s="56">
        <f>SUM(F1771:F1772)</f>
        <v>0</v>
      </c>
      <c r="G1770" s="56">
        <f>SUM(G1771:G1772)</f>
        <v>0</v>
      </c>
      <c r="H1770" s="56">
        <f>SUM(H1771:H1772)</f>
        <v>0</v>
      </c>
      <c r="I1770" s="56">
        <f>SUM(I1771:I1772)</f>
        <v>0</v>
      </c>
      <c r="J1770" s="57">
        <f>SUM(J1771:J1772)</f>
        <v>0</v>
      </c>
    </row>
    <row r="1771" spans="1:10">
      <c r="A1771" s="80">
        <v>1</v>
      </c>
      <c r="B1771" s="81"/>
      <c r="C1771" s="76" t="str">
        <f>IF(B1771="","",VLOOKUP(B1771,'Lista articole'!$D$4:$E$2255,2,FALSE))</f>
        <v/>
      </c>
      <c r="D1771" s="77">
        <v>0</v>
      </c>
      <c r="E1771" s="78">
        <f>IF(B1771="",0,VLOOKUP(B1771,'Lista articole'!$D$4:$F$2163,3,FALSE))</f>
        <v>0</v>
      </c>
      <c r="F1771" s="77">
        <f t="shared" ref="F1771:F1772" si="834">D1771*E1771</f>
        <v>0</v>
      </c>
      <c r="G1771" s="77">
        <f t="shared" ref="G1771:G1772" si="835">F1771/$H$9</f>
        <v>0</v>
      </c>
      <c r="H1771" s="77">
        <f>F1771*'Date Generale'!$D$58</f>
        <v>0</v>
      </c>
      <c r="I1771" s="77">
        <f t="shared" ref="I1771:I1772" si="836">H1771+F1771</f>
        <v>0</v>
      </c>
      <c r="J1771" s="79">
        <f t="shared" ref="J1771:J1772" si="837">I1771/$H$9</f>
        <v>0</v>
      </c>
    </row>
    <row r="1772" spans="1:10">
      <c r="A1772" s="74">
        <f>A1771+1</f>
        <v>2</v>
      </c>
      <c r="B1772" s="75"/>
      <c r="C1772" s="76" t="str">
        <f>IF(B1772="","",VLOOKUP(B1772,'Lista articole'!$D$4:$E$2255,2,FALSE))</f>
        <v/>
      </c>
      <c r="D1772" s="77">
        <v>0</v>
      </c>
      <c r="E1772" s="78">
        <f>IF(B1772="",0,VLOOKUP(B1772,'Lista articole'!$D$4:$F$2163,3,FALSE))</f>
        <v>0</v>
      </c>
      <c r="F1772" s="77">
        <f t="shared" si="834"/>
        <v>0</v>
      </c>
      <c r="G1772" s="77">
        <f t="shared" si="835"/>
        <v>0</v>
      </c>
      <c r="H1772" s="77">
        <f>F1772*'Date Generale'!$D$58</f>
        <v>0</v>
      </c>
      <c r="I1772" s="77">
        <f t="shared" si="836"/>
        <v>0</v>
      </c>
      <c r="J1772" s="79">
        <f t="shared" si="837"/>
        <v>0</v>
      </c>
    </row>
    <row r="1773" spans="1:10">
      <c r="A1773" s="693" t="s">
        <v>51</v>
      </c>
      <c r="B1773" s="694"/>
      <c r="C1773" s="694"/>
      <c r="D1773" s="694"/>
      <c r="E1773" s="694"/>
      <c r="F1773" s="56">
        <f>SUM(F1774:F1775)</f>
        <v>0</v>
      </c>
      <c r="G1773" s="56">
        <f>SUM(G1774:G1775)</f>
        <v>0</v>
      </c>
      <c r="H1773" s="56">
        <f>SUM(H1774:H1775)</f>
        <v>0</v>
      </c>
      <c r="I1773" s="56">
        <f>SUM(I1774:I1775)</f>
        <v>0</v>
      </c>
      <c r="J1773" s="57">
        <f>SUM(J1774:J1775)</f>
        <v>0</v>
      </c>
    </row>
    <row r="1774" spans="1:10">
      <c r="A1774" s="80">
        <v>1</v>
      </c>
      <c r="B1774" s="81"/>
      <c r="C1774" s="76" t="str">
        <f>IF(B1774="","",VLOOKUP(B1774,'Lista articole'!$D$4:$E$2255,2,FALSE))</f>
        <v/>
      </c>
      <c r="D1774" s="77">
        <v>0</v>
      </c>
      <c r="E1774" s="78">
        <f>IF(B1774="",0,VLOOKUP(B1774,'Lista articole'!$D$4:$F$2163,3,FALSE))</f>
        <v>0</v>
      </c>
      <c r="F1774" s="77">
        <f t="shared" ref="F1774:F1775" si="838">D1774*E1774</f>
        <v>0</v>
      </c>
      <c r="G1774" s="77">
        <f t="shared" ref="G1774:G1775" si="839">F1774/$H$9</f>
        <v>0</v>
      </c>
      <c r="H1774" s="77">
        <f>F1774*'Date Generale'!$D$58</f>
        <v>0</v>
      </c>
      <c r="I1774" s="77">
        <f t="shared" ref="I1774:I1775" si="840">H1774+F1774</f>
        <v>0</v>
      </c>
      <c r="J1774" s="79">
        <f t="shared" ref="J1774:J1775" si="841">I1774/$H$9</f>
        <v>0</v>
      </c>
    </row>
    <row r="1775" spans="1:10">
      <c r="A1775" s="74">
        <f>A1774+1</f>
        <v>2</v>
      </c>
      <c r="B1775" s="75"/>
      <c r="C1775" s="76" t="str">
        <f>IF(B1775="","",VLOOKUP(B1775,'Lista articole'!$D$4:$E$2255,2,FALSE))</f>
        <v/>
      </c>
      <c r="D1775" s="77">
        <v>0</v>
      </c>
      <c r="E1775" s="78">
        <f>IF(B1775="",0,VLOOKUP(B1775,'Lista articole'!$D$4:$F$2163,3,FALSE))</f>
        <v>0</v>
      </c>
      <c r="F1775" s="77">
        <f t="shared" si="838"/>
        <v>0</v>
      </c>
      <c r="G1775" s="77">
        <f t="shared" si="839"/>
        <v>0</v>
      </c>
      <c r="H1775" s="77">
        <f>F1775*'Date Generale'!$D$58</f>
        <v>0</v>
      </c>
      <c r="I1775" s="77">
        <f t="shared" si="840"/>
        <v>0</v>
      </c>
      <c r="J1775" s="79">
        <f t="shared" si="841"/>
        <v>0</v>
      </c>
    </row>
    <row r="1776" spans="1:10">
      <c r="A1776" s="693" t="s">
        <v>52</v>
      </c>
      <c r="B1776" s="694"/>
      <c r="C1776" s="694"/>
      <c r="D1776" s="694"/>
      <c r="E1776" s="694"/>
      <c r="F1776" s="56">
        <f>SUM(F1777:F1778)</f>
        <v>0</v>
      </c>
      <c r="G1776" s="56">
        <f>SUM(G1777:G1778)</f>
        <v>0</v>
      </c>
      <c r="H1776" s="56">
        <f>SUM(H1777:H1778)</f>
        <v>0</v>
      </c>
      <c r="I1776" s="56">
        <f>SUM(I1777:I1778)</f>
        <v>0</v>
      </c>
      <c r="J1776" s="57">
        <f>SUM(J1777:J1778)</f>
        <v>0</v>
      </c>
    </row>
    <row r="1777" spans="1:10">
      <c r="A1777" s="80">
        <v>1</v>
      </c>
      <c r="B1777" s="81"/>
      <c r="C1777" s="76" t="str">
        <f>IF(B1777="","",VLOOKUP(B1777,'Lista articole'!$D$4:$E$2255,2,FALSE))</f>
        <v/>
      </c>
      <c r="D1777" s="77">
        <v>0</v>
      </c>
      <c r="E1777" s="78">
        <f>IF(B1777="",0,VLOOKUP(B1777,'Lista articole'!$D$4:$F$2163,3,FALSE))</f>
        <v>0</v>
      </c>
      <c r="F1777" s="77">
        <f>D1777*E1777</f>
        <v>0</v>
      </c>
      <c r="G1777" s="77">
        <f>F1777/$H$9</f>
        <v>0</v>
      </c>
      <c r="H1777" s="77">
        <f>F1777*'Date Generale'!$D$58</f>
        <v>0</v>
      </c>
      <c r="I1777" s="77">
        <f t="shared" ref="I1777:I1778" si="842">H1777+F1777</f>
        <v>0</v>
      </c>
      <c r="J1777" s="79">
        <f t="shared" ref="J1777:J1778" si="843">I1777/$H$9</f>
        <v>0</v>
      </c>
    </row>
    <row r="1778" spans="1:10">
      <c r="A1778" s="74">
        <f>A1777+1</f>
        <v>2</v>
      </c>
      <c r="B1778" s="75"/>
      <c r="C1778" s="76" t="str">
        <f>IF(B1778="","",VLOOKUP(B1778,'Lista articole'!$D$4:$E$2255,2,FALSE))</f>
        <v/>
      </c>
      <c r="D1778" s="77">
        <v>0</v>
      </c>
      <c r="E1778" s="78">
        <f>IF(B1778="",0,VLOOKUP(B1778,'Lista articole'!$D$4:$F$2163,3,FALSE))</f>
        <v>0</v>
      </c>
      <c r="F1778" s="77">
        <f t="shared" ref="F1778" si="844">D1778*E1778</f>
        <v>0</v>
      </c>
      <c r="G1778" s="77">
        <f t="shared" ref="G1778" si="845">F1778/$H$9</f>
        <v>0</v>
      </c>
      <c r="H1778" s="77">
        <f>F1778*'Date Generale'!$D$58</f>
        <v>0</v>
      </c>
      <c r="I1778" s="77">
        <f t="shared" si="842"/>
        <v>0</v>
      </c>
      <c r="J1778" s="79">
        <f t="shared" si="843"/>
        <v>0</v>
      </c>
    </row>
    <row r="1779" spans="1:10">
      <c r="A1779" s="693" t="s">
        <v>53</v>
      </c>
      <c r="B1779" s="694"/>
      <c r="C1779" s="694"/>
      <c r="D1779" s="694"/>
      <c r="E1779" s="694"/>
      <c r="F1779" s="56">
        <f>SUM(F1780:F1781)</f>
        <v>0</v>
      </c>
      <c r="G1779" s="56">
        <f>SUM(G1780:G1781)</f>
        <v>0</v>
      </c>
      <c r="H1779" s="56">
        <f>SUM(H1780:H1781)</f>
        <v>0</v>
      </c>
      <c r="I1779" s="56">
        <f>SUM(I1780:I1781)</f>
        <v>0</v>
      </c>
      <c r="J1779" s="57">
        <f>SUM(J1780:J1781)</f>
        <v>0</v>
      </c>
    </row>
    <row r="1780" spans="1:10">
      <c r="A1780" s="80">
        <v>1</v>
      </c>
      <c r="B1780" s="81"/>
      <c r="C1780" s="76" t="str">
        <f>IF(B1780="","",VLOOKUP(B1780,'Lista articole'!$D$4:$E$2255,2,FALSE))</f>
        <v/>
      </c>
      <c r="D1780" s="77">
        <v>0</v>
      </c>
      <c r="E1780" s="78">
        <f>IF(B1780="",0,VLOOKUP(B1780,'Lista articole'!$D$4:$F$2163,3,FALSE))</f>
        <v>0</v>
      </c>
      <c r="F1780" s="77">
        <f>D1780*E1780</f>
        <v>0</v>
      </c>
      <c r="G1780" s="77">
        <f>F1780/$H$9</f>
        <v>0</v>
      </c>
      <c r="H1780" s="77">
        <f>F1780*'Date Generale'!$D$58</f>
        <v>0</v>
      </c>
      <c r="I1780" s="77">
        <f t="shared" ref="I1780:I1781" si="846">H1780+F1780</f>
        <v>0</v>
      </c>
      <c r="J1780" s="79">
        <f t="shared" ref="J1780:J1781" si="847">I1780/$H$9</f>
        <v>0</v>
      </c>
    </row>
    <row r="1781" spans="1:10" ht="15.75" thickBot="1">
      <c r="A1781" s="139">
        <f>A1780+1</f>
        <v>2</v>
      </c>
      <c r="B1781" s="140"/>
      <c r="C1781" s="141" t="str">
        <f>IF(B1781="","",VLOOKUP(B1781,'Lista articole'!$D$4:$E$2255,2,FALSE))</f>
        <v/>
      </c>
      <c r="D1781" s="142">
        <v>0</v>
      </c>
      <c r="E1781" s="143">
        <f>IF(B1781="",0,VLOOKUP(B1781,'Lista articole'!$D$4:$F$2163,3,FALSE))</f>
        <v>0</v>
      </c>
      <c r="F1781" s="142">
        <f t="shared" ref="F1781" si="848">D1781*E1781</f>
        <v>0</v>
      </c>
      <c r="G1781" s="142">
        <f t="shared" ref="G1781" si="849">F1781/$H$9</f>
        <v>0</v>
      </c>
      <c r="H1781" s="142">
        <f>F1781*'Date Generale'!$D$58</f>
        <v>0</v>
      </c>
      <c r="I1781" s="142">
        <f t="shared" si="846"/>
        <v>0</v>
      </c>
      <c r="J1781" s="144">
        <f t="shared" si="847"/>
        <v>0</v>
      </c>
    </row>
    <row r="1782" spans="1:10" ht="15.75" thickBot="1">
      <c r="A1782" s="685" t="s">
        <v>27</v>
      </c>
      <c r="B1782" s="686"/>
      <c r="C1782" s="686"/>
      <c r="D1782" s="686"/>
      <c r="E1782" s="686"/>
      <c r="F1782" s="82">
        <f>SUM(F1746,F1749,F1752,F1755,F1770,F1773,F1776,F1779)</f>
        <v>0</v>
      </c>
      <c r="G1782" s="82">
        <f>SUM(G1746,G1749,G1752,G1755,G1770,G1773,G1776,G1779)</f>
        <v>0</v>
      </c>
      <c r="H1782" s="82">
        <f>SUM(H1746,H1749,H1752,H1755,H1770,H1773,H1776,H1779)</f>
        <v>0</v>
      </c>
      <c r="I1782" s="82">
        <f>SUM(I1746,I1749,I1752,I1755,I1770,I1773,I1776,I1779)</f>
        <v>0</v>
      </c>
      <c r="J1782" s="83">
        <f>SUM(J1746,J1749,J1752,J1755,J1770,J1773,J1776,J1779)</f>
        <v>0</v>
      </c>
    </row>
    <row r="1783" spans="1:10" ht="15.75" thickBot="1">
      <c r="A1783" s="683" t="s">
        <v>28</v>
      </c>
      <c r="B1783" s="684"/>
      <c r="C1783" s="684"/>
      <c r="D1783" s="684"/>
      <c r="E1783" s="684"/>
      <c r="F1783" s="72"/>
      <c r="G1783" s="72"/>
      <c r="H1783" s="72"/>
      <c r="I1783" s="72"/>
      <c r="J1783" s="73"/>
    </row>
    <row r="1784" spans="1:10">
      <c r="A1784" s="145"/>
      <c r="B1784" s="695" t="s">
        <v>29</v>
      </c>
      <c r="C1784" s="695"/>
      <c r="D1784" s="695"/>
      <c r="E1784" s="695"/>
      <c r="F1784" s="146">
        <f>SUM(F1785:F1786)</f>
        <v>0</v>
      </c>
      <c r="G1784" s="146">
        <f>SUM(G1785:G1786)</f>
        <v>0</v>
      </c>
      <c r="H1784" s="146">
        <f>SUM(H1785:H1786)</f>
        <v>0</v>
      </c>
      <c r="I1784" s="146">
        <f>SUM(I1785:I1786)</f>
        <v>0</v>
      </c>
      <c r="J1784" s="147">
        <f>SUM(J1785:J1786)</f>
        <v>0</v>
      </c>
    </row>
    <row r="1785" spans="1:10">
      <c r="A1785" s="80">
        <v>1</v>
      </c>
      <c r="B1785" s="81"/>
      <c r="C1785" s="76" t="str">
        <f>IF(B1785="","",VLOOKUP(B1785,'Lista articole'!$D$4:$E$2255,2,FALSE))</f>
        <v/>
      </c>
      <c r="D1785" s="77">
        <v>0</v>
      </c>
      <c r="E1785" s="78">
        <f>IF(B1785="",0,VLOOKUP(B1785,'Lista articole'!$D$4:$F$2163,3,FALSE))</f>
        <v>0</v>
      </c>
      <c r="F1785" s="77">
        <f>D1785*E1785</f>
        <v>0</v>
      </c>
      <c r="G1785" s="77">
        <f>F1785/$H$9</f>
        <v>0</v>
      </c>
      <c r="H1785" s="77">
        <f>F1785*'Date Generale'!$D$58</f>
        <v>0</v>
      </c>
      <c r="I1785" s="77">
        <f t="shared" ref="I1785:I1786" si="850">H1785+F1785</f>
        <v>0</v>
      </c>
      <c r="J1785" s="79">
        <f t="shared" ref="J1785:J1786" si="851">I1785/$H$9</f>
        <v>0</v>
      </c>
    </row>
    <row r="1786" spans="1:10" ht="15.75" thickBot="1">
      <c r="A1786" s="139">
        <f>A1785+1</f>
        <v>2</v>
      </c>
      <c r="B1786" s="140"/>
      <c r="C1786" s="141" t="str">
        <f>IF(B1786="","",VLOOKUP(B1786,'Lista articole'!$D$4:$E$2255,2,FALSE))</f>
        <v/>
      </c>
      <c r="D1786" s="142">
        <v>0</v>
      </c>
      <c r="E1786" s="143">
        <f>IF(B1786="",0,VLOOKUP(B1786,'Lista articole'!$D$4:$F$2163,3,FALSE))</f>
        <v>0</v>
      </c>
      <c r="F1786" s="142">
        <f t="shared" ref="F1786" si="852">D1786*E1786</f>
        <v>0</v>
      </c>
      <c r="G1786" s="142">
        <f t="shared" ref="G1786" si="853">F1786/$H$9</f>
        <v>0</v>
      </c>
      <c r="H1786" s="142">
        <f>F1786*'Date Generale'!$D$58</f>
        <v>0</v>
      </c>
      <c r="I1786" s="142">
        <f t="shared" si="850"/>
        <v>0</v>
      </c>
      <c r="J1786" s="144">
        <f t="shared" si="851"/>
        <v>0</v>
      </c>
    </row>
    <row r="1787" spans="1:10" ht="15.75" thickBot="1">
      <c r="A1787" s="685" t="s">
        <v>30</v>
      </c>
      <c r="B1787" s="686"/>
      <c r="C1787" s="686"/>
      <c r="D1787" s="686"/>
      <c r="E1787" s="686"/>
      <c r="F1787" s="85">
        <f>F1784</f>
        <v>0</v>
      </c>
      <c r="G1787" s="85">
        <f>G1784</f>
        <v>0</v>
      </c>
      <c r="H1787" s="85">
        <f>H1784</f>
        <v>0</v>
      </c>
      <c r="I1787" s="85">
        <f>I1784</f>
        <v>0</v>
      </c>
      <c r="J1787" s="86">
        <f>J1784</f>
        <v>0</v>
      </c>
    </row>
    <row r="1788" spans="1:10" ht="15.75" thickBot="1">
      <c r="A1788" s="683" t="s">
        <v>31</v>
      </c>
      <c r="B1788" s="684"/>
      <c r="C1788" s="684"/>
      <c r="D1788" s="684"/>
      <c r="E1788" s="684"/>
      <c r="F1788" s="72"/>
      <c r="G1788" s="72"/>
      <c r="H1788" s="72"/>
      <c r="I1788" s="72"/>
      <c r="J1788" s="73"/>
    </row>
    <row r="1789" spans="1:10">
      <c r="A1789" s="145"/>
      <c r="B1789" s="695" t="s">
        <v>32</v>
      </c>
      <c r="C1789" s="695"/>
      <c r="D1789" s="695"/>
      <c r="E1789" s="695"/>
      <c r="F1789" s="148">
        <f>SUM(F1790:F1791)</f>
        <v>0</v>
      </c>
      <c r="G1789" s="148">
        <f>SUM(G1790:G1791)</f>
        <v>0</v>
      </c>
      <c r="H1789" s="148">
        <f>SUM(H1790:H1791)</f>
        <v>0</v>
      </c>
      <c r="I1789" s="148">
        <f>SUM(I1790:I1791)</f>
        <v>0</v>
      </c>
      <c r="J1789" s="149">
        <f>SUM(J1790:J1791)</f>
        <v>0</v>
      </c>
    </row>
    <row r="1790" spans="1:10">
      <c r="A1790" s="80">
        <v>1</v>
      </c>
      <c r="B1790" s="81"/>
      <c r="C1790" s="76" t="str">
        <f>IF(B1790="","",VLOOKUP(B1790,'Lista articole'!$D$4:$E$2255,2,FALSE))</f>
        <v/>
      </c>
      <c r="D1790" s="77">
        <v>0</v>
      </c>
      <c r="E1790" s="78">
        <f>IF(B1790="",0,VLOOKUP(B1790,'Lista articole'!$D$4:$F$2163,3,FALSE))</f>
        <v>0</v>
      </c>
      <c r="F1790" s="77">
        <f>D1790*E1790</f>
        <v>0</v>
      </c>
      <c r="G1790" s="77">
        <f>F1790/$H$9</f>
        <v>0</v>
      </c>
      <c r="H1790" s="77">
        <f>F1790*'Date Generale'!$D$58</f>
        <v>0</v>
      </c>
      <c r="I1790" s="77">
        <f t="shared" ref="I1790:I1791" si="854">H1790+F1790</f>
        <v>0</v>
      </c>
      <c r="J1790" s="79">
        <f t="shared" ref="J1790:J1791" si="855">I1790/$H$9</f>
        <v>0</v>
      </c>
    </row>
    <row r="1791" spans="1:10">
      <c r="A1791" s="74">
        <f>A1790+1</f>
        <v>2</v>
      </c>
      <c r="B1791" s="75"/>
      <c r="C1791" s="76" t="str">
        <f>IF(B1791="","",VLOOKUP(B1791,'Lista articole'!$D$4:$E$2255,2,FALSE))</f>
        <v/>
      </c>
      <c r="D1791" s="77">
        <v>0</v>
      </c>
      <c r="E1791" s="78">
        <f>IF(B1791="",0,VLOOKUP(B1791,'Lista articole'!$D$4:$F$2163,3,FALSE))</f>
        <v>0</v>
      </c>
      <c r="F1791" s="77">
        <f t="shared" ref="F1791" si="856">D1791*E1791</f>
        <v>0</v>
      </c>
      <c r="G1791" s="77">
        <f t="shared" ref="G1791" si="857">F1791/$H$9</f>
        <v>0</v>
      </c>
      <c r="H1791" s="77">
        <f>F1791*'Date Generale'!$D$58</f>
        <v>0</v>
      </c>
      <c r="I1791" s="77">
        <f t="shared" si="854"/>
        <v>0</v>
      </c>
      <c r="J1791" s="79">
        <f t="shared" si="855"/>
        <v>0</v>
      </c>
    </row>
    <row r="1792" spans="1:10">
      <c r="A1792" s="87"/>
      <c r="B1792" s="696" t="s">
        <v>33</v>
      </c>
      <c r="C1792" s="696"/>
      <c r="D1792" s="696"/>
      <c r="E1792" s="696"/>
      <c r="F1792" s="88">
        <f>SUM(F1793:F1794)</f>
        <v>0</v>
      </c>
      <c r="G1792" s="88">
        <f>SUM(G1793:G1794)</f>
        <v>0</v>
      </c>
      <c r="H1792" s="88">
        <f>SUM(H1793:H1794)</f>
        <v>0</v>
      </c>
      <c r="I1792" s="88">
        <f>SUM(I1793:I1794)</f>
        <v>0</v>
      </c>
      <c r="J1792" s="89">
        <f>SUM(J1793:J1794)</f>
        <v>0</v>
      </c>
    </row>
    <row r="1793" spans="1:11">
      <c r="A1793" s="80">
        <v>1</v>
      </c>
      <c r="B1793" s="81"/>
      <c r="C1793" s="76" t="str">
        <f>IF(B1793="","",VLOOKUP(B1793,'Lista articole'!$D$4:$E$2255,2,FALSE))</f>
        <v/>
      </c>
      <c r="D1793" s="77">
        <v>0</v>
      </c>
      <c r="E1793" s="78">
        <f>IF(B1793="",0,VLOOKUP(B1793,'Lista articole'!$D$4:$F$2163,3,FALSE))</f>
        <v>0</v>
      </c>
      <c r="F1793" s="77">
        <f>D1793*E1793</f>
        <v>0</v>
      </c>
      <c r="G1793" s="77">
        <f>F1793/$H$9</f>
        <v>0</v>
      </c>
      <c r="H1793" s="77">
        <f>F1793*'Date Generale'!$D$58</f>
        <v>0</v>
      </c>
      <c r="I1793" s="77">
        <f t="shared" ref="I1793:I1794" si="858">H1793+F1793</f>
        <v>0</v>
      </c>
      <c r="J1793" s="79">
        <f t="shared" ref="J1793:J1794" si="859">I1793/$H$9</f>
        <v>0</v>
      </c>
    </row>
    <row r="1794" spans="1:11">
      <c r="A1794" s="74">
        <f>A1793+1</f>
        <v>2</v>
      </c>
      <c r="B1794" s="75"/>
      <c r="C1794" s="76" t="str">
        <f>IF(B1794="","",VLOOKUP(B1794,'Lista articole'!$D$4:$E$2255,2,FALSE))</f>
        <v/>
      </c>
      <c r="D1794" s="77">
        <v>0</v>
      </c>
      <c r="E1794" s="78">
        <f>IF(B1794="",0,VLOOKUP(B1794,'Lista articole'!$D$4:$F$2163,3,FALSE))</f>
        <v>0</v>
      </c>
      <c r="F1794" s="77">
        <f t="shared" ref="F1794" si="860">D1794*E1794</f>
        <v>0</v>
      </c>
      <c r="G1794" s="77">
        <f t="shared" ref="G1794" si="861">F1794/$H$9</f>
        <v>0</v>
      </c>
      <c r="H1794" s="77">
        <f>F1794*'Date Generale'!$D$58</f>
        <v>0</v>
      </c>
      <c r="I1794" s="77">
        <f t="shared" si="858"/>
        <v>0</v>
      </c>
      <c r="J1794" s="79">
        <f t="shared" si="859"/>
        <v>0</v>
      </c>
    </row>
    <row r="1795" spans="1:11">
      <c r="A1795" s="87"/>
      <c r="B1795" s="696" t="s">
        <v>34</v>
      </c>
      <c r="C1795" s="696"/>
      <c r="D1795" s="696"/>
      <c r="E1795" s="696"/>
      <c r="F1795" s="88">
        <f>SUM(F1796:F1797)</f>
        <v>0</v>
      </c>
      <c r="G1795" s="88">
        <f>SUM(G1796:G1797)</f>
        <v>0</v>
      </c>
      <c r="H1795" s="88">
        <f>SUM(H1796:H1797)</f>
        <v>0</v>
      </c>
      <c r="I1795" s="88">
        <f>SUM(I1796:I1797)</f>
        <v>0</v>
      </c>
      <c r="J1795" s="89">
        <f>SUM(J1796:J1797)</f>
        <v>0</v>
      </c>
    </row>
    <row r="1796" spans="1:11">
      <c r="A1796" s="80">
        <v>1</v>
      </c>
      <c r="B1796" s="81"/>
      <c r="C1796" s="76" t="str">
        <f>IF(B1796="","",VLOOKUP(B1796,'Lista articole'!$D$4:$E$2255,2,FALSE))</f>
        <v/>
      </c>
      <c r="D1796" s="77">
        <v>0</v>
      </c>
      <c r="E1796" s="78">
        <f>IF(B1796="",0,VLOOKUP(B1796,'Lista articole'!$D$4:$F$2163,3,FALSE))</f>
        <v>0</v>
      </c>
      <c r="F1796" s="77">
        <f>D1796*E1796</f>
        <v>0</v>
      </c>
      <c r="G1796" s="77">
        <f>F1796/$H$9</f>
        <v>0</v>
      </c>
      <c r="H1796" s="77">
        <f>F1796*'Date Generale'!$D$58</f>
        <v>0</v>
      </c>
      <c r="I1796" s="77">
        <f t="shared" ref="I1796:I1797" si="862">H1796+F1796</f>
        <v>0</v>
      </c>
      <c r="J1796" s="79">
        <f t="shared" ref="J1796:J1797" si="863">I1796/$H$9</f>
        <v>0</v>
      </c>
    </row>
    <row r="1797" spans="1:11" ht="15.75" thickBot="1">
      <c r="A1797" s="139">
        <f>A1796+1</f>
        <v>2</v>
      </c>
      <c r="B1797" s="140"/>
      <c r="C1797" s="141" t="str">
        <f>IF(B1797="","",VLOOKUP(B1797,'Lista articole'!$D$4:$E$2255,2,FALSE))</f>
        <v/>
      </c>
      <c r="D1797" s="142">
        <v>0</v>
      </c>
      <c r="E1797" s="143">
        <f>IF(B1797="",0,VLOOKUP(B1797,'Lista articole'!$D$4:$F$2163,3,FALSE))</f>
        <v>0</v>
      </c>
      <c r="F1797" s="142">
        <f t="shared" ref="F1797" si="864">D1797*E1797</f>
        <v>0</v>
      </c>
      <c r="G1797" s="142">
        <f t="shared" ref="G1797" si="865">F1797/$H$9</f>
        <v>0</v>
      </c>
      <c r="H1797" s="142">
        <f>F1797*'Date Generale'!$D$58</f>
        <v>0</v>
      </c>
      <c r="I1797" s="142">
        <f t="shared" si="862"/>
        <v>0</v>
      </c>
      <c r="J1797" s="144">
        <f t="shared" si="863"/>
        <v>0</v>
      </c>
    </row>
    <row r="1798" spans="1:11" ht="15.75" thickBot="1">
      <c r="A1798" s="685" t="s">
        <v>35</v>
      </c>
      <c r="B1798" s="686"/>
      <c r="C1798" s="686"/>
      <c r="D1798" s="686"/>
      <c r="E1798" s="686"/>
      <c r="F1798" s="62">
        <f>SUM(F1795,F1792,F1789)</f>
        <v>0</v>
      </c>
      <c r="G1798" s="62">
        <f>SUM(G1795,G1792,G1789)</f>
        <v>0</v>
      </c>
      <c r="H1798" s="62">
        <f>SUM(H1795,H1792,H1789)</f>
        <v>0</v>
      </c>
      <c r="I1798" s="62">
        <f>SUM(I1795,I1792,I1789)</f>
        <v>0</v>
      </c>
      <c r="J1798" s="63">
        <f>SUM(J1795,J1792,J1789)</f>
        <v>0</v>
      </c>
    </row>
    <row r="1799" spans="1:11">
      <c r="A1799" s="38"/>
      <c r="B1799" s="39"/>
      <c r="C1799" s="39"/>
      <c r="D1799" s="39"/>
      <c r="E1799" s="39"/>
      <c r="F1799" s="39"/>
      <c r="G1799" s="39"/>
      <c r="H1799" s="39"/>
      <c r="I1799" s="39"/>
      <c r="J1799" s="39"/>
    </row>
    <row r="1800" spans="1:11">
      <c r="A1800" s="38"/>
      <c r="C1800" s="42"/>
      <c r="D1800" s="42"/>
      <c r="E1800" s="42"/>
      <c r="F1800" s="42"/>
      <c r="G1800" s="42"/>
      <c r="H1800" s="42"/>
      <c r="I1800" s="42"/>
      <c r="J1800" s="42"/>
    </row>
    <row r="1801" spans="1:11" ht="18.75">
      <c r="A1801" s="42"/>
      <c r="B1801" s="90" t="s">
        <v>37</v>
      </c>
      <c r="C1801" s="42"/>
      <c r="D1801" s="42"/>
      <c r="E1801" s="42"/>
      <c r="F1801" s="42"/>
      <c r="G1801" s="42"/>
      <c r="H1801" s="42"/>
      <c r="I1801" s="42"/>
      <c r="J1801" s="42"/>
    </row>
    <row r="1802" spans="1:11" ht="18.75">
      <c r="A1802" s="38"/>
      <c r="B1802" s="90" t="str">
        <f>'Date Generale'!$C$7</f>
        <v>S.C. Tehno Consoulting Solutions S.R.L.</v>
      </c>
      <c r="C1802" s="39"/>
      <c r="D1802" s="39"/>
      <c r="E1802" s="39"/>
      <c r="F1802" s="39"/>
      <c r="G1802" s="39"/>
      <c r="H1802" s="39"/>
      <c r="I1802" s="39"/>
      <c r="J1802" s="39"/>
    </row>
    <row r="1803" spans="1:11">
      <c r="A1803" s="35"/>
      <c r="B1803" s="93"/>
      <c r="C1803" s="94"/>
      <c r="D1803" s="95"/>
      <c r="E1803" s="96"/>
      <c r="F1803" s="96"/>
      <c r="G1803" s="95"/>
      <c r="H1803" s="95"/>
      <c r="I1803" s="95"/>
      <c r="J1803" s="95"/>
    </row>
    <row r="1804" spans="1:11">
      <c r="A1804" s="35"/>
      <c r="B1804" s="93"/>
      <c r="C1804" s="94"/>
      <c r="D1804" s="95"/>
      <c r="E1804" s="96"/>
      <c r="F1804" s="96"/>
      <c r="G1804" s="95"/>
      <c r="H1804" s="95"/>
      <c r="I1804" s="95"/>
      <c r="J1804" s="95"/>
    </row>
    <row r="1805" spans="1:11">
      <c r="A1805" s="35"/>
      <c r="B1805" s="98"/>
      <c r="C1805" s="94"/>
      <c r="D1805" s="95"/>
      <c r="E1805" s="96"/>
      <c r="F1805" s="96"/>
      <c r="G1805" s="95"/>
      <c r="H1805" s="95"/>
      <c r="I1805" s="95"/>
      <c r="J1805" s="95"/>
      <c r="K1805" s="67"/>
    </row>
    <row r="1806" spans="1:11" ht="15.75">
      <c r="A1806" s="41" t="str">
        <f>"Beneficiar: " &amp;'Date Generale'!$C$6</f>
        <v xml:space="preserve">Beneficiar: Judetul Arges </v>
      </c>
      <c r="B1806" s="41"/>
      <c r="C1806" s="42"/>
      <c r="D1806" s="42"/>
      <c r="E1806" s="69"/>
      <c r="F1806" s="42"/>
      <c r="G1806" s="42"/>
      <c r="H1806" s="42"/>
      <c r="I1806" s="42"/>
      <c r="J1806" s="42"/>
    </row>
    <row r="1807" spans="1:11" ht="15.75">
      <c r="A1807" s="41" t="str">
        <f>"Denumire proiect: " &amp; 'Date Generale'!$C$3</f>
        <v>Denumire proiect: Modernizare DJ 703B Serbanesti (DJ659) - Silistea, km 70+410 - 77+826, 7.416km, in comunele Rociu si Cateasca</v>
      </c>
      <c r="B1807" s="41"/>
      <c r="C1807" s="44"/>
      <c r="D1807" s="44"/>
      <c r="E1807" s="44"/>
      <c r="F1807" s="44"/>
      <c r="G1807" s="44"/>
      <c r="H1807" s="44"/>
      <c r="I1807" s="44"/>
      <c r="J1807" s="44"/>
    </row>
    <row r="1808" spans="1:11" ht="15.75">
      <c r="A1808" s="41"/>
      <c r="B1808" s="41"/>
      <c r="C1808" s="44"/>
      <c r="D1808" s="44"/>
      <c r="E1808" s="44"/>
      <c r="F1808" s="44"/>
      <c r="G1808" s="44"/>
      <c r="H1808" s="44"/>
      <c r="I1808" s="44"/>
      <c r="J1808" s="44"/>
    </row>
    <row r="1809" spans="1:10" ht="15.75">
      <c r="A1809" s="41" t="str">
        <f>'Date Generale'!$E$84</f>
        <v>Obiect 024:0</v>
      </c>
      <c r="B1809" s="41"/>
      <c r="C1809" s="44"/>
      <c r="D1809" s="44"/>
      <c r="E1809" s="44"/>
      <c r="F1809" s="44"/>
      <c r="G1809" s="44"/>
      <c r="H1809" s="44"/>
      <c r="I1809" s="44"/>
      <c r="J1809" s="44"/>
    </row>
    <row r="1810" spans="1:10" ht="15.75">
      <c r="A1810" s="70"/>
      <c r="B1810" s="44"/>
      <c r="C1810" s="44"/>
      <c r="D1810" s="44"/>
      <c r="E1810" s="44"/>
      <c r="F1810" s="44"/>
      <c r="G1810" s="44"/>
      <c r="H1810" s="44"/>
      <c r="I1810" s="44"/>
      <c r="J1810" s="44"/>
    </row>
    <row r="1811" spans="1:10">
      <c r="A1811" s="687" t="s">
        <v>38</v>
      </c>
      <c r="B1811" s="687"/>
      <c r="C1811" s="687"/>
      <c r="D1811" s="687"/>
      <c r="E1811" s="687"/>
      <c r="F1811" s="687"/>
      <c r="G1811" s="687"/>
      <c r="H1811" s="687"/>
      <c r="I1811" s="687"/>
      <c r="J1811" s="687"/>
    </row>
    <row r="1812" spans="1:10">
      <c r="A1812" s="371"/>
      <c r="B1812" s="371"/>
      <c r="C1812" s="371"/>
      <c r="D1812" s="371"/>
      <c r="E1812" s="371"/>
      <c r="F1812" s="371"/>
      <c r="G1812" s="371"/>
      <c r="H1812" s="371"/>
      <c r="I1812" s="371"/>
      <c r="J1812" s="371"/>
    </row>
    <row r="1813" spans="1:10" ht="15.75" thickBot="1">
      <c r="A1813" s="42"/>
      <c r="B1813" s="46"/>
      <c r="C1813" s="71"/>
      <c r="D1813" s="71"/>
      <c r="E1813" s="71"/>
      <c r="F1813" s="33"/>
      <c r="G1813" s="47" t="s">
        <v>2</v>
      </c>
      <c r="H1813" s="48">
        <f>'Date Generale'!$C$54</f>
        <v>4.7233000000000001</v>
      </c>
      <c r="I1813" s="49" t="s">
        <v>3</v>
      </c>
      <c r="J1813" s="50" t="str">
        <f>'Date Generale'!$D$54</f>
        <v>21,06,2019</v>
      </c>
    </row>
    <row r="1814" spans="1:10" ht="15.75" thickBot="1">
      <c r="A1814" s="688" t="s">
        <v>4</v>
      </c>
      <c r="B1814" s="688" t="s">
        <v>5</v>
      </c>
      <c r="C1814" s="688" t="s">
        <v>39</v>
      </c>
      <c r="D1814" s="688" t="s">
        <v>40</v>
      </c>
      <c r="E1814" s="688" t="s">
        <v>228</v>
      </c>
      <c r="F1814" s="689" t="s">
        <v>160</v>
      </c>
      <c r="G1814" s="689"/>
      <c r="H1814" s="372" t="s">
        <v>7</v>
      </c>
      <c r="I1814" s="689" t="s">
        <v>159</v>
      </c>
      <c r="J1814" s="689"/>
    </row>
    <row r="1815" spans="1:10" ht="15.75" thickBot="1">
      <c r="A1815" s="688"/>
      <c r="B1815" s="688"/>
      <c r="C1815" s="688"/>
      <c r="D1815" s="688"/>
      <c r="E1815" s="688"/>
      <c r="F1815" s="51" t="s">
        <v>9</v>
      </c>
      <c r="G1815" s="51" t="s">
        <v>10</v>
      </c>
      <c r="H1815" s="51" t="s">
        <v>9</v>
      </c>
      <c r="I1815" s="51" t="s">
        <v>9</v>
      </c>
      <c r="J1815" s="51" t="s">
        <v>10</v>
      </c>
    </row>
    <row r="1816" spans="1:10" ht="15.75" thickBot="1">
      <c r="A1816" s="3">
        <v>1</v>
      </c>
      <c r="B1816" s="1">
        <v>2</v>
      </c>
      <c r="C1816" s="1">
        <v>3</v>
      </c>
      <c r="D1816" s="1">
        <v>4</v>
      </c>
      <c r="E1816" s="1">
        <v>5</v>
      </c>
      <c r="F1816" s="1">
        <v>6</v>
      </c>
      <c r="G1816" s="1">
        <v>7</v>
      </c>
      <c r="H1816" s="1">
        <v>8</v>
      </c>
      <c r="I1816" s="1">
        <v>9</v>
      </c>
      <c r="J1816" s="1">
        <v>10</v>
      </c>
    </row>
    <row r="1817" spans="1:10" ht="15.75" thickBot="1">
      <c r="A1817" s="683" t="s">
        <v>11</v>
      </c>
      <c r="B1817" s="684"/>
      <c r="C1817" s="684"/>
      <c r="D1817" s="684"/>
      <c r="E1817" s="684"/>
      <c r="F1817" s="72"/>
      <c r="G1817" s="72"/>
      <c r="H1817" s="72"/>
      <c r="I1817" s="72"/>
      <c r="J1817" s="73"/>
    </row>
    <row r="1818" spans="1:10">
      <c r="A1818" s="691" t="s">
        <v>41</v>
      </c>
      <c r="B1818" s="692"/>
      <c r="C1818" s="692"/>
      <c r="D1818" s="692"/>
      <c r="E1818" s="692"/>
      <c r="F1818" s="137">
        <f>SUM(F1819:F1820)</f>
        <v>0</v>
      </c>
      <c r="G1818" s="137">
        <f>SUM(G1819:G1820)</f>
        <v>0</v>
      </c>
      <c r="H1818" s="137">
        <f>SUM(H1819:H1820)</f>
        <v>0</v>
      </c>
      <c r="I1818" s="137">
        <f>SUM(I1819:I1820)</f>
        <v>0</v>
      </c>
      <c r="J1818" s="138">
        <f>SUM(J1819:J1820)</f>
        <v>0</v>
      </c>
    </row>
    <row r="1819" spans="1:10">
      <c r="A1819" s="74">
        <v>1</v>
      </c>
      <c r="B1819" s="75"/>
      <c r="C1819" s="76" t="str">
        <f>IF(B1819="","",VLOOKUP(B1819,'Lista articole'!$D$4:$E$2255,2,FALSE))</f>
        <v/>
      </c>
      <c r="D1819" s="77">
        <v>0</v>
      </c>
      <c r="E1819" s="78">
        <f>IF(B1819="",0,VLOOKUP(B1819,'Lista articole'!$D$4:$F$2163,3,FALSE))</f>
        <v>0</v>
      </c>
      <c r="F1819" s="77">
        <f>D1819*E1819</f>
        <v>0</v>
      </c>
      <c r="G1819" s="77">
        <f t="shared" ref="G1819:G1820" si="866">F1819/$H$9</f>
        <v>0</v>
      </c>
      <c r="H1819" s="77">
        <f>F1819*'Date Generale'!$D$58</f>
        <v>0</v>
      </c>
      <c r="I1819" s="77">
        <f>H1819+F1819</f>
        <v>0</v>
      </c>
      <c r="J1819" s="79">
        <f>I1819/$H$9</f>
        <v>0</v>
      </c>
    </row>
    <row r="1820" spans="1:10">
      <c r="A1820" s="74">
        <v>2</v>
      </c>
      <c r="B1820" s="75"/>
      <c r="C1820" s="76" t="str">
        <f>IF(B1820="","",VLOOKUP(B1820,'Lista articole'!$D$4:$E$2255,2,FALSE))</f>
        <v/>
      </c>
      <c r="D1820" s="77">
        <v>0</v>
      </c>
      <c r="E1820" s="78">
        <f>IF(B1820="",0,VLOOKUP(B1820,'Lista articole'!$D$4:$F$2163,3,FALSE))</f>
        <v>0</v>
      </c>
      <c r="F1820" s="77">
        <f>D1820*E1820</f>
        <v>0</v>
      </c>
      <c r="G1820" s="77">
        <f t="shared" si="866"/>
        <v>0</v>
      </c>
      <c r="H1820" s="77">
        <f>F1820*'Date Generale'!$D$58</f>
        <v>0</v>
      </c>
      <c r="I1820" s="77">
        <f>H1820+F1820</f>
        <v>0</v>
      </c>
      <c r="J1820" s="79">
        <f>I1820/$H$9</f>
        <v>0</v>
      </c>
    </row>
    <row r="1821" spans="1:10">
      <c r="A1821" s="693" t="s">
        <v>44</v>
      </c>
      <c r="B1821" s="694"/>
      <c r="C1821" s="694"/>
      <c r="D1821" s="694"/>
      <c r="E1821" s="694"/>
      <c r="F1821" s="56">
        <f>SUM(F1822:F1823)</f>
        <v>0</v>
      </c>
      <c r="G1821" s="56">
        <f>SUM(G1822:G1823)</f>
        <v>0</v>
      </c>
      <c r="H1821" s="56">
        <f>SUM(H1822:H1823)</f>
        <v>0</v>
      </c>
      <c r="I1821" s="56">
        <f>SUM(I1822:I1823)</f>
        <v>0</v>
      </c>
      <c r="J1821" s="57">
        <f>SUM(J1822:J1823)</f>
        <v>0</v>
      </c>
    </row>
    <row r="1822" spans="1:10">
      <c r="A1822" s="80">
        <v>1</v>
      </c>
      <c r="B1822" s="81"/>
      <c r="C1822" s="76" t="str">
        <f>IF(B1822="","",VLOOKUP(B1822,'Lista articole'!$D$4:$E$2255,2,FALSE))</f>
        <v/>
      </c>
      <c r="D1822" s="77">
        <v>0</v>
      </c>
      <c r="E1822" s="78">
        <f>IF(B1822="",0,VLOOKUP(B1822,'Lista articole'!$D$4:$F$2163,3,FALSE))</f>
        <v>0</v>
      </c>
      <c r="F1822" s="77">
        <f t="shared" ref="F1822:F1823" si="867">D1822*E1822</f>
        <v>0</v>
      </c>
      <c r="G1822" s="77">
        <f t="shared" ref="G1822:G1823" si="868">F1822/$H$9</f>
        <v>0</v>
      </c>
      <c r="H1822" s="77">
        <f>F1822*'Date Generale'!$D$58</f>
        <v>0</v>
      </c>
      <c r="I1822" s="77">
        <f t="shared" ref="I1822:I1823" si="869">H1822+F1822</f>
        <v>0</v>
      </c>
      <c r="J1822" s="79">
        <f t="shared" ref="J1822:J1823" si="870">I1822/$H$9</f>
        <v>0</v>
      </c>
    </row>
    <row r="1823" spans="1:10">
      <c r="A1823" s="80">
        <f t="shared" ref="A1823" si="871">A1822+1</f>
        <v>2</v>
      </c>
      <c r="B1823" s="81"/>
      <c r="C1823" s="76" t="str">
        <f>IF(B1823="","",VLOOKUP(B1823,'Lista articole'!$D$4:$E$2255,2,FALSE))</f>
        <v/>
      </c>
      <c r="D1823" s="77">
        <v>0</v>
      </c>
      <c r="E1823" s="78">
        <f>IF(B1823="",0,VLOOKUP(B1823,'Lista articole'!$D$4:$F$2163,3,FALSE))</f>
        <v>0</v>
      </c>
      <c r="F1823" s="77">
        <f t="shared" si="867"/>
        <v>0</v>
      </c>
      <c r="G1823" s="77">
        <f t="shared" si="868"/>
        <v>0</v>
      </c>
      <c r="H1823" s="77">
        <f>F1823*'Date Generale'!$D$58</f>
        <v>0</v>
      </c>
      <c r="I1823" s="77">
        <f t="shared" si="869"/>
        <v>0</v>
      </c>
      <c r="J1823" s="79">
        <f t="shared" si="870"/>
        <v>0</v>
      </c>
    </row>
    <row r="1824" spans="1:10">
      <c r="A1824" s="693" t="s">
        <v>45</v>
      </c>
      <c r="B1824" s="694"/>
      <c r="C1824" s="694"/>
      <c r="D1824" s="694"/>
      <c r="E1824" s="694"/>
      <c r="F1824" s="56">
        <f>SUM(F1825:F1826)</f>
        <v>0</v>
      </c>
      <c r="G1824" s="56">
        <f>SUM(G1825:G1826)</f>
        <v>0</v>
      </c>
      <c r="H1824" s="56">
        <f>SUM(H1825:H1826)</f>
        <v>0</v>
      </c>
      <c r="I1824" s="56">
        <f>SUM(I1825:I1826)</f>
        <v>0</v>
      </c>
      <c r="J1824" s="57">
        <f>SUM(J1825:J1826)</f>
        <v>0</v>
      </c>
    </row>
    <row r="1825" spans="1:10">
      <c r="A1825" s="80">
        <v>1</v>
      </c>
      <c r="B1825" s="81"/>
      <c r="C1825" s="76" t="str">
        <f>IF(B1825="","",VLOOKUP(B1825,'Lista articole'!$D$4:$E$2255,2,FALSE))</f>
        <v/>
      </c>
      <c r="D1825" s="77">
        <v>0</v>
      </c>
      <c r="E1825" s="78">
        <f>IF(B1825="",0,VLOOKUP(B1825,'Lista articole'!$D$4:$F$2163,3,FALSE))</f>
        <v>0</v>
      </c>
      <c r="F1825" s="77">
        <f t="shared" ref="F1825:F1826" si="872">D1825*E1825</f>
        <v>0</v>
      </c>
      <c r="G1825" s="77">
        <f t="shared" ref="G1825:G1826" si="873">F1825/$H$9</f>
        <v>0</v>
      </c>
      <c r="H1825" s="77">
        <f>F1825*'Date Generale'!$D$58</f>
        <v>0</v>
      </c>
      <c r="I1825" s="77">
        <f t="shared" ref="I1825:I1826" si="874">H1825+F1825</f>
        <v>0</v>
      </c>
      <c r="J1825" s="79">
        <f t="shared" ref="J1825:J1826" si="875">I1825/$H$9</f>
        <v>0</v>
      </c>
    </row>
    <row r="1826" spans="1:10">
      <c r="A1826" s="80">
        <v>2</v>
      </c>
      <c r="B1826" s="81"/>
      <c r="C1826" s="76" t="str">
        <f>IF(B1826="","",VLOOKUP(B1826,'Lista articole'!$D$4:$E$2255,2,FALSE))</f>
        <v/>
      </c>
      <c r="D1826" s="77">
        <v>0</v>
      </c>
      <c r="E1826" s="78">
        <f>IF(B1826="",0,VLOOKUP(B1826,'Lista articole'!$D$4:$F$2163,3,FALSE))</f>
        <v>0</v>
      </c>
      <c r="F1826" s="77">
        <f t="shared" si="872"/>
        <v>0</v>
      </c>
      <c r="G1826" s="77">
        <f t="shared" si="873"/>
        <v>0</v>
      </c>
      <c r="H1826" s="77">
        <f>F1826*'Date Generale'!$D$58</f>
        <v>0</v>
      </c>
      <c r="I1826" s="77">
        <f t="shared" si="874"/>
        <v>0</v>
      </c>
      <c r="J1826" s="79">
        <f t="shared" si="875"/>
        <v>0</v>
      </c>
    </row>
    <row r="1827" spans="1:10">
      <c r="A1827" s="693" t="s">
        <v>46</v>
      </c>
      <c r="B1827" s="694"/>
      <c r="C1827" s="694"/>
      <c r="D1827" s="694"/>
      <c r="E1827" s="694"/>
      <c r="F1827" s="56">
        <f>SUM(F1828:F1841)</f>
        <v>0</v>
      </c>
      <c r="G1827" s="56">
        <f>SUM(G1828:G1841)</f>
        <v>0</v>
      </c>
      <c r="H1827" s="56">
        <f>SUM(H1828:H1841)</f>
        <v>0</v>
      </c>
      <c r="I1827" s="56">
        <f>SUM(I1828:I1841)</f>
        <v>0</v>
      </c>
      <c r="J1827" s="57">
        <f>SUM(J1828:J1841)</f>
        <v>0</v>
      </c>
    </row>
    <row r="1828" spans="1:10">
      <c r="A1828" s="80">
        <v>1</v>
      </c>
      <c r="B1828" s="81"/>
      <c r="C1828" s="76" t="str">
        <f>IF(B1828="","",VLOOKUP(B1828,'Lista articole'!$D$4:$E$2255,2,FALSE))</f>
        <v/>
      </c>
      <c r="D1828" s="77">
        <v>0</v>
      </c>
      <c r="E1828" s="78">
        <f>IF(B1828="",0,VLOOKUP(B1828,'Lista articole'!$D$4:$F$2163,3,FALSE))</f>
        <v>0</v>
      </c>
      <c r="F1828" s="77">
        <f t="shared" ref="F1828:F1841" si="876">D1828*E1828</f>
        <v>0</v>
      </c>
      <c r="G1828" s="77">
        <f t="shared" ref="G1828:G1841" si="877">F1828/$H$9</f>
        <v>0</v>
      </c>
      <c r="H1828" s="77">
        <f>F1828*'Date Generale'!$D$58</f>
        <v>0</v>
      </c>
      <c r="I1828" s="77">
        <f t="shared" ref="I1828:I1841" si="878">H1828+F1828</f>
        <v>0</v>
      </c>
      <c r="J1828" s="79">
        <f t="shared" ref="J1828:J1841" si="879">I1828/$H$9</f>
        <v>0</v>
      </c>
    </row>
    <row r="1829" spans="1:10">
      <c r="A1829" s="80">
        <v>2</v>
      </c>
      <c r="B1829" s="81"/>
      <c r="C1829" s="76" t="str">
        <f>IF(B1829="","",VLOOKUP(B1829,'Lista articole'!$D$4:$E$2255,2,FALSE))</f>
        <v/>
      </c>
      <c r="D1829" s="77">
        <v>0</v>
      </c>
      <c r="E1829" s="78">
        <f>IF(B1829="",0,VLOOKUP(B1829,'Lista articole'!$D$4:$F$2163,3,FALSE))</f>
        <v>0</v>
      </c>
      <c r="F1829" s="77">
        <f t="shared" si="876"/>
        <v>0</v>
      </c>
      <c r="G1829" s="77">
        <f t="shared" si="877"/>
        <v>0</v>
      </c>
      <c r="H1829" s="77">
        <f>F1829*'Date Generale'!$D$58</f>
        <v>0</v>
      </c>
      <c r="I1829" s="77">
        <f t="shared" si="878"/>
        <v>0</v>
      </c>
      <c r="J1829" s="79">
        <f t="shared" si="879"/>
        <v>0</v>
      </c>
    </row>
    <row r="1830" spans="1:10">
      <c r="A1830" s="80">
        <v>3</v>
      </c>
      <c r="B1830" s="81"/>
      <c r="C1830" s="76" t="str">
        <f>IF(B1830="","",VLOOKUP(B1830,'Lista articole'!$D$4:$E$2255,2,FALSE))</f>
        <v/>
      </c>
      <c r="D1830" s="77">
        <v>0</v>
      </c>
      <c r="E1830" s="78">
        <f>IF(B1830="",0,VLOOKUP(B1830,'Lista articole'!$D$4:$F$2163,3,FALSE))</f>
        <v>0</v>
      </c>
      <c r="F1830" s="77">
        <f t="shared" si="876"/>
        <v>0</v>
      </c>
      <c r="G1830" s="77">
        <f t="shared" si="877"/>
        <v>0</v>
      </c>
      <c r="H1830" s="77">
        <f>F1830*'Date Generale'!$D$58</f>
        <v>0</v>
      </c>
      <c r="I1830" s="77">
        <f t="shared" si="878"/>
        <v>0</v>
      </c>
      <c r="J1830" s="79">
        <f t="shared" si="879"/>
        <v>0</v>
      </c>
    </row>
    <row r="1831" spans="1:10">
      <c r="A1831" s="80">
        <v>4</v>
      </c>
      <c r="B1831" s="81"/>
      <c r="C1831" s="76" t="str">
        <f>IF(B1831="","",VLOOKUP(B1831,'Lista articole'!$D$4:$E$2255,2,FALSE))</f>
        <v/>
      </c>
      <c r="D1831" s="77">
        <v>0</v>
      </c>
      <c r="E1831" s="78">
        <f>IF(B1831="",0,VLOOKUP(B1831,'Lista articole'!$D$4:$F$2163,3,FALSE))</f>
        <v>0</v>
      </c>
      <c r="F1831" s="77">
        <f t="shared" si="876"/>
        <v>0</v>
      </c>
      <c r="G1831" s="77">
        <f t="shared" si="877"/>
        <v>0</v>
      </c>
      <c r="H1831" s="77">
        <f>F1831*'Date Generale'!$D$58</f>
        <v>0</v>
      </c>
      <c r="I1831" s="77">
        <f t="shared" si="878"/>
        <v>0</v>
      </c>
      <c r="J1831" s="79">
        <f t="shared" si="879"/>
        <v>0</v>
      </c>
    </row>
    <row r="1832" spans="1:10">
      <c r="A1832" s="80">
        <v>5</v>
      </c>
      <c r="B1832" s="81"/>
      <c r="C1832" s="76" t="str">
        <f>IF(B1832="","",VLOOKUP(B1832,'Lista articole'!$D$4:$E$2255,2,FALSE))</f>
        <v/>
      </c>
      <c r="D1832" s="77">
        <v>0</v>
      </c>
      <c r="E1832" s="78">
        <f>IF(B1832="",0,VLOOKUP(B1832,'Lista articole'!$D$4:$F$2163,3,FALSE))</f>
        <v>0</v>
      </c>
      <c r="F1832" s="77">
        <f t="shared" si="876"/>
        <v>0</v>
      </c>
      <c r="G1832" s="77">
        <f t="shared" si="877"/>
        <v>0</v>
      </c>
      <c r="H1832" s="77">
        <f>F1832*'Date Generale'!$D$58</f>
        <v>0</v>
      </c>
      <c r="I1832" s="77">
        <f t="shared" si="878"/>
        <v>0</v>
      </c>
      <c r="J1832" s="79">
        <f t="shared" si="879"/>
        <v>0</v>
      </c>
    </row>
    <row r="1833" spans="1:10">
      <c r="A1833" s="80">
        <v>6</v>
      </c>
      <c r="B1833" s="81"/>
      <c r="C1833" s="76" t="str">
        <f>IF(B1833="","",VLOOKUP(B1833,'Lista articole'!$D$4:$E$2255,2,FALSE))</f>
        <v/>
      </c>
      <c r="D1833" s="77">
        <v>0</v>
      </c>
      <c r="E1833" s="78">
        <f>IF(B1833="",0,VLOOKUP(B1833,'Lista articole'!$D$4:$F$2163,3,FALSE))</f>
        <v>0</v>
      </c>
      <c r="F1833" s="77">
        <f t="shared" si="876"/>
        <v>0</v>
      </c>
      <c r="G1833" s="77">
        <f t="shared" si="877"/>
        <v>0</v>
      </c>
      <c r="H1833" s="77">
        <f>F1833*'Date Generale'!$D$58</f>
        <v>0</v>
      </c>
      <c r="I1833" s="77">
        <f t="shared" si="878"/>
        <v>0</v>
      </c>
      <c r="J1833" s="79">
        <f t="shared" si="879"/>
        <v>0</v>
      </c>
    </row>
    <row r="1834" spans="1:10">
      <c r="A1834" s="80">
        <v>7</v>
      </c>
      <c r="B1834" s="81"/>
      <c r="C1834" s="76" t="str">
        <f>IF(B1834="","",VLOOKUP(B1834,'Lista articole'!$D$4:$E$2255,2,FALSE))</f>
        <v/>
      </c>
      <c r="D1834" s="77">
        <v>0</v>
      </c>
      <c r="E1834" s="78">
        <f>IF(B1834="",0,VLOOKUP(B1834,'Lista articole'!$D$4:$F$2163,3,FALSE))</f>
        <v>0</v>
      </c>
      <c r="F1834" s="77">
        <f t="shared" si="876"/>
        <v>0</v>
      </c>
      <c r="G1834" s="77">
        <f t="shared" si="877"/>
        <v>0</v>
      </c>
      <c r="H1834" s="77">
        <f>F1834*'Date Generale'!$D$58</f>
        <v>0</v>
      </c>
      <c r="I1834" s="77">
        <f t="shared" si="878"/>
        <v>0</v>
      </c>
      <c r="J1834" s="79">
        <f t="shared" si="879"/>
        <v>0</v>
      </c>
    </row>
    <row r="1835" spans="1:10">
      <c r="A1835" s="80">
        <v>8</v>
      </c>
      <c r="B1835" s="81"/>
      <c r="C1835" s="76" t="str">
        <f>IF(B1835="","",VLOOKUP(B1835,'Lista articole'!$D$4:$E$2255,2,FALSE))</f>
        <v/>
      </c>
      <c r="D1835" s="77">
        <v>0</v>
      </c>
      <c r="E1835" s="78">
        <f>IF(B1835="",0,VLOOKUP(B1835,'Lista articole'!$D$4:$F$2163,3,FALSE))</f>
        <v>0</v>
      </c>
      <c r="F1835" s="77">
        <f t="shared" si="876"/>
        <v>0</v>
      </c>
      <c r="G1835" s="77">
        <f t="shared" si="877"/>
        <v>0</v>
      </c>
      <c r="H1835" s="77">
        <f>F1835*'Date Generale'!$D$58</f>
        <v>0</v>
      </c>
      <c r="I1835" s="77">
        <f t="shared" si="878"/>
        <v>0</v>
      </c>
      <c r="J1835" s="79">
        <f t="shared" si="879"/>
        <v>0</v>
      </c>
    </row>
    <row r="1836" spans="1:10">
      <c r="A1836" s="80">
        <v>9</v>
      </c>
      <c r="B1836" s="81"/>
      <c r="C1836" s="76" t="str">
        <f>IF(B1836="","",VLOOKUP(B1836,'Lista articole'!$D$4:$E$2255,2,FALSE))</f>
        <v/>
      </c>
      <c r="D1836" s="77">
        <v>0</v>
      </c>
      <c r="E1836" s="78">
        <f>IF(B1836="",0,VLOOKUP(B1836,'Lista articole'!$D$4:$F$2163,3,FALSE))</f>
        <v>0</v>
      </c>
      <c r="F1836" s="77">
        <f t="shared" si="876"/>
        <v>0</v>
      </c>
      <c r="G1836" s="77">
        <f t="shared" si="877"/>
        <v>0</v>
      </c>
      <c r="H1836" s="77">
        <f>F1836*'Date Generale'!$D$58</f>
        <v>0</v>
      </c>
      <c r="I1836" s="77">
        <f t="shared" si="878"/>
        <v>0</v>
      </c>
      <c r="J1836" s="79">
        <f t="shared" si="879"/>
        <v>0</v>
      </c>
    </row>
    <row r="1837" spans="1:10">
      <c r="A1837" s="80">
        <v>10</v>
      </c>
      <c r="B1837" s="81"/>
      <c r="C1837" s="76" t="str">
        <f>IF(B1837="","",VLOOKUP(B1837,'Lista articole'!$D$4:$E$2255,2,FALSE))</f>
        <v/>
      </c>
      <c r="D1837" s="77">
        <v>0</v>
      </c>
      <c r="E1837" s="78">
        <f>IF(B1837="",0,VLOOKUP(B1837,'Lista articole'!$D$4:$F$2163,3,FALSE))</f>
        <v>0</v>
      </c>
      <c r="F1837" s="77">
        <f t="shared" si="876"/>
        <v>0</v>
      </c>
      <c r="G1837" s="77">
        <f t="shared" si="877"/>
        <v>0</v>
      </c>
      <c r="H1837" s="77">
        <f>F1837*'Date Generale'!$D$58</f>
        <v>0</v>
      </c>
      <c r="I1837" s="77">
        <f t="shared" si="878"/>
        <v>0</v>
      </c>
      <c r="J1837" s="79">
        <f t="shared" si="879"/>
        <v>0</v>
      </c>
    </row>
    <row r="1838" spans="1:10">
      <c r="A1838" s="80">
        <v>11</v>
      </c>
      <c r="B1838" s="81"/>
      <c r="C1838" s="76" t="str">
        <f>IF(B1838="","",VLOOKUP(B1838,'Lista articole'!$D$4:$E$2255,2,FALSE))</f>
        <v/>
      </c>
      <c r="D1838" s="77">
        <v>0</v>
      </c>
      <c r="E1838" s="78">
        <f>IF(B1838="",0,VLOOKUP(B1838,'Lista articole'!$D$4:$F$2163,3,FALSE))</f>
        <v>0</v>
      </c>
      <c r="F1838" s="77">
        <f t="shared" si="876"/>
        <v>0</v>
      </c>
      <c r="G1838" s="77">
        <f t="shared" si="877"/>
        <v>0</v>
      </c>
      <c r="H1838" s="77">
        <f>F1838*'Date Generale'!$D$58</f>
        <v>0</v>
      </c>
      <c r="I1838" s="77">
        <f t="shared" si="878"/>
        <v>0</v>
      </c>
      <c r="J1838" s="79">
        <f t="shared" si="879"/>
        <v>0</v>
      </c>
    </row>
    <row r="1839" spans="1:10">
      <c r="A1839" s="80">
        <v>12</v>
      </c>
      <c r="B1839" s="81"/>
      <c r="C1839" s="76" t="str">
        <f>IF(B1839="","",VLOOKUP(B1839,'Lista articole'!$D$4:$E$2255,2,FALSE))</f>
        <v/>
      </c>
      <c r="D1839" s="77">
        <v>0</v>
      </c>
      <c r="E1839" s="78">
        <f>IF(B1839="",0,VLOOKUP(B1839,'Lista articole'!$D$4:$F$2163,3,FALSE))</f>
        <v>0</v>
      </c>
      <c r="F1839" s="77">
        <f t="shared" si="876"/>
        <v>0</v>
      </c>
      <c r="G1839" s="77">
        <f t="shared" si="877"/>
        <v>0</v>
      </c>
      <c r="H1839" s="77">
        <f>F1839*'Date Generale'!$D$58</f>
        <v>0</v>
      </c>
      <c r="I1839" s="77">
        <f t="shared" si="878"/>
        <v>0</v>
      </c>
      <c r="J1839" s="79">
        <f t="shared" si="879"/>
        <v>0</v>
      </c>
    </row>
    <row r="1840" spans="1:10">
      <c r="A1840" s="80">
        <v>13</v>
      </c>
      <c r="B1840" s="81"/>
      <c r="C1840" s="76" t="str">
        <f>IF(B1840="","",VLOOKUP(B1840,'Lista articole'!$D$4:$E$2255,2,FALSE))</f>
        <v/>
      </c>
      <c r="D1840" s="77">
        <v>0</v>
      </c>
      <c r="E1840" s="78">
        <f>IF(B1840="",0,VLOOKUP(B1840,'Lista articole'!$D$4:$F$2163,3,FALSE))</f>
        <v>0</v>
      </c>
      <c r="F1840" s="77">
        <f t="shared" si="876"/>
        <v>0</v>
      </c>
      <c r="G1840" s="77">
        <f t="shared" si="877"/>
        <v>0</v>
      </c>
      <c r="H1840" s="77">
        <f>F1840*'Date Generale'!$D$58</f>
        <v>0</v>
      </c>
      <c r="I1840" s="77">
        <f t="shared" si="878"/>
        <v>0</v>
      </c>
      <c r="J1840" s="79">
        <f t="shared" si="879"/>
        <v>0</v>
      </c>
    </row>
    <row r="1841" spans="1:10">
      <c r="A1841" s="80">
        <v>14</v>
      </c>
      <c r="B1841" s="81"/>
      <c r="C1841" s="76" t="str">
        <f>IF(B1841="","",VLOOKUP(B1841,'Lista articole'!$D$4:$E$2255,2,FALSE))</f>
        <v/>
      </c>
      <c r="D1841" s="77">
        <v>0</v>
      </c>
      <c r="E1841" s="78">
        <f>IF(B1841="",0,VLOOKUP(B1841,'Lista articole'!$D$4:$F$2163,3,FALSE))</f>
        <v>0</v>
      </c>
      <c r="F1841" s="77">
        <f t="shared" si="876"/>
        <v>0</v>
      </c>
      <c r="G1841" s="77">
        <f t="shared" si="877"/>
        <v>0</v>
      </c>
      <c r="H1841" s="77">
        <f>F1841*'Date Generale'!$D$58</f>
        <v>0</v>
      </c>
      <c r="I1841" s="77">
        <f t="shared" si="878"/>
        <v>0</v>
      </c>
      <c r="J1841" s="79">
        <f t="shared" si="879"/>
        <v>0</v>
      </c>
    </row>
    <row r="1842" spans="1:10">
      <c r="A1842" s="693" t="s">
        <v>50</v>
      </c>
      <c r="B1842" s="694"/>
      <c r="C1842" s="694"/>
      <c r="D1842" s="694"/>
      <c r="E1842" s="694"/>
      <c r="F1842" s="56">
        <f>SUM(F1843:F1844)</f>
        <v>0</v>
      </c>
      <c r="G1842" s="56">
        <f>SUM(G1843:G1844)</f>
        <v>0</v>
      </c>
      <c r="H1842" s="56">
        <f>SUM(H1843:H1844)</f>
        <v>0</v>
      </c>
      <c r="I1842" s="56">
        <f>SUM(I1843:I1844)</f>
        <v>0</v>
      </c>
      <c r="J1842" s="57">
        <f>SUM(J1843:J1844)</f>
        <v>0</v>
      </c>
    </row>
    <row r="1843" spans="1:10">
      <c r="A1843" s="80">
        <v>1</v>
      </c>
      <c r="B1843" s="81"/>
      <c r="C1843" s="76" t="str">
        <f>IF(B1843="","",VLOOKUP(B1843,'Lista articole'!$D$4:$E$2255,2,FALSE))</f>
        <v/>
      </c>
      <c r="D1843" s="77">
        <v>0</v>
      </c>
      <c r="E1843" s="78">
        <f>IF(B1843="",0,VLOOKUP(B1843,'Lista articole'!$D$4:$F$2163,3,FALSE))</f>
        <v>0</v>
      </c>
      <c r="F1843" s="77">
        <f t="shared" ref="F1843:F1844" si="880">D1843*E1843</f>
        <v>0</v>
      </c>
      <c r="G1843" s="77">
        <f t="shared" ref="G1843:G1844" si="881">F1843/$H$9</f>
        <v>0</v>
      </c>
      <c r="H1843" s="77">
        <f>F1843*'Date Generale'!$D$58</f>
        <v>0</v>
      </c>
      <c r="I1843" s="77">
        <f t="shared" ref="I1843:I1844" si="882">H1843+F1843</f>
        <v>0</v>
      </c>
      <c r="J1843" s="79">
        <f t="shared" ref="J1843:J1844" si="883">I1843/$H$9</f>
        <v>0</v>
      </c>
    </row>
    <row r="1844" spans="1:10">
      <c r="A1844" s="74">
        <f>A1843+1</f>
        <v>2</v>
      </c>
      <c r="B1844" s="75"/>
      <c r="C1844" s="76" t="str">
        <f>IF(B1844="","",VLOOKUP(B1844,'Lista articole'!$D$4:$E$2255,2,FALSE))</f>
        <v/>
      </c>
      <c r="D1844" s="77">
        <v>0</v>
      </c>
      <c r="E1844" s="78">
        <f>IF(B1844="",0,VLOOKUP(B1844,'Lista articole'!$D$4:$F$2163,3,FALSE))</f>
        <v>0</v>
      </c>
      <c r="F1844" s="77">
        <f t="shared" si="880"/>
        <v>0</v>
      </c>
      <c r="G1844" s="77">
        <f t="shared" si="881"/>
        <v>0</v>
      </c>
      <c r="H1844" s="77">
        <f>F1844*'Date Generale'!$D$58</f>
        <v>0</v>
      </c>
      <c r="I1844" s="77">
        <f t="shared" si="882"/>
        <v>0</v>
      </c>
      <c r="J1844" s="79">
        <f t="shared" si="883"/>
        <v>0</v>
      </c>
    </row>
    <row r="1845" spans="1:10">
      <c r="A1845" s="693" t="s">
        <v>51</v>
      </c>
      <c r="B1845" s="694"/>
      <c r="C1845" s="694"/>
      <c r="D1845" s="694"/>
      <c r="E1845" s="694"/>
      <c r="F1845" s="56">
        <f>SUM(F1846:F1847)</f>
        <v>0</v>
      </c>
      <c r="G1845" s="56">
        <f>SUM(G1846:G1847)</f>
        <v>0</v>
      </c>
      <c r="H1845" s="56">
        <f>SUM(H1846:H1847)</f>
        <v>0</v>
      </c>
      <c r="I1845" s="56">
        <f>SUM(I1846:I1847)</f>
        <v>0</v>
      </c>
      <c r="J1845" s="57">
        <f>SUM(J1846:J1847)</f>
        <v>0</v>
      </c>
    </row>
    <row r="1846" spans="1:10">
      <c r="A1846" s="80">
        <v>1</v>
      </c>
      <c r="B1846" s="81"/>
      <c r="C1846" s="76" t="str">
        <f>IF(B1846="","",VLOOKUP(B1846,'Lista articole'!$D$4:$E$2255,2,FALSE))</f>
        <v/>
      </c>
      <c r="D1846" s="77">
        <v>0</v>
      </c>
      <c r="E1846" s="78">
        <f>IF(B1846="",0,VLOOKUP(B1846,'Lista articole'!$D$4:$F$2163,3,FALSE))</f>
        <v>0</v>
      </c>
      <c r="F1846" s="77">
        <f t="shared" ref="F1846:F1847" si="884">D1846*E1846</f>
        <v>0</v>
      </c>
      <c r="G1846" s="77">
        <f t="shared" ref="G1846:G1847" si="885">F1846/$H$9</f>
        <v>0</v>
      </c>
      <c r="H1846" s="77">
        <f>F1846*'Date Generale'!$D$58</f>
        <v>0</v>
      </c>
      <c r="I1846" s="77">
        <f t="shared" ref="I1846:I1847" si="886">H1846+F1846</f>
        <v>0</v>
      </c>
      <c r="J1846" s="79">
        <f t="shared" ref="J1846:J1847" si="887">I1846/$H$9</f>
        <v>0</v>
      </c>
    </row>
    <row r="1847" spans="1:10">
      <c r="A1847" s="74">
        <f>A1846+1</f>
        <v>2</v>
      </c>
      <c r="B1847" s="75"/>
      <c r="C1847" s="76" t="str">
        <f>IF(B1847="","",VLOOKUP(B1847,'Lista articole'!$D$4:$E$2255,2,FALSE))</f>
        <v/>
      </c>
      <c r="D1847" s="77">
        <v>0</v>
      </c>
      <c r="E1847" s="78">
        <f>IF(B1847="",0,VLOOKUP(B1847,'Lista articole'!$D$4:$F$2163,3,FALSE))</f>
        <v>0</v>
      </c>
      <c r="F1847" s="77">
        <f t="shared" si="884"/>
        <v>0</v>
      </c>
      <c r="G1847" s="77">
        <f t="shared" si="885"/>
        <v>0</v>
      </c>
      <c r="H1847" s="77">
        <f>F1847*'Date Generale'!$D$58</f>
        <v>0</v>
      </c>
      <c r="I1847" s="77">
        <f t="shared" si="886"/>
        <v>0</v>
      </c>
      <c r="J1847" s="79">
        <f t="shared" si="887"/>
        <v>0</v>
      </c>
    </row>
    <row r="1848" spans="1:10">
      <c r="A1848" s="693" t="s">
        <v>52</v>
      </c>
      <c r="B1848" s="694"/>
      <c r="C1848" s="694"/>
      <c r="D1848" s="694"/>
      <c r="E1848" s="694"/>
      <c r="F1848" s="56">
        <f>SUM(F1849:F1850)</f>
        <v>0</v>
      </c>
      <c r="G1848" s="56">
        <f>SUM(G1849:G1850)</f>
        <v>0</v>
      </c>
      <c r="H1848" s="56">
        <f>SUM(H1849:H1850)</f>
        <v>0</v>
      </c>
      <c r="I1848" s="56">
        <f>SUM(I1849:I1850)</f>
        <v>0</v>
      </c>
      <c r="J1848" s="57">
        <f>SUM(J1849:J1850)</f>
        <v>0</v>
      </c>
    </row>
    <row r="1849" spans="1:10">
      <c r="A1849" s="80">
        <v>1</v>
      </c>
      <c r="B1849" s="81"/>
      <c r="C1849" s="76" t="str">
        <f>IF(B1849="","",VLOOKUP(B1849,'Lista articole'!$D$4:$E$2255,2,FALSE))</f>
        <v/>
      </c>
      <c r="D1849" s="77">
        <v>0</v>
      </c>
      <c r="E1849" s="78">
        <f>IF(B1849="",0,VLOOKUP(B1849,'Lista articole'!$D$4:$F$2163,3,FALSE))</f>
        <v>0</v>
      </c>
      <c r="F1849" s="77">
        <f>D1849*E1849</f>
        <v>0</v>
      </c>
      <c r="G1849" s="77">
        <f>F1849/$H$9</f>
        <v>0</v>
      </c>
      <c r="H1849" s="77">
        <f>F1849*'Date Generale'!$D$58</f>
        <v>0</v>
      </c>
      <c r="I1849" s="77">
        <f t="shared" ref="I1849:I1850" si="888">H1849+F1849</f>
        <v>0</v>
      </c>
      <c r="J1849" s="79">
        <f t="shared" ref="J1849:J1850" si="889">I1849/$H$9</f>
        <v>0</v>
      </c>
    </row>
    <row r="1850" spans="1:10">
      <c r="A1850" s="74">
        <f>A1849+1</f>
        <v>2</v>
      </c>
      <c r="B1850" s="75"/>
      <c r="C1850" s="76" t="str">
        <f>IF(B1850="","",VLOOKUP(B1850,'Lista articole'!$D$4:$E$2255,2,FALSE))</f>
        <v/>
      </c>
      <c r="D1850" s="77">
        <v>0</v>
      </c>
      <c r="E1850" s="78">
        <f>IF(B1850="",0,VLOOKUP(B1850,'Lista articole'!$D$4:$F$2163,3,FALSE))</f>
        <v>0</v>
      </c>
      <c r="F1850" s="77">
        <f t="shared" ref="F1850" si="890">D1850*E1850</f>
        <v>0</v>
      </c>
      <c r="G1850" s="77">
        <f t="shared" ref="G1850" si="891">F1850/$H$9</f>
        <v>0</v>
      </c>
      <c r="H1850" s="77">
        <f>F1850*'Date Generale'!$D$58</f>
        <v>0</v>
      </c>
      <c r="I1850" s="77">
        <f t="shared" si="888"/>
        <v>0</v>
      </c>
      <c r="J1850" s="79">
        <f t="shared" si="889"/>
        <v>0</v>
      </c>
    </row>
    <row r="1851" spans="1:10">
      <c r="A1851" s="693" t="s">
        <v>53</v>
      </c>
      <c r="B1851" s="694"/>
      <c r="C1851" s="694"/>
      <c r="D1851" s="694"/>
      <c r="E1851" s="694"/>
      <c r="F1851" s="56">
        <f>SUM(F1852:F1853)</f>
        <v>0</v>
      </c>
      <c r="G1851" s="56">
        <f>SUM(G1852:G1853)</f>
        <v>0</v>
      </c>
      <c r="H1851" s="56">
        <f>SUM(H1852:H1853)</f>
        <v>0</v>
      </c>
      <c r="I1851" s="56">
        <f>SUM(I1852:I1853)</f>
        <v>0</v>
      </c>
      <c r="J1851" s="57">
        <f>SUM(J1852:J1853)</f>
        <v>0</v>
      </c>
    </row>
    <row r="1852" spans="1:10">
      <c r="A1852" s="80">
        <v>1</v>
      </c>
      <c r="B1852" s="81"/>
      <c r="C1852" s="76" t="str">
        <f>IF(B1852="","",VLOOKUP(B1852,'Lista articole'!$D$4:$E$2255,2,FALSE))</f>
        <v/>
      </c>
      <c r="D1852" s="77">
        <v>0</v>
      </c>
      <c r="E1852" s="78">
        <f>IF(B1852="",0,VLOOKUP(B1852,'Lista articole'!$D$4:$F$2163,3,FALSE))</f>
        <v>0</v>
      </c>
      <c r="F1852" s="77">
        <f>D1852*E1852</f>
        <v>0</v>
      </c>
      <c r="G1852" s="77">
        <f>F1852/$H$9</f>
        <v>0</v>
      </c>
      <c r="H1852" s="77">
        <f>F1852*'Date Generale'!$D$58</f>
        <v>0</v>
      </c>
      <c r="I1852" s="77">
        <f t="shared" ref="I1852:I1853" si="892">H1852+F1852</f>
        <v>0</v>
      </c>
      <c r="J1852" s="79">
        <f t="shared" ref="J1852:J1853" si="893">I1852/$H$9</f>
        <v>0</v>
      </c>
    </row>
    <row r="1853" spans="1:10" ht="15.75" thickBot="1">
      <c r="A1853" s="139">
        <f>A1852+1</f>
        <v>2</v>
      </c>
      <c r="B1853" s="140"/>
      <c r="C1853" s="141" t="str">
        <f>IF(B1853="","",VLOOKUP(B1853,'Lista articole'!$D$4:$E$2255,2,FALSE))</f>
        <v/>
      </c>
      <c r="D1853" s="142">
        <v>0</v>
      </c>
      <c r="E1853" s="143">
        <f>IF(B1853="",0,VLOOKUP(B1853,'Lista articole'!$D$4:$F$2163,3,FALSE))</f>
        <v>0</v>
      </c>
      <c r="F1853" s="142">
        <f t="shared" ref="F1853" si="894">D1853*E1853</f>
        <v>0</v>
      </c>
      <c r="G1853" s="142">
        <f t="shared" ref="G1853" si="895">F1853/$H$9</f>
        <v>0</v>
      </c>
      <c r="H1853" s="142">
        <f>F1853*'Date Generale'!$D$58</f>
        <v>0</v>
      </c>
      <c r="I1853" s="142">
        <f t="shared" si="892"/>
        <v>0</v>
      </c>
      <c r="J1853" s="144">
        <f t="shared" si="893"/>
        <v>0</v>
      </c>
    </row>
    <row r="1854" spans="1:10" ht="15.75" thickBot="1">
      <c r="A1854" s="685" t="s">
        <v>27</v>
      </c>
      <c r="B1854" s="686"/>
      <c r="C1854" s="686"/>
      <c r="D1854" s="686"/>
      <c r="E1854" s="686"/>
      <c r="F1854" s="82">
        <f>SUM(F1818,F1821,F1824,F1827,F1842,F1845,F1848,F1851)</f>
        <v>0</v>
      </c>
      <c r="G1854" s="82">
        <f>SUM(G1818,G1821,G1824,G1827,G1842,G1845,G1848,G1851)</f>
        <v>0</v>
      </c>
      <c r="H1854" s="82">
        <f>SUM(H1818,H1821,H1824,H1827,H1842,H1845,H1848,H1851)</f>
        <v>0</v>
      </c>
      <c r="I1854" s="82">
        <f>SUM(I1818,I1821,I1824,I1827,I1842,I1845,I1848,I1851)</f>
        <v>0</v>
      </c>
      <c r="J1854" s="83">
        <f>SUM(J1818,J1821,J1824,J1827,J1842,J1845,J1848,J1851)</f>
        <v>0</v>
      </c>
    </row>
    <row r="1855" spans="1:10" ht="15.75" thickBot="1">
      <c r="A1855" s="683" t="s">
        <v>28</v>
      </c>
      <c r="B1855" s="684"/>
      <c r="C1855" s="684"/>
      <c r="D1855" s="684"/>
      <c r="E1855" s="684"/>
      <c r="F1855" s="72"/>
      <c r="G1855" s="72"/>
      <c r="H1855" s="72"/>
      <c r="I1855" s="72"/>
      <c r="J1855" s="73"/>
    </row>
    <row r="1856" spans="1:10">
      <c r="A1856" s="145"/>
      <c r="B1856" s="695" t="s">
        <v>29</v>
      </c>
      <c r="C1856" s="695"/>
      <c r="D1856" s="695"/>
      <c r="E1856" s="695"/>
      <c r="F1856" s="146">
        <f>SUM(F1857:F1858)</f>
        <v>0</v>
      </c>
      <c r="G1856" s="146">
        <f>SUM(G1857:G1858)</f>
        <v>0</v>
      </c>
      <c r="H1856" s="146">
        <f>SUM(H1857:H1858)</f>
        <v>0</v>
      </c>
      <c r="I1856" s="146">
        <f>SUM(I1857:I1858)</f>
        <v>0</v>
      </c>
      <c r="J1856" s="147">
        <f>SUM(J1857:J1858)</f>
        <v>0</v>
      </c>
    </row>
    <row r="1857" spans="1:10">
      <c r="A1857" s="80">
        <v>1</v>
      </c>
      <c r="B1857" s="81"/>
      <c r="C1857" s="76" t="str">
        <f>IF(B1857="","",VLOOKUP(B1857,'Lista articole'!$D$4:$E$2255,2,FALSE))</f>
        <v/>
      </c>
      <c r="D1857" s="77">
        <v>0</v>
      </c>
      <c r="E1857" s="78">
        <f>IF(B1857="",0,VLOOKUP(B1857,'Lista articole'!$D$4:$F$2163,3,FALSE))</f>
        <v>0</v>
      </c>
      <c r="F1857" s="77">
        <f>D1857*E1857</f>
        <v>0</v>
      </c>
      <c r="G1857" s="77">
        <f>F1857/$H$9</f>
        <v>0</v>
      </c>
      <c r="H1857" s="77">
        <f>F1857*'Date Generale'!$D$58</f>
        <v>0</v>
      </c>
      <c r="I1857" s="77">
        <f t="shared" ref="I1857:I1858" si="896">H1857+F1857</f>
        <v>0</v>
      </c>
      <c r="J1857" s="79">
        <f t="shared" ref="J1857:J1858" si="897">I1857/$H$9</f>
        <v>0</v>
      </c>
    </row>
    <row r="1858" spans="1:10" ht="15.75" thickBot="1">
      <c r="A1858" s="139">
        <f>A1857+1</f>
        <v>2</v>
      </c>
      <c r="B1858" s="140"/>
      <c r="C1858" s="141" t="str">
        <f>IF(B1858="","",VLOOKUP(B1858,'Lista articole'!$D$4:$E$2255,2,FALSE))</f>
        <v/>
      </c>
      <c r="D1858" s="142">
        <v>0</v>
      </c>
      <c r="E1858" s="143">
        <f>IF(B1858="",0,VLOOKUP(B1858,'Lista articole'!$D$4:$F$2163,3,FALSE))</f>
        <v>0</v>
      </c>
      <c r="F1858" s="142">
        <f t="shared" ref="F1858" si="898">D1858*E1858</f>
        <v>0</v>
      </c>
      <c r="G1858" s="142">
        <f t="shared" ref="G1858" si="899">F1858/$H$9</f>
        <v>0</v>
      </c>
      <c r="H1858" s="142">
        <f>F1858*'Date Generale'!$D$58</f>
        <v>0</v>
      </c>
      <c r="I1858" s="142">
        <f t="shared" si="896"/>
        <v>0</v>
      </c>
      <c r="J1858" s="144">
        <f t="shared" si="897"/>
        <v>0</v>
      </c>
    </row>
    <row r="1859" spans="1:10" ht="15.75" thickBot="1">
      <c r="A1859" s="685" t="s">
        <v>30</v>
      </c>
      <c r="B1859" s="686"/>
      <c r="C1859" s="686"/>
      <c r="D1859" s="686"/>
      <c r="E1859" s="686"/>
      <c r="F1859" s="85">
        <f>F1856</f>
        <v>0</v>
      </c>
      <c r="G1859" s="85">
        <f>G1856</f>
        <v>0</v>
      </c>
      <c r="H1859" s="85">
        <f>H1856</f>
        <v>0</v>
      </c>
      <c r="I1859" s="85">
        <f>I1856</f>
        <v>0</v>
      </c>
      <c r="J1859" s="86">
        <f>J1856</f>
        <v>0</v>
      </c>
    </row>
    <row r="1860" spans="1:10" ht="15.75" thickBot="1">
      <c r="A1860" s="683" t="s">
        <v>31</v>
      </c>
      <c r="B1860" s="684"/>
      <c r="C1860" s="684"/>
      <c r="D1860" s="684"/>
      <c r="E1860" s="684"/>
      <c r="F1860" s="72"/>
      <c r="G1860" s="72"/>
      <c r="H1860" s="72"/>
      <c r="I1860" s="72"/>
      <c r="J1860" s="73"/>
    </row>
    <row r="1861" spans="1:10">
      <c r="A1861" s="145"/>
      <c r="B1861" s="695" t="s">
        <v>32</v>
      </c>
      <c r="C1861" s="695"/>
      <c r="D1861" s="695"/>
      <c r="E1861" s="695"/>
      <c r="F1861" s="148">
        <f>SUM(F1862:F1863)</f>
        <v>0</v>
      </c>
      <c r="G1861" s="148">
        <f>SUM(G1862:G1863)</f>
        <v>0</v>
      </c>
      <c r="H1861" s="148">
        <f>SUM(H1862:H1863)</f>
        <v>0</v>
      </c>
      <c r="I1861" s="148">
        <f>SUM(I1862:I1863)</f>
        <v>0</v>
      </c>
      <c r="J1861" s="149">
        <f>SUM(J1862:J1863)</f>
        <v>0</v>
      </c>
    </row>
    <row r="1862" spans="1:10">
      <c r="A1862" s="80">
        <v>1</v>
      </c>
      <c r="B1862" s="81"/>
      <c r="C1862" s="76" t="str">
        <f>IF(B1862="","",VLOOKUP(B1862,'Lista articole'!$D$4:$E$2255,2,FALSE))</f>
        <v/>
      </c>
      <c r="D1862" s="77">
        <v>0</v>
      </c>
      <c r="E1862" s="78">
        <f>IF(B1862="",0,VLOOKUP(B1862,'Lista articole'!$D$4:$F$2163,3,FALSE))</f>
        <v>0</v>
      </c>
      <c r="F1862" s="77">
        <f>D1862*E1862</f>
        <v>0</v>
      </c>
      <c r="G1862" s="77">
        <f>F1862/$H$9</f>
        <v>0</v>
      </c>
      <c r="H1862" s="77">
        <f>F1862*'Date Generale'!$D$58</f>
        <v>0</v>
      </c>
      <c r="I1862" s="77">
        <f t="shared" ref="I1862:I1863" si="900">H1862+F1862</f>
        <v>0</v>
      </c>
      <c r="J1862" s="79">
        <f t="shared" ref="J1862:J1863" si="901">I1862/$H$9</f>
        <v>0</v>
      </c>
    </row>
    <row r="1863" spans="1:10">
      <c r="A1863" s="74">
        <f>A1862+1</f>
        <v>2</v>
      </c>
      <c r="B1863" s="75"/>
      <c r="C1863" s="76" t="str">
        <f>IF(B1863="","",VLOOKUP(B1863,'Lista articole'!$D$4:$E$2255,2,FALSE))</f>
        <v/>
      </c>
      <c r="D1863" s="77">
        <v>0</v>
      </c>
      <c r="E1863" s="78">
        <f>IF(B1863="",0,VLOOKUP(B1863,'Lista articole'!$D$4:$F$2163,3,FALSE))</f>
        <v>0</v>
      </c>
      <c r="F1863" s="77">
        <f t="shared" ref="F1863" si="902">D1863*E1863</f>
        <v>0</v>
      </c>
      <c r="G1863" s="77">
        <f t="shared" ref="G1863" si="903">F1863/$H$9</f>
        <v>0</v>
      </c>
      <c r="H1863" s="77">
        <f>F1863*'Date Generale'!$D$58</f>
        <v>0</v>
      </c>
      <c r="I1863" s="77">
        <f t="shared" si="900"/>
        <v>0</v>
      </c>
      <c r="J1863" s="79">
        <f t="shared" si="901"/>
        <v>0</v>
      </c>
    </row>
    <row r="1864" spans="1:10">
      <c r="A1864" s="87"/>
      <c r="B1864" s="696" t="s">
        <v>33</v>
      </c>
      <c r="C1864" s="696"/>
      <c r="D1864" s="696"/>
      <c r="E1864" s="696"/>
      <c r="F1864" s="88">
        <f>SUM(F1865:F1866)</f>
        <v>0</v>
      </c>
      <c r="G1864" s="88">
        <f>SUM(G1865:G1866)</f>
        <v>0</v>
      </c>
      <c r="H1864" s="88">
        <f>SUM(H1865:H1866)</f>
        <v>0</v>
      </c>
      <c r="I1864" s="88">
        <f>SUM(I1865:I1866)</f>
        <v>0</v>
      </c>
      <c r="J1864" s="89">
        <f>SUM(J1865:J1866)</f>
        <v>0</v>
      </c>
    </row>
    <row r="1865" spans="1:10">
      <c r="A1865" s="80">
        <v>1</v>
      </c>
      <c r="B1865" s="81"/>
      <c r="C1865" s="76" t="str">
        <f>IF(B1865="","",VLOOKUP(B1865,'Lista articole'!$D$4:$E$2255,2,FALSE))</f>
        <v/>
      </c>
      <c r="D1865" s="77">
        <v>0</v>
      </c>
      <c r="E1865" s="78">
        <f>IF(B1865="",0,VLOOKUP(B1865,'Lista articole'!$D$4:$F$2163,3,FALSE))</f>
        <v>0</v>
      </c>
      <c r="F1865" s="77">
        <f>D1865*E1865</f>
        <v>0</v>
      </c>
      <c r="G1865" s="77">
        <f>F1865/$H$9</f>
        <v>0</v>
      </c>
      <c r="H1865" s="77">
        <f>F1865*'Date Generale'!$D$58</f>
        <v>0</v>
      </c>
      <c r="I1865" s="77">
        <f t="shared" ref="I1865:I1866" si="904">H1865+F1865</f>
        <v>0</v>
      </c>
      <c r="J1865" s="79">
        <f t="shared" ref="J1865:J1866" si="905">I1865/$H$9</f>
        <v>0</v>
      </c>
    </row>
    <row r="1866" spans="1:10">
      <c r="A1866" s="74">
        <f>A1865+1</f>
        <v>2</v>
      </c>
      <c r="B1866" s="75"/>
      <c r="C1866" s="76" t="str">
        <f>IF(B1866="","",VLOOKUP(B1866,'Lista articole'!$D$4:$E$2255,2,FALSE))</f>
        <v/>
      </c>
      <c r="D1866" s="77">
        <v>0</v>
      </c>
      <c r="E1866" s="78">
        <f>IF(B1866="",0,VLOOKUP(B1866,'Lista articole'!$D$4:$F$2163,3,FALSE))</f>
        <v>0</v>
      </c>
      <c r="F1866" s="77">
        <f t="shared" ref="F1866" si="906">D1866*E1866</f>
        <v>0</v>
      </c>
      <c r="G1866" s="77">
        <f t="shared" ref="G1866" si="907">F1866/$H$9</f>
        <v>0</v>
      </c>
      <c r="H1866" s="77">
        <f>F1866*'Date Generale'!$D$58</f>
        <v>0</v>
      </c>
      <c r="I1866" s="77">
        <f t="shared" si="904"/>
        <v>0</v>
      </c>
      <c r="J1866" s="79">
        <f t="shared" si="905"/>
        <v>0</v>
      </c>
    </row>
    <row r="1867" spans="1:10">
      <c r="A1867" s="87"/>
      <c r="B1867" s="696" t="s">
        <v>34</v>
      </c>
      <c r="C1867" s="696"/>
      <c r="D1867" s="696"/>
      <c r="E1867" s="696"/>
      <c r="F1867" s="88">
        <f>SUM(F1868:F1869)</f>
        <v>0</v>
      </c>
      <c r="G1867" s="88">
        <f>SUM(G1868:G1869)</f>
        <v>0</v>
      </c>
      <c r="H1867" s="88">
        <f>SUM(H1868:H1869)</f>
        <v>0</v>
      </c>
      <c r="I1867" s="88">
        <f>SUM(I1868:I1869)</f>
        <v>0</v>
      </c>
      <c r="J1867" s="89">
        <f>SUM(J1868:J1869)</f>
        <v>0</v>
      </c>
    </row>
    <row r="1868" spans="1:10">
      <c r="A1868" s="80">
        <v>1</v>
      </c>
      <c r="B1868" s="81"/>
      <c r="C1868" s="76" t="str">
        <f>IF(B1868="","",VLOOKUP(B1868,'Lista articole'!$D$4:$E$2255,2,FALSE))</f>
        <v/>
      </c>
      <c r="D1868" s="77">
        <v>0</v>
      </c>
      <c r="E1868" s="78">
        <f>IF(B1868="",0,VLOOKUP(B1868,'Lista articole'!$D$4:$F$2163,3,FALSE))</f>
        <v>0</v>
      </c>
      <c r="F1868" s="77">
        <f>D1868*E1868</f>
        <v>0</v>
      </c>
      <c r="G1868" s="77">
        <f>F1868/$H$9</f>
        <v>0</v>
      </c>
      <c r="H1868" s="77">
        <f>F1868*'Date Generale'!$D$58</f>
        <v>0</v>
      </c>
      <c r="I1868" s="77">
        <f t="shared" ref="I1868:I1869" si="908">H1868+F1868</f>
        <v>0</v>
      </c>
      <c r="J1868" s="79">
        <f t="shared" ref="J1868:J1869" si="909">I1868/$H$9</f>
        <v>0</v>
      </c>
    </row>
    <row r="1869" spans="1:10" ht="15.75" thickBot="1">
      <c r="A1869" s="139">
        <f>A1868+1</f>
        <v>2</v>
      </c>
      <c r="B1869" s="140"/>
      <c r="C1869" s="141" t="str">
        <f>IF(B1869="","",VLOOKUP(B1869,'Lista articole'!$D$4:$E$2255,2,FALSE))</f>
        <v/>
      </c>
      <c r="D1869" s="142">
        <v>0</v>
      </c>
      <c r="E1869" s="143">
        <f>IF(B1869="",0,VLOOKUP(B1869,'Lista articole'!$D$4:$F$2163,3,FALSE))</f>
        <v>0</v>
      </c>
      <c r="F1869" s="142">
        <f t="shared" ref="F1869" si="910">D1869*E1869</f>
        <v>0</v>
      </c>
      <c r="G1869" s="142">
        <f t="shared" ref="G1869" si="911">F1869/$H$9</f>
        <v>0</v>
      </c>
      <c r="H1869" s="142">
        <f>F1869*'Date Generale'!$D$58</f>
        <v>0</v>
      </c>
      <c r="I1869" s="142">
        <f t="shared" si="908"/>
        <v>0</v>
      </c>
      <c r="J1869" s="144">
        <f t="shared" si="909"/>
        <v>0</v>
      </c>
    </row>
    <row r="1870" spans="1:10" ht="15.75" thickBot="1">
      <c r="A1870" s="685" t="s">
        <v>35</v>
      </c>
      <c r="B1870" s="686"/>
      <c r="C1870" s="686"/>
      <c r="D1870" s="686"/>
      <c r="E1870" s="686"/>
      <c r="F1870" s="62">
        <f>SUM(F1867,F1864,F1861)</f>
        <v>0</v>
      </c>
      <c r="G1870" s="62">
        <f>SUM(G1867,G1864,G1861)</f>
        <v>0</v>
      </c>
      <c r="H1870" s="62">
        <f>SUM(H1867,H1864,H1861)</f>
        <v>0</v>
      </c>
      <c r="I1870" s="62">
        <f>SUM(I1867,I1864,I1861)</f>
        <v>0</v>
      </c>
      <c r="J1870" s="63">
        <f>SUM(J1867,J1864,J1861)</f>
        <v>0</v>
      </c>
    </row>
    <row r="1871" spans="1:10">
      <c r="A1871" s="38"/>
      <c r="B1871" s="39"/>
      <c r="C1871" s="39"/>
      <c r="D1871" s="39"/>
      <c r="E1871" s="39"/>
      <c r="F1871" s="39"/>
      <c r="G1871" s="39"/>
      <c r="H1871" s="39"/>
      <c r="I1871" s="39"/>
      <c r="J1871" s="39"/>
    </row>
    <row r="1872" spans="1:10">
      <c r="A1872" s="38"/>
      <c r="C1872" s="42"/>
      <c r="D1872" s="42"/>
      <c r="E1872" s="42"/>
      <c r="F1872" s="42"/>
      <c r="G1872" s="42"/>
      <c r="H1872" s="42"/>
      <c r="I1872" s="42"/>
      <c r="J1872" s="42"/>
    </row>
    <row r="1873" spans="1:11" ht="18.75">
      <c r="A1873" s="42"/>
      <c r="B1873" s="90" t="s">
        <v>37</v>
      </c>
      <c r="C1873" s="42"/>
      <c r="D1873" s="42"/>
      <c r="E1873" s="42"/>
      <c r="F1873" s="42"/>
      <c r="G1873" s="42"/>
      <c r="H1873" s="42"/>
      <c r="I1873" s="42"/>
      <c r="J1873" s="42"/>
    </row>
    <row r="1874" spans="1:11" ht="18.75">
      <c r="A1874" s="38"/>
      <c r="B1874" s="90" t="str">
        <f>'Date Generale'!$C$7</f>
        <v>S.C. Tehno Consoulting Solutions S.R.L.</v>
      </c>
      <c r="C1874" s="39"/>
      <c r="D1874" s="39"/>
      <c r="E1874" s="39"/>
      <c r="F1874" s="39"/>
      <c r="G1874" s="39"/>
      <c r="H1874" s="39"/>
      <c r="I1874" s="39"/>
      <c r="J1874" s="39"/>
    </row>
    <row r="1875" spans="1:11">
      <c r="A1875" s="35"/>
      <c r="B1875" s="93"/>
      <c r="C1875" s="94"/>
      <c r="D1875" s="95"/>
      <c r="E1875" s="96"/>
      <c r="F1875" s="96"/>
      <c r="G1875" s="95"/>
      <c r="H1875" s="95"/>
      <c r="I1875" s="95"/>
      <c r="J1875" s="95"/>
    </row>
    <row r="1876" spans="1:11">
      <c r="A1876" s="35"/>
      <c r="B1876" s="93"/>
      <c r="C1876" s="94"/>
      <c r="D1876" s="95"/>
      <c r="E1876" s="96"/>
      <c r="F1876" s="96"/>
      <c r="G1876" s="95"/>
      <c r="H1876" s="95"/>
      <c r="I1876" s="95"/>
      <c r="J1876" s="95"/>
    </row>
    <row r="1877" spans="1:11">
      <c r="A1877" s="35"/>
      <c r="B1877" s="98"/>
      <c r="C1877" s="94"/>
      <c r="D1877" s="95"/>
      <c r="E1877" s="96"/>
      <c r="F1877" s="96"/>
      <c r="G1877" s="95"/>
      <c r="H1877" s="95"/>
      <c r="I1877" s="95"/>
      <c r="J1877" s="95"/>
      <c r="K1877" s="67"/>
    </row>
    <row r="1878" spans="1:11" ht="15.75">
      <c r="A1878" s="41" t="str">
        <f>"Beneficiar: " &amp;'Date Generale'!$C$6</f>
        <v xml:space="preserve">Beneficiar: Judetul Arges </v>
      </c>
      <c r="B1878" s="41"/>
      <c r="C1878" s="42"/>
      <c r="D1878" s="42"/>
      <c r="E1878" s="69"/>
      <c r="F1878" s="42"/>
      <c r="G1878" s="42"/>
      <c r="H1878" s="42"/>
      <c r="I1878" s="42"/>
      <c r="J1878" s="42"/>
    </row>
    <row r="1879" spans="1:11" ht="15.75">
      <c r="A1879" s="41" t="str">
        <f>"Denumire proiect: " &amp; 'Date Generale'!$C$3</f>
        <v>Denumire proiect: Modernizare DJ 703B Serbanesti (DJ659) - Silistea, km 70+410 - 77+826, 7.416km, in comunele Rociu si Cateasca</v>
      </c>
      <c r="B1879" s="41"/>
      <c r="C1879" s="44"/>
      <c r="D1879" s="44"/>
      <c r="E1879" s="44"/>
      <c r="F1879" s="44"/>
      <c r="G1879" s="44"/>
      <c r="H1879" s="44"/>
      <c r="I1879" s="44"/>
      <c r="J1879" s="44"/>
    </row>
    <row r="1880" spans="1:11" ht="15.75">
      <c r="A1880" s="41"/>
      <c r="B1880" s="41"/>
      <c r="C1880" s="44"/>
      <c r="D1880" s="44"/>
      <c r="E1880" s="44"/>
      <c r="F1880" s="44"/>
      <c r="G1880" s="44"/>
      <c r="H1880" s="44"/>
      <c r="I1880" s="44"/>
      <c r="J1880" s="44"/>
    </row>
    <row r="1881" spans="1:11" ht="15.75">
      <c r="A1881" s="41" t="str">
        <f>'Date Generale'!$E$85</f>
        <v>Obiect 025:0</v>
      </c>
      <c r="B1881" s="41"/>
      <c r="C1881" s="44"/>
      <c r="D1881" s="44"/>
      <c r="E1881" s="44"/>
      <c r="F1881" s="44"/>
      <c r="G1881" s="44"/>
      <c r="H1881" s="44"/>
      <c r="I1881" s="44"/>
      <c r="J1881" s="44"/>
    </row>
    <row r="1882" spans="1:11" ht="15.75">
      <c r="A1882" s="70"/>
      <c r="B1882" s="44"/>
      <c r="C1882" s="44"/>
      <c r="D1882" s="44"/>
      <c r="E1882" s="44"/>
      <c r="F1882" s="44"/>
      <c r="G1882" s="44"/>
      <c r="H1882" s="44"/>
      <c r="I1882" s="44"/>
      <c r="J1882" s="44"/>
    </row>
    <row r="1883" spans="1:11">
      <c r="A1883" s="687" t="s">
        <v>38</v>
      </c>
      <c r="B1883" s="687"/>
      <c r="C1883" s="687"/>
      <c r="D1883" s="687"/>
      <c r="E1883" s="687"/>
      <c r="F1883" s="687"/>
      <c r="G1883" s="687"/>
      <c r="H1883" s="687"/>
      <c r="I1883" s="687"/>
      <c r="J1883" s="687"/>
    </row>
    <row r="1884" spans="1:11">
      <c r="A1884" s="371"/>
      <c r="B1884" s="371"/>
      <c r="C1884" s="371"/>
      <c r="D1884" s="371"/>
      <c r="E1884" s="371"/>
      <c r="F1884" s="371"/>
      <c r="G1884" s="371"/>
      <c r="H1884" s="371"/>
      <c r="I1884" s="371"/>
      <c r="J1884" s="371"/>
    </row>
    <row r="1885" spans="1:11" ht="15.75" thickBot="1">
      <c r="A1885" s="42"/>
      <c r="B1885" s="46"/>
      <c r="C1885" s="71"/>
      <c r="D1885" s="71"/>
      <c r="E1885" s="71"/>
      <c r="F1885" s="33"/>
      <c r="G1885" s="47" t="s">
        <v>2</v>
      </c>
      <c r="H1885" s="48">
        <f>'Date Generale'!$C$54</f>
        <v>4.7233000000000001</v>
      </c>
      <c r="I1885" s="49" t="s">
        <v>3</v>
      </c>
      <c r="J1885" s="50" t="str">
        <f>'Date Generale'!$D$54</f>
        <v>21,06,2019</v>
      </c>
    </row>
    <row r="1886" spans="1:11" ht="15.75" thickBot="1">
      <c r="A1886" s="688" t="s">
        <v>4</v>
      </c>
      <c r="B1886" s="688" t="s">
        <v>5</v>
      </c>
      <c r="C1886" s="688" t="s">
        <v>39</v>
      </c>
      <c r="D1886" s="688" t="s">
        <v>40</v>
      </c>
      <c r="E1886" s="688" t="s">
        <v>228</v>
      </c>
      <c r="F1886" s="689" t="s">
        <v>160</v>
      </c>
      <c r="G1886" s="689"/>
      <c r="H1886" s="372" t="s">
        <v>7</v>
      </c>
      <c r="I1886" s="689" t="s">
        <v>159</v>
      </c>
      <c r="J1886" s="689"/>
    </row>
    <row r="1887" spans="1:11" ht="15.75" thickBot="1">
      <c r="A1887" s="688"/>
      <c r="B1887" s="688"/>
      <c r="C1887" s="688"/>
      <c r="D1887" s="688"/>
      <c r="E1887" s="688"/>
      <c r="F1887" s="51" t="s">
        <v>9</v>
      </c>
      <c r="G1887" s="51" t="s">
        <v>10</v>
      </c>
      <c r="H1887" s="51" t="s">
        <v>9</v>
      </c>
      <c r="I1887" s="51" t="s">
        <v>9</v>
      </c>
      <c r="J1887" s="51" t="s">
        <v>10</v>
      </c>
    </row>
    <row r="1888" spans="1:11" ht="15.75" thickBot="1">
      <c r="A1888" s="3">
        <v>1</v>
      </c>
      <c r="B1888" s="1">
        <v>2</v>
      </c>
      <c r="C1888" s="1">
        <v>3</v>
      </c>
      <c r="D1888" s="1">
        <v>4</v>
      </c>
      <c r="E1888" s="1">
        <v>5</v>
      </c>
      <c r="F1888" s="1">
        <v>6</v>
      </c>
      <c r="G1888" s="1">
        <v>7</v>
      </c>
      <c r="H1888" s="1">
        <v>8</v>
      </c>
      <c r="I1888" s="1">
        <v>9</v>
      </c>
      <c r="J1888" s="1">
        <v>10</v>
      </c>
    </row>
    <row r="1889" spans="1:10" ht="15.75" thickBot="1">
      <c r="A1889" s="683" t="s">
        <v>11</v>
      </c>
      <c r="B1889" s="684"/>
      <c r="C1889" s="684"/>
      <c r="D1889" s="684"/>
      <c r="E1889" s="684"/>
      <c r="F1889" s="72"/>
      <c r="G1889" s="72"/>
      <c r="H1889" s="72"/>
      <c r="I1889" s="72"/>
      <c r="J1889" s="73"/>
    </row>
    <row r="1890" spans="1:10">
      <c r="A1890" s="691" t="s">
        <v>41</v>
      </c>
      <c r="B1890" s="692"/>
      <c r="C1890" s="692"/>
      <c r="D1890" s="692"/>
      <c r="E1890" s="692"/>
      <c r="F1890" s="137">
        <f>SUM(F1891:F1892)</f>
        <v>0</v>
      </c>
      <c r="G1890" s="137">
        <f>SUM(G1891:G1892)</f>
        <v>0</v>
      </c>
      <c r="H1890" s="137">
        <f>SUM(H1891:H1892)</f>
        <v>0</v>
      </c>
      <c r="I1890" s="137">
        <f>SUM(I1891:I1892)</f>
        <v>0</v>
      </c>
      <c r="J1890" s="138">
        <f>SUM(J1891:J1892)</f>
        <v>0</v>
      </c>
    </row>
    <row r="1891" spans="1:10">
      <c r="A1891" s="74">
        <v>1</v>
      </c>
      <c r="B1891" s="75"/>
      <c r="C1891" s="76" t="str">
        <f>IF(B1891="","",VLOOKUP(B1891,'Lista articole'!$D$4:$E$2255,2,FALSE))</f>
        <v/>
      </c>
      <c r="D1891" s="77">
        <v>0</v>
      </c>
      <c r="E1891" s="78">
        <f>IF(B1891="",0,VLOOKUP(B1891,'Lista articole'!$D$4:$F$2163,3,FALSE))</f>
        <v>0</v>
      </c>
      <c r="F1891" s="77">
        <f>D1891*E1891</f>
        <v>0</v>
      </c>
      <c r="G1891" s="77">
        <f t="shared" ref="G1891:G1892" si="912">F1891/$H$9</f>
        <v>0</v>
      </c>
      <c r="H1891" s="77">
        <f>F1891*'Date Generale'!$D$58</f>
        <v>0</v>
      </c>
      <c r="I1891" s="77">
        <f>H1891+F1891</f>
        <v>0</v>
      </c>
      <c r="J1891" s="79">
        <f>I1891/$H$9</f>
        <v>0</v>
      </c>
    </row>
    <row r="1892" spans="1:10">
      <c r="A1892" s="74">
        <v>2</v>
      </c>
      <c r="B1892" s="75"/>
      <c r="C1892" s="76" t="str">
        <f>IF(B1892="","",VLOOKUP(B1892,'Lista articole'!$D$4:$E$2255,2,FALSE))</f>
        <v/>
      </c>
      <c r="D1892" s="77">
        <v>0</v>
      </c>
      <c r="E1892" s="78">
        <f>IF(B1892="",0,VLOOKUP(B1892,'Lista articole'!$D$4:$F$2163,3,FALSE))</f>
        <v>0</v>
      </c>
      <c r="F1892" s="77">
        <f>D1892*E1892</f>
        <v>0</v>
      </c>
      <c r="G1892" s="77">
        <f t="shared" si="912"/>
        <v>0</v>
      </c>
      <c r="H1892" s="77">
        <f>F1892*'Date Generale'!$D$58</f>
        <v>0</v>
      </c>
      <c r="I1892" s="77">
        <f>H1892+F1892</f>
        <v>0</v>
      </c>
      <c r="J1892" s="79">
        <f>I1892/$H$9</f>
        <v>0</v>
      </c>
    </row>
    <row r="1893" spans="1:10">
      <c r="A1893" s="693" t="s">
        <v>44</v>
      </c>
      <c r="B1893" s="694"/>
      <c r="C1893" s="694"/>
      <c r="D1893" s="694"/>
      <c r="E1893" s="694"/>
      <c r="F1893" s="56">
        <f>SUM(F1894:F1895)</f>
        <v>0</v>
      </c>
      <c r="G1893" s="56">
        <f>SUM(G1894:G1895)</f>
        <v>0</v>
      </c>
      <c r="H1893" s="56">
        <f>SUM(H1894:H1895)</f>
        <v>0</v>
      </c>
      <c r="I1893" s="56">
        <f>SUM(I1894:I1895)</f>
        <v>0</v>
      </c>
      <c r="J1893" s="57">
        <f>SUM(J1894:J1895)</f>
        <v>0</v>
      </c>
    </row>
    <row r="1894" spans="1:10">
      <c r="A1894" s="80">
        <v>1</v>
      </c>
      <c r="B1894" s="81"/>
      <c r="C1894" s="76" t="str">
        <f>IF(B1894="","",VLOOKUP(B1894,'Lista articole'!$D$4:$E$2255,2,FALSE))</f>
        <v/>
      </c>
      <c r="D1894" s="77">
        <v>0</v>
      </c>
      <c r="E1894" s="78">
        <f>IF(B1894="",0,VLOOKUP(B1894,'Lista articole'!$D$4:$F$2163,3,FALSE))</f>
        <v>0</v>
      </c>
      <c r="F1894" s="77">
        <f t="shared" ref="F1894:F1895" si="913">D1894*E1894</f>
        <v>0</v>
      </c>
      <c r="G1894" s="77">
        <f t="shared" ref="G1894:G1895" si="914">F1894/$H$9</f>
        <v>0</v>
      </c>
      <c r="H1894" s="77">
        <f>F1894*'Date Generale'!$D$58</f>
        <v>0</v>
      </c>
      <c r="I1894" s="77">
        <f t="shared" ref="I1894:I1895" si="915">H1894+F1894</f>
        <v>0</v>
      </c>
      <c r="J1894" s="79">
        <f t="shared" ref="J1894:J1895" si="916">I1894/$H$9</f>
        <v>0</v>
      </c>
    </row>
    <row r="1895" spans="1:10">
      <c r="A1895" s="80">
        <f t="shared" ref="A1895" si="917">A1894+1</f>
        <v>2</v>
      </c>
      <c r="B1895" s="81"/>
      <c r="C1895" s="76" t="str">
        <f>IF(B1895="","",VLOOKUP(B1895,'Lista articole'!$D$4:$E$2255,2,FALSE))</f>
        <v/>
      </c>
      <c r="D1895" s="77">
        <v>0</v>
      </c>
      <c r="E1895" s="78">
        <f>IF(B1895="",0,VLOOKUP(B1895,'Lista articole'!$D$4:$F$2163,3,FALSE))</f>
        <v>0</v>
      </c>
      <c r="F1895" s="77">
        <f t="shared" si="913"/>
        <v>0</v>
      </c>
      <c r="G1895" s="77">
        <f t="shared" si="914"/>
        <v>0</v>
      </c>
      <c r="H1895" s="77">
        <f>F1895*'Date Generale'!$D$58</f>
        <v>0</v>
      </c>
      <c r="I1895" s="77">
        <f t="shared" si="915"/>
        <v>0</v>
      </c>
      <c r="J1895" s="79">
        <f t="shared" si="916"/>
        <v>0</v>
      </c>
    </row>
    <row r="1896" spans="1:10">
      <c r="A1896" s="693" t="s">
        <v>45</v>
      </c>
      <c r="B1896" s="694"/>
      <c r="C1896" s="694"/>
      <c r="D1896" s="694"/>
      <c r="E1896" s="694"/>
      <c r="F1896" s="56">
        <f>SUM(F1897:F1898)</f>
        <v>0</v>
      </c>
      <c r="G1896" s="56">
        <f>SUM(G1897:G1898)</f>
        <v>0</v>
      </c>
      <c r="H1896" s="56">
        <f>SUM(H1897:H1898)</f>
        <v>0</v>
      </c>
      <c r="I1896" s="56">
        <f>SUM(I1897:I1898)</f>
        <v>0</v>
      </c>
      <c r="J1896" s="57">
        <f>SUM(J1897:J1898)</f>
        <v>0</v>
      </c>
    </row>
    <row r="1897" spans="1:10">
      <c r="A1897" s="80">
        <v>1</v>
      </c>
      <c r="B1897" s="81"/>
      <c r="C1897" s="76" t="str">
        <f>IF(B1897="","",VLOOKUP(B1897,'Lista articole'!$D$4:$E$2255,2,FALSE))</f>
        <v/>
      </c>
      <c r="D1897" s="77">
        <v>0</v>
      </c>
      <c r="E1897" s="78">
        <f>IF(B1897="",0,VLOOKUP(B1897,'Lista articole'!$D$4:$F$2163,3,FALSE))</f>
        <v>0</v>
      </c>
      <c r="F1897" s="77">
        <f t="shared" ref="F1897:F1898" si="918">D1897*E1897</f>
        <v>0</v>
      </c>
      <c r="G1897" s="77">
        <f t="shared" ref="G1897:G1898" si="919">F1897/$H$9</f>
        <v>0</v>
      </c>
      <c r="H1897" s="77">
        <f>F1897*'Date Generale'!$D$58</f>
        <v>0</v>
      </c>
      <c r="I1897" s="77">
        <f t="shared" ref="I1897:I1898" si="920">H1897+F1897</f>
        <v>0</v>
      </c>
      <c r="J1897" s="79">
        <f t="shared" ref="J1897:J1898" si="921">I1897/$H$9</f>
        <v>0</v>
      </c>
    </row>
    <row r="1898" spans="1:10">
      <c r="A1898" s="80">
        <v>2</v>
      </c>
      <c r="B1898" s="81"/>
      <c r="C1898" s="76" t="str">
        <f>IF(B1898="","",VLOOKUP(B1898,'Lista articole'!$D$4:$E$2255,2,FALSE))</f>
        <v/>
      </c>
      <c r="D1898" s="77">
        <v>0</v>
      </c>
      <c r="E1898" s="78">
        <f>IF(B1898="",0,VLOOKUP(B1898,'Lista articole'!$D$4:$F$2163,3,FALSE))</f>
        <v>0</v>
      </c>
      <c r="F1898" s="77">
        <f t="shared" si="918"/>
        <v>0</v>
      </c>
      <c r="G1898" s="77">
        <f t="shared" si="919"/>
        <v>0</v>
      </c>
      <c r="H1898" s="77">
        <f>F1898*'Date Generale'!$D$58</f>
        <v>0</v>
      </c>
      <c r="I1898" s="77">
        <f t="shared" si="920"/>
        <v>0</v>
      </c>
      <c r="J1898" s="79">
        <f t="shared" si="921"/>
        <v>0</v>
      </c>
    </row>
    <row r="1899" spans="1:10">
      <c r="A1899" s="693" t="s">
        <v>46</v>
      </c>
      <c r="B1899" s="694"/>
      <c r="C1899" s="694"/>
      <c r="D1899" s="694"/>
      <c r="E1899" s="694"/>
      <c r="F1899" s="56">
        <f>SUM(F1900:F1913)</f>
        <v>0</v>
      </c>
      <c r="G1899" s="56">
        <f>SUM(G1900:G1913)</f>
        <v>0</v>
      </c>
      <c r="H1899" s="56">
        <f>SUM(H1900:H1913)</f>
        <v>0</v>
      </c>
      <c r="I1899" s="56">
        <f>SUM(I1900:I1913)</f>
        <v>0</v>
      </c>
      <c r="J1899" s="57">
        <f>SUM(J1900:J1913)</f>
        <v>0</v>
      </c>
    </row>
    <row r="1900" spans="1:10">
      <c r="A1900" s="80">
        <v>1</v>
      </c>
      <c r="B1900" s="81"/>
      <c r="C1900" s="76" t="str">
        <f>IF(B1900="","",VLOOKUP(B1900,'Lista articole'!$D$4:$E$2255,2,FALSE))</f>
        <v/>
      </c>
      <c r="D1900" s="77">
        <v>0</v>
      </c>
      <c r="E1900" s="78">
        <f>IF(B1900="",0,VLOOKUP(B1900,'Lista articole'!$D$4:$F$2163,3,FALSE))</f>
        <v>0</v>
      </c>
      <c r="F1900" s="77">
        <f t="shared" ref="F1900:F1913" si="922">D1900*E1900</f>
        <v>0</v>
      </c>
      <c r="G1900" s="77">
        <f t="shared" ref="G1900:G1913" si="923">F1900/$H$9</f>
        <v>0</v>
      </c>
      <c r="H1900" s="77">
        <f>F1900*'Date Generale'!$D$58</f>
        <v>0</v>
      </c>
      <c r="I1900" s="77">
        <f t="shared" ref="I1900:I1913" si="924">H1900+F1900</f>
        <v>0</v>
      </c>
      <c r="J1900" s="79">
        <f t="shared" ref="J1900:J1913" si="925">I1900/$H$9</f>
        <v>0</v>
      </c>
    </row>
    <row r="1901" spans="1:10">
      <c r="A1901" s="80">
        <v>2</v>
      </c>
      <c r="B1901" s="81"/>
      <c r="C1901" s="76" t="str">
        <f>IF(B1901="","",VLOOKUP(B1901,'Lista articole'!$D$4:$E$2255,2,FALSE))</f>
        <v/>
      </c>
      <c r="D1901" s="77">
        <v>0</v>
      </c>
      <c r="E1901" s="78">
        <f>IF(B1901="",0,VLOOKUP(B1901,'Lista articole'!$D$4:$F$2163,3,FALSE))</f>
        <v>0</v>
      </c>
      <c r="F1901" s="77">
        <f t="shared" si="922"/>
        <v>0</v>
      </c>
      <c r="G1901" s="77">
        <f t="shared" si="923"/>
        <v>0</v>
      </c>
      <c r="H1901" s="77">
        <f>F1901*'Date Generale'!$D$58</f>
        <v>0</v>
      </c>
      <c r="I1901" s="77">
        <f t="shared" si="924"/>
        <v>0</v>
      </c>
      <c r="J1901" s="79">
        <f t="shared" si="925"/>
        <v>0</v>
      </c>
    </row>
    <row r="1902" spans="1:10">
      <c r="A1902" s="80">
        <v>3</v>
      </c>
      <c r="B1902" s="81"/>
      <c r="C1902" s="76" t="str">
        <f>IF(B1902="","",VLOOKUP(B1902,'Lista articole'!$D$4:$E$2255,2,FALSE))</f>
        <v/>
      </c>
      <c r="D1902" s="77">
        <v>0</v>
      </c>
      <c r="E1902" s="78">
        <f>IF(B1902="",0,VLOOKUP(B1902,'Lista articole'!$D$4:$F$2163,3,FALSE))</f>
        <v>0</v>
      </c>
      <c r="F1902" s="77">
        <f t="shared" si="922"/>
        <v>0</v>
      </c>
      <c r="G1902" s="77">
        <f t="shared" si="923"/>
        <v>0</v>
      </c>
      <c r="H1902" s="77">
        <f>F1902*'Date Generale'!$D$58</f>
        <v>0</v>
      </c>
      <c r="I1902" s="77">
        <f t="shared" si="924"/>
        <v>0</v>
      </c>
      <c r="J1902" s="79">
        <f t="shared" si="925"/>
        <v>0</v>
      </c>
    </row>
    <row r="1903" spans="1:10">
      <c r="A1903" s="80">
        <v>4</v>
      </c>
      <c r="B1903" s="81"/>
      <c r="C1903" s="76" t="str">
        <f>IF(B1903="","",VLOOKUP(B1903,'Lista articole'!$D$4:$E$2255,2,FALSE))</f>
        <v/>
      </c>
      <c r="D1903" s="77">
        <v>0</v>
      </c>
      <c r="E1903" s="78">
        <f>IF(B1903="",0,VLOOKUP(B1903,'Lista articole'!$D$4:$F$2163,3,FALSE))</f>
        <v>0</v>
      </c>
      <c r="F1903" s="77">
        <f t="shared" si="922"/>
        <v>0</v>
      </c>
      <c r="G1903" s="77">
        <f t="shared" si="923"/>
        <v>0</v>
      </c>
      <c r="H1903" s="77">
        <f>F1903*'Date Generale'!$D$58</f>
        <v>0</v>
      </c>
      <c r="I1903" s="77">
        <f t="shared" si="924"/>
        <v>0</v>
      </c>
      <c r="J1903" s="79">
        <f t="shared" si="925"/>
        <v>0</v>
      </c>
    </row>
    <row r="1904" spans="1:10">
      <c r="A1904" s="80">
        <v>5</v>
      </c>
      <c r="B1904" s="81"/>
      <c r="C1904" s="76" t="str">
        <f>IF(B1904="","",VLOOKUP(B1904,'Lista articole'!$D$4:$E$2255,2,FALSE))</f>
        <v/>
      </c>
      <c r="D1904" s="77">
        <v>0</v>
      </c>
      <c r="E1904" s="78">
        <f>IF(B1904="",0,VLOOKUP(B1904,'Lista articole'!$D$4:$F$2163,3,FALSE))</f>
        <v>0</v>
      </c>
      <c r="F1904" s="77">
        <f t="shared" si="922"/>
        <v>0</v>
      </c>
      <c r="G1904" s="77">
        <f t="shared" si="923"/>
        <v>0</v>
      </c>
      <c r="H1904" s="77">
        <f>F1904*'Date Generale'!$D$58</f>
        <v>0</v>
      </c>
      <c r="I1904" s="77">
        <f t="shared" si="924"/>
        <v>0</v>
      </c>
      <c r="J1904" s="79">
        <f t="shared" si="925"/>
        <v>0</v>
      </c>
    </row>
    <row r="1905" spans="1:10">
      <c r="A1905" s="80">
        <v>6</v>
      </c>
      <c r="B1905" s="81"/>
      <c r="C1905" s="76" t="str">
        <f>IF(B1905="","",VLOOKUP(B1905,'Lista articole'!$D$4:$E$2255,2,FALSE))</f>
        <v/>
      </c>
      <c r="D1905" s="77">
        <v>0</v>
      </c>
      <c r="E1905" s="78">
        <f>IF(B1905="",0,VLOOKUP(B1905,'Lista articole'!$D$4:$F$2163,3,FALSE))</f>
        <v>0</v>
      </c>
      <c r="F1905" s="77">
        <f t="shared" si="922"/>
        <v>0</v>
      </c>
      <c r="G1905" s="77">
        <f t="shared" si="923"/>
        <v>0</v>
      </c>
      <c r="H1905" s="77">
        <f>F1905*'Date Generale'!$D$58</f>
        <v>0</v>
      </c>
      <c r="I1905" s="77">
        <f t="shared" si="924"/>
        <v>0</v>
      </c>
      <c r="J1905" s="79">
        <f t="shared" si="925"/>
        <v>0</v>
      </c>
    </row>
    <row r="1906" spans="1:10">
      <c r="A1906" s="80">
        <v>7</v>
      </c>
      <c r="B1906" s="81"/>
      <c r="C1906" s="76" t="str">
        <f>IF(B1906="","",VLOOKUP(B1906,'Lista articole'!$D$4:$E$2255,2,FALSE))</f>
        <v/>
      </c>
      <c r="D1906" s="77">
        <v>0</v>
      </c>
      <c r="E1906" s="78">
        <f>IF(B1906="",0,VLOOKUP(B1906,'Lista articole'!$D$4:$F$2163,3,FALSE))</f>
        <v>0</v>
      </c>
      <c r="F1906" s="77">
        <f t="shared" si="922"/>
        <v>0</v>
      </c>
      <c r="G1906" s="77">
        <f t="shared" si="923"/>
        <v>0</v>
      </c>
      <c r="H1906" s="77">
        <f>F1906*'Date Generale'!$D$58</f>
        <v>0</v>
      </c>
      <c r="I1906" s="77">
        <f t="shared" si="924"/>
        <v>0</v>
      </c>
      <c r="J1906" s="79">
        <f t="shared" si="925"/>
        <v>0</v>
      </c>
    </row>
    <row r="1907" spans="1:10">
      <c r="A1907" s="80">
        <v>8</v>
      </c>
      <c r="B1907" s="81"/>
      <c r="C1907" s="76" t="str">
        <f>IF(B1907="","",VLOOKUP(B1907,'Lista articole'!$D$4:$E$2255,2,FALSE))</f>
        <v/>
      </c>
      <c r="D1907" s="77">
        <v>0</v>
      </c>
      <c r="E1907" s="78">
        <f>IF(B1907="",0,VLOOKUP(B1907,'Lista articole'!$D$4:$F$2163,3,FALSE))</f>
        <v>0</v>
      </c>
      <c r="F1907" s="77">
        <f t="shared" si="922"/>
        <v>0</v>
      </c>
      <c r="G1907" s="77">
        <f t="shared" si="923"/>
        <v>0</v>
      </c>
      <c r="H1907" s="77">
        <f>F1907*'Date Generale'!$D$58</f>
        <v>0</v>
      </c>
      <c r="I1907" s="77">
        <f t="shared" si="924"/>
        <v>0</v>
      </c>
      <c r="J1907" s="79">
        <f t="shared" si="925"/>
        <v>0</v>
      </c>
    </row>
    <row r="1908" spans="1:10">
      <c r="A1908" s="80">
        <v>9</v>
      </c>
      <c r="B1908" s="81"/>
      <c r="C1908" s="76" t="str">
        <f>IF(B1908="","",VLOOKUP(B1908,'Lista articole'!$D$4:$E$2255,2,FALSE))</f>
        <v/>
      </c>
      <c r="D1908" s="77">
        <v>0</v>
      </c>
      <c r="E1908" s="78">
        <f>IF(B1908="",0,VLOOKUP(B1908,'Lista articole'!$D$4:$F$2163,3,FALSE))</f>
        <v>0</v>
      </c>
      <c r="F1908" s="77">
        <f t="shared" si="922"/>
        <v>0</v>
      </c>
      <c r="G1908" s="77">
        <f t="shared" si="923"/>
        <v>0</v>
      </c>
      <c r="H1908" s="77">
        <f>F1908*'Date Generale'!$D$58</f>
        <v>0</v>
      </c>
      <c r="I1908" s="77">
        <f t="shared" si="924"/>
        <v>0</v>
      </c>
      <c r="J1908" s="79">
        <f t="shared" si="925"/>
        <v>0</v>
      </c>
    </row>
    <row r="1909" spans="1:10">
      <c r="A1909" s="80">
        <v>10</v>
      </c>
      <c r="B1909" s="81"/>
      <c r="C1909" s="76" t="str">
        <f>IF(B1909="","",VLOOKUP(B1909,'Lista articole'!$D$4:$E$2255,2,FALSE))</f>
        <v/>
      </c>
      <c r="D1909" s="77">
        <v>0</v>
      </c>
      <c r="E1909" s="78">
        <f>IF(B1909="",0,VLOOKUP(B1909,'Lista articole'!$D$4:$F$2163,3,FALSE))</f>
        <v>0</v>
      </c>
      <c r="F1909" s="77">
        <f t="shared" si="922"/>
        <v>0</v>
      </c>
      <c r="G1909" s="77">
        <f t="shared" si="923"/>
        <v>0</v>
      </c>
      <c r="H1909" s="77">
        <f>F1909*'Date Generale'!$D$58</f>
        <v>0</v>
      </c>
      <c r="I1909" s="77">
        <f t="shared" si="924"/>
        <v>0</v>
      </c>
      <c r="J1909" s="79">
        <f t="shared" si="925"/>
        <v>0</v>
      </c>
    </row>
    <row r="1910" spans="1:10">
      <c r="A1910" s="80">
        <v>11</v>
      </c>
      <c r="B1910" s="81"/>
      <c r="C1910" s="76" t="str">
        <f>IF(B1910="","",VLOOKUP(B1910,'Lista articole'!$D$4:$E$2255,2,FALSE))</f>
        <v/>
      </c>
      <c r="D1910" s="77">
        <v>0</v>
      </c>
      <c r="E1910" s="78">
        <f>IF(B1910="",0,VLOOKUP(B1910,'Lista articole'!$D$4:$F$2163,3,FALSE))</f>
        <v>0</v>
      </c>
      <c r="F1910" s="77">
        <f t="shared" si="922"/>
        <v>0</v>
      </c>
      <c r="G1910" s="77">
        <f t="shared" si="923"/>
        <v>0</v>
      </c>
      <c r="H1910" s="77">
        <f>F1910*'Date Generale'!$D$58</f>
        <v>0</v>
      </c>
      <c r="I1910" s="77">
        <f t="shared" si="924"/>
        <v>0</v>
      </c>
      <c r="J1910" s="79">
        <f t="shared" si="925"/>
        <v>0</v>
      </c>
    </row>
    <row r="1911" spans="1:10">
      <c r="A1911" s="80">
        <v>12</v>
      </c>
      <c r="B1911" s="81"/>
      <c r="C1911" s="76" t="str">
        <f>IF(B1911="","",VLOOKUP(B1911,'Lista articole'!$D$4:$E$2255,2,FALSE))</f>
        <v/>
      </c>
      <c r="D1911" s="77">
        <v>0</v>
      </c>
      <c r="E1911" s="78">
        <f>IF(B1911="",0,VLOOKUP(B1911,'Lista articole'!$D$4:$F$2163,3,FALSE))</f>
        <v>0</v>
      </c>
      <c r="F1911" s="77">
        <f t="shared" si="922"/>
        <v>0</v>
      </c>
      <c r="G1911" s="77">
        <f t="shared" si="923"/>
        <v>0</v>
      </c>
      <c r="H1911" s="77">
        <f>F1911*'Date Generale'!$D$58</f>
        <v>0</v>
      </c>
      <c r="I1911" s="77">
        <f t="shared" si="924"/>
        <v>0</v>
      </c>
      <c r="J1911" s="79">
        <f t="shared" si="925"/>
        <v>0</v>
      </c>
    </row>
    <row r="1912" spans="1:10">
      <c r="A1912" s="80">
        <v>13</v>
      </c>
      <c r="B1912" s="81"/>
      <c r="C1912" s="76" t="str">
        <f>IF(B1912="","",VLOOKUP(B1912,'Lista articole'!$D$4:$E$2255,2,FALSE))</f>
        <v/>
      </c>
      <c r="D1912" s="77">
        <v>0</v>
      </c>
      <c r="E1912" s="78">
        <f>IF(B1912="",0,VLOOKUP(B1912,'Lista articole'!$D$4:$F$2163,3,FALSE))</f>
        <v>0</v>
      </c>
      <c r="F1912" s="77">
        <f t="shared" si="922"/>
        <v>0</v>
      </c>
      <c r="G1912" s="77">
        <f t="shared" si="923"/>
        <v>0</v>
      </c>
      <c r="H1912" s="77">
        <f>F1912*'Date Generale'!$D$58</f>
        <v>0</v>
      </c>
      <c r="I1912" s="77">
        <f t="shared" si="924"/>
        <v>0</v>
      </c>
      <c r="J1912" s="79">
        <f t="shared" si="925"/>
        <v>0</v>
      </c>
    </row>
    <row r="1913" spans="1:10">
      <c r="A1913" s="80">
        <v>14</v>
      </c>
      <c r="B1913" s="81"/>
      <c r="C1913" s="76" t="str">
        <f>IF(B1913="","",VLOOKUP(B1913,'Lista articole'!$D$4:$E$2255,2,FALSE))</f>
        <v/>
      </c>
      <c r="D1913" s="77">
        <v>0</v>
      </c>
      <c r="E1913" s="78">
        <f>IF(B1913="",0,VLOOKUP(B1913,'Lista articole'!$D$4:$F$2163,3,FALSE))</f>
        <v>0</v>
      </c>
      <c r="F1913" s="77">
        <f t="shared" si="922"/>
        <v>0</v>
      </c>
      <c r="G1913" s="77">
        <f t="shared" si="923"/>
        <v>0</v>
      </c>
      <c r="H1913" s="77">
        <f>F1913*'Date Generale'!$D$58</f>
        <v>0</v>
      </c>
      <c r="I1913" s="77">
        <f t="shared" si="924"/>
        <v>0</v>
      </c>
      <c r="J1913" s="79">
        <f t="shared" si="925"/>
        <v>0</v>
      </c>
    </row>
    <row r="1914" spans="1:10">
      <c r="A1914" s="693" t="s">
        <v>50</v>
      </c>
      <c r="B1914" s="694"/>
      <c r="C1914" s="694"/>
      <c r="D1914" s="694"/>
      <c r="E1914" s="694"/>
      <c r="F1914" s="56">
        <f>SUM(F1915:F1916)</f>
        <v>0</v>
      </c>
      <c r="G1914" s="56">
        <f>SUM(G1915:G1916)</f>
        <v>0</v>
      </c>
      <c r="H1914" s="56">
        <f>SUM(H1915:H1916)</f>
        <v>0</v>
      </c>
      <c r="I1914" s="56">
        <f>SUM(I1915:I1916)</f>
        <v>0</v>
      </c>
      <c r="J1914" s="57">
        <f>SUM(J1915:J1916)</f>
        <v>0</v>
      </c>
    </row>
    <row r="1915" spans="1:10">
      <c r="A1915" s="80">
        <v>1</v>
      </c>
      <c r="B1915" s="81"/>
      <c r="C1915" s="76" t="str">
        <f>IF(B1915="","",VLOOKUP(B1915,'Lista articole'!$D$4:$E$2255,2,FALSE))</f>
        <v/>
      </c>
      <c r="D1915" s="77">
        <v>0</v>
      </c>
      <c r="E1915" s="78">
        <f>IF(B1915="",0,VLOOKUP(B1915,'Lista articole'!$D$4:$F$2163,3,FALSE))</f>
        <v>0</v>
      </c>
      <c r="F1915" s="77">
        <f t="shared" ref="F1915:F1916" si="926">D1915*E1915</f>
        <v>0</v>
      </c>
      <c r="G1915" s="77">
        <f t="shared" ref="G1915:G1916" si="927">F1915/$H$9</f>
        <v>0</v>
      </c>
      <c r="H1915" s="77">
        <f>F1915*'Date Generale'!$D$58</f>
        <v>0</v>
      </c>
      <c r="I1915" s="77">
        <f t="shared" ref="I1915:I1916" si="928">H1915+F1915</f>
        <v>0</v>
      </c>
      <c r="J1915" s="79">
        <f t="shared" ref="J1915:J1916" si="929">I1915/$H$9</f>
        <v>0</v>
      </c>
    </row>
    <row r="1916" spans="1:10">
      <c r="A1916" s="74">
        <f>A1915+1</f>
        <v>2</v>
      </c>
      <c r="B1916" s="75"/>
      <c r="C1916" s="76" t="str">
        <f>IF(B1916="","",VLOOKUP(B1916,'Lista articole'!$D$4:$E$2255,2,FALSE))</f>
        <v/>
      </c>
      <c r="D1916" s="77">
        <v>0</v>
      </c>
      <c r="E1916" s="78">
        <f>IF(B1916="",0,VLOOKUP(B1916,'Lista articole'!$D$4:$F$2163,3,FALSE))</f>
        <v>0</v>
      </c>
      <c r="F1916" s="77">
        <f t="shared" si="926"/>
        <v>0</v>
      </c>
      <c r="G1916" s="77">
        <f t="shared" si="927"/>
        <v>0</v>
      </c>
      <c r="H1916" s="77">
        <f>F1916*'Date Generale'!$D$58</f>
        <v>0</v>
      </c>
      <c r="I1916" s="77">
        <f t="shared" si="928"/>
        <v>0</v>
      </c>
      <c r="J1916" s="79">
        <f t="shared" si="929"/>
        <v>0</v>
      </c>
    </row>
    <row r="1917" spans="1:10">
      <c r="A1917" s="693" t="s">
        <v>51</v>
      </c>
      <c r="B1917" s="694"/>
      <c r="C1917" s="694"/>
      <c r="D1917" s="694"/>
      <c r="E1917" s="694"/>
      <c r="F1917" s="56">
        <f>SUM(F1918:F1919)</f>
        <v>0</v>
      </c>
      <c r="G1917" s="56">
        <f>SUM(G1918:G1919)</f>
        <v>0</v>
      </c>
      <c r="H1917" s="56">
        <f>SUM(H1918:H1919)</f>
        <v>0</v>
      </c>
      <c r="I1917" s="56">
        <f>SUM(I1918:I1919)</f>
        <v>0</v>
      </c>
      <c r="J1917" s="57">
        <f>SUM(J1918:J1919)</f>
        <v>0</v>
      </c>
    </row>
    <row r="1918" spans="1:10">
      <c r="A1918" s="80">
        <v>1</v>
      </c>
      <c r="B1918" s="81"/>
      <c r="C1918" s="76" t="str">
        <f>IF(B1918="","",VLOOKUP(B1918,'Lista articole'!$D$4:$E$2255,2,FALSE))</f>
        <v/>
      </c>
      <c r="D1918" s="77">
        <v>0</v>
      </c>
      <c r="E1918" s="78">
        <f>IF(B1918="",0,VLOOKUP(B1918,'Lista articole'!$D$4:$F$2163,3,FALSE))</f>
        <v>0</v>
      </c>
      <c r="F1918" s="77">
        <f t="shared" ref="F1918:F1919" si="930">D1918*E1918</f>
        <v>0</v>
      </c>
      <c r="G1918" s="77">
        <f t="shared" ref="G1918:G1919" si="931">F1918/$H$9</f>
        <v>0</v>
      </c>
      <c r="H1918" s="77">
        <f>F1918*'Date Generale'!$D$58</f>
        <v>0</v>
      </c>
      <c r="I1918" s="77">
        <f t="shared" ref="I1918:I1919" si="932">H1918+F1918</f>
        <v>0</v>
      </c>
      <c r="J1918" s="79">
        <f t="shared" ref="J1918:J1919" si="933">I1918/$H$9</f>
        <v>0</v>
      </c>
    </row>
    <row r="1919" spans="1:10">
      <c r="A1919" s="74">
        <f>A1918+1</f>
        <v>2</v>
      </c>
      <c r="B1919" s="75"/>
      <c r="C1919" s="76" t="str">
        <f>IF(B1919="","",VLOOKUP(B1919,'Lista articole'!$D$4:$E$2255,2,FALSE))</f>
        <v/>
      </c>
      <c r="D1919" s="77">
        <v>0</v>
      </c>
      <c r="E1919" s="78">
        <f>IF(B1919="",0,VLOOKUP(B1919,'Lista articole'!$D$4:$F$2163,3,FALSE))</f>
        <v>0</v>
      </c>
      <c r="F1919" s="77">
        <f t="shared" si="930"/>
        <v>0</v>
      </c>
      <c r="G1919" s="77">
        <f t="shared" si="931"/>
        <v>0</v>
      </c>
      <c r="H1919" s="77">
        <f>F1919*'Date Generale'!$D$58</f>
        <v>0</v>
      </c>
      <c r="I1919" s="77">
        <f t="shared" si="932"/>
        <v>0</v>
      </c>
      <c r="J1919" s="79">
        <f t="shared" si="933"/>
        <v>0</v>
      </c>
    </row>
    <row r="1920" spans="1:10">
      <c r="A1920" s="693" t="s">
        <v>52</v>
      </c>
      <c r="B1920" s="694"/>
      <c r="C1920" s="694"/>
      <c r="D1920" s="694"/>
      <c r="E1920" s="694"/>
      <c r="F1920" s="56">
        <f>SUM(F1921:F1922)</f>
        <v>0</v>
      </c>
      <c r="G1920" s="56">
        <f>SUM(G1921:G1922)</f>
        <v>0</v>
      </c>
      <c r="H1920" s="56">
        <f>SUM(H1921:H1922)</f>
        <v>0</v>
      </c>
      <c r="I1920" s="56">
        <f>SUM(I1921:I1922)</f>
        <v>0</v>
      </c>
      <c r="J1920" s="57">
        <f>SUM(J1921:J1922)</f>
        <v>0</v>
      </c>
    </row>
    <row r="1921" spans="1:10">
      <c r="A1921" s="80">
        <v>1</v>
      </c>
      <c r="B1921" s="81"/>
      <c r="C1921" s="76" t="str">
        <f>IF(B1921="","",VLOOKUP(B1921,'Lista articole'!$D$4:$E$2255,2,FALSE))</f>
        <v/>
      </c>
      <c r="D1921" s="77">
        <v>0</v>
      </c>
      <c r="E1921" s="78">
        <f>IF(B1921="",0,VLOOKUP(B1921,'Lista articole'!$D$4:$F$2163,3,FALSE))</f>
        <v>0</v>
      </c>
      <c r="F1921" s="77">
        <f>D1921*E1921</f>
        <v>0</v>
      </c>
      <c r="G1921" s="77">
        <f>F1921/$H$9</f>
        <v>0</v>
      </c>
      <c r="H1921" s="77">
        <f>F1921*'Date Generale'!$D$58</f>
        <v>0</v>
      </c>
      <c r="I1921" s="77">
        <f t="shared" ref="I1921:I1922" si="934">H1921+F1921</f>
        <v>0</v>
      </c>
      <c r="J1921" s="79">
        <f t="shared" ref="J1921:J1922" si="935">I1921/$H$9</f>
        <v>0</v>
      </c>
    </row>
    <row r="1922" spans="1:10">
      <c r="A1922" s="74">
        <f>A1921+1</f>
        <v>2</v>
      </c>
      <c r="B1922" s="75"/>
      <c r="C1922" s="76" t="str">
        <f>IF(B1922="","",VLOOKUP(B1922,'Lista articole'!$D$4:$E$2255,2,FALSE))</f>
        <v/>
      </c>
      <c r="D1922" s="77">
        <v>0</v>
      </c>
      <c r="E1922" s="78">
        <f>IF(B1922="",0,VLOOKUP(B1922,'Lista articole'!$D$4:$F$2163,3,FALSE))</f>
        <v>0</v>
      </c>
      <c r="F1922" s="77">
        <f t="shared" ref="F1922" si="936">D1922*E1922</f>
        <v>0</v>
      </c>
      <c r="G1922" s="77">
        <f t="shared" ref="G1922" si="937">F1922/$H$9</f>
        <v>0</v>
      </c>
      <c r="H1922" s="77">
        <f>F1922*'Date Generale'!$D$58</f>
        <v>0</v>
      </c>
      <c r="I1922" s="77">
        <f t="shared" si="934"/>
        <v>0</v>
      </c>
      <c r="J1922" s="79">
        <f t="shared" si="935"/>
        <v>0</v>
      </c>
    </row>
    <row r="1923" spans="1:10">
      <c r="A1923" s="693" t="s">
        <v>53</v>
      </c>
      <c r="B1923" s="694"/>
      <c r="C1923" s="694"/>
      <c r="D1923" s="694"/>
      <c r="E1923" s="694"/>
      <c r="F1923" s="56">
        <f>SUM(F1924:F1925)</f>
        <v>0</v>
      </c>
      <c r="G1923" s="56">
        <f>SUM(G1924:G1925)</f>
        <v>0</v>
      </c>
      <c r="H1923" s="56">
        <f>SUM(H1924:H1925)</f>
        <v>0</v>
      </c>
      <c r="I1923" s="56">
        <f>SUM(I1924:I1925)</f>
        <v>0</v>
      </c>
      <c r="J1923" s="57">
        <f>SUM(J1924:J1925)</f>
        <v>0</v>
      </c>
    </row>
    <row r="1924" spans="1:10">
      <c r="A1924" s="80">
        <v>1</v>
      </c>
      <c r="B1924" s="81"/>
      <c r="C1924" s="76" t="str">
        <f>IF(B1924="","",VLOOKUP(B1924,'Lista articole'!$D$4:$E$2255,2,FALSE))</f>
        <v/>
      </c>
      <c r="D1924" s="77">
        <v>0</v>
      </c>
      <c r="E1924" s="78">
        <f>IF(B1924="",0,VLOOKUP(B1924,'Lista articole'!$D$4:$F$2163,3,FALSE))</f>
        <v>0</v>
      </c>
      <c r="F1924" s="77">
        <f>D1924*E1924</f>
        <v>0</v>
      </c>
      <c r="G1924" s="77">
        <f>F1924/$H$9</f>
        <v>0</v>
      </c>
      <c r="H1924" s="77">
        <f>F1924*'Date Generale'!$D$58</f>
        <v>0</v>
      </c>
      <c r="I1924" s="77">
        <f t="shared" ref="I1924:I1925" si="938">H1924+F1924</f>
        <v>0</v>
      </c>
      <c r="J1924" s="79">
        <f t="shared" ref="J1924:J1925" si="939">I1924/$H$9</f>
        <v>0</v>
      </c>
    </row>
    <row r="1925" spans="1:10" ht="15.75" thickBot="1">
      <c r="A1925" s="139">
        <f>A1924+1</f>
        <v>2</v>
      </c>
      <c r="B1925" s="140"/>
      <c r="C1925" s="141" t="str">
        <f>IF(B1925="","",VLOOKUP(B1925,'Lista articole'!$D$4:$E$2255,2,FALSE))</f>
        <v/>
      </c>
      <c r="D1925" s="142">
        <v>0</v>
      </c>
      <c r="E1925" s="143">
        <f>IF(B1925="",0,VLOOKUP(B1925,'Lista articole'!$D$4:$F$2163,3,FALSE))</f>
        <v>0</v>
      </c>
      <c r="F1925" s="142">
        <f t="shared" ref="F1925" si="940">D1925*E1925</f>
        <v>0</v>
      </c>
      <c r="G1925" s="142">
        <f t="shared" ref="G1925" si="941">F1925/$H$9</f>
        <v>0</v>
      </c>
      <c r="H1925" s="142">
        <f>F1925*'Date Generale'!$D$58</f>
        <v>0</v>
      </c>
      <c r="I1925" s="142">
        <f t="shared" si="938"/>
        <v>0</v>
      </c>
      <c r="J1925" s="144">
        <f t="shared" si="939"/>
        <v>0</v>
      </c>
    </row>
    <row r="1926" spans="1:10" ht="15.75" thickBot="1">
      <c r="A1926" s="685" t="s">
        <v>27</v>
      </c>
      <c r="B1926" s="686"/>
      <c r="C1926" s="686"/>
      <c r="D1926" s="686"/>
      <c r="E1926" s="686"/>
      <c r="F1926" s="82">
        <f>SUM(F1890,F1893,F1896,F1899,F1914,F1917,F1920,F1923)</f>
        <v>0</v>
      </c>
      <c r="G1926" s="82">
        <f>SUM(G1890,G1893,G1896,G1899,G1914,G1917,G1920,G1923)</f>
        <v>0</v>
      </c>
      <c r="H1926" s="82">
        <f>SUM(H1890,H1893,H1896,H1899,H1914,H1917,H1920,H1923)</f>
        <v>0</v>
      </c>
      <c r="I1926" s="82">
        <f>SUM(I1890,I1893,I1896,I1899,I1914,I1917,I1920,I1923)</f>
        <v>0</v>
      </c>
      <c r="J1926" s="83">
        <f>SUM(J1890,J1893,J1896,J1899,J1914,J1917,J1920,J1923)</f>
        <v>0</v>
      </c>
    </row>
    <row r="1927" spans="1:10" ht="15.75" thickBot="1">
      <c r="A1927" s="683" t="s">
        <v>28</v>
      </c>
      <c r="B1927" s="684"/>
      <c r="C1927" s="684"/>
      <c r="D1927" s="684"/>
      <c r="E1927" s="684"/>
      <c r="F1927" s="72"/>
      <c r="G1927" s="72"/>
      <c r="H1927" s="72"/>
      <c r="I1927" s="72"/>
      <c r="J1927" s="73"/>
    </row>
    <row r="1928" spans="1:10">
      <c r="A1928" s="145"/>
      <c r="B1928" s="695" t="s">
        <v>29</v>
      </c>
      <c r="C1928" s="695"/>
      <c r="D1928" s="695"/>
      <c r="E1928" s="695"/>
      <c r="F1928" s="146">
        <f>SUM(F1929:F1930)</f>
        <v>0</v>
      </c>
      <c r="G1928" s="146">
        <f>SUM(G1929:G1930)</f>
        <v>0</v>
      </c>
      <c r="H1928" s="146">
        <f>SUM(H1929:H1930)</f>
        <v>0</v>
      </c>
      <c r="I1928" s="146">
        <f>SUM(I1929:I1930)</f>
        <v>0</v>
      </c>
      <c r="J1928" s="147">
        <f>SUM(J1929:J1930)</f>
        <v>0</v>
      </c>
    </row>
    <row r="1929" spans="1:10">
      <c r="A1929" s="80">
        <v>1</v>
      </c>
      <c r="B1929" s="81"/>
      <c r="C1929" s="76" t="str">
        <f>IF(B1929="","",VLOOKUP(B1929,'Lista articole'!$D$4:$E$2255,2,FALSE))</f>
        <v/>
      </c>
      <c r="D1929" s="77">
        <v>0</v>
      </c>
      <c r="E1929" s="78">
        <f>IF(B1929="",0,VLOOKUP(B1929,'Lista articole'!$D$4:$F$2163,3,FALSE))</f>
        <v>0</v>
      </c>
      <c r="F1929" s="77">
        <f>D1929*E1929</f>
        <v>0</v>
      </c>
      <c r="G1929" s="77">
        <f>F1929/$H$9</f>
        <v>0</v>
      </c>
      <c r="H1929" s="77">
        <f>F1929*'Date Generale'!$D$58</f>
        <v>0</v>
      </c>
      <c r="I1929" s="77">
        <f t="shared" ref="I1929:I1930" si="942">H1929+F1929</f>
        <v>0</v>
      </c>
      <c r="J1929" s="79">
        <f t="shared" ref="J1929:J1930" si="943">I1929/$H$9</f>
        <v>0</v>
      </c>
    </row>
    <row r="1930" spans="1:10" ht="15.75" thickBot="1">
      <c r="A1930" s="139">
        <f>A1929+1</f>
        <v>2</v>
      </c>
      <c r="B1930" s="140"/>
      <c r="C1930" s="141" t="str">
        <f>IF(B1930="","",VLOOKUP(B1930,'Lista articole'!$D$4:$E$2255,2,FALSE))</f>
        <v/>
      </c>
      <c r="D1930" s="142">
        <v>0</v>
      </c>
      <c r="E1930" s="143">
        <f>IF(B1930="",0,VLOOKUP(B1930,'Lista articole'!$D$4:$F$2163,3,FALSE))</f>
        <v>0</v>
      </c>
      <c r="F1930" s="142">
        <f t="shared" ref="F1930" si="944">D1930*E1930</f>
        <v>0</v>
      </c>
      <c r="G1930" s="142">
        <f t="shared" ref="G1930" si="945">F1930/$H$9</f>
        <v>0</v>
      </c>
      <c r="H1930" s="142">
        <f>F1930*'Date Generale'!$D$58</f>
        <v>0</v>
      </c>
      <c r="I1930" s="142">
        <f t="shared" si="942"/>
        <v>0</v>
      </c>
      <c r="J1930" s="144">
        <f t="shared" si="943"/>
        <v>0</v>
      </c>
    </row>
    <row r="1931" spans="1:10" ht="15.75" thickBot="1">
      <c r="A1931" s="685" t="s">
        <v>30</v>
      </c>
      <c r="B1931" s="686"/>
      <c r="C1931" s="686"/>
      <c r="D1931" s="686"/>
      <c r="E1931" s="686"/>
      <c r="F1931" s="85">
        <f>F1928</f>
        <v>0</v>
      </c>
      <c r="G1931" s="85">
        <f>G1928</f>
        <v>0</v>
      </c>
      <c r="H1931" s="85">
        <f>H1928</f>
        <v>0</v>
      </c>
      <c r="I1931" s="85">
        <f>I1928</f>
        <v>0</v>
      </c>
      <c r="J1931" s="86">
        <f>J1928</f>
        <v>0</v>
      </c>
    </row>
    <row r="1932" spans="1:10" ht="15.75" thickBot="1">
      <c r="A1932" s="683" t="s">
        <v>31</v>
      </c>
      <c r="B1932" s="684"/>
      <c r="C1932" s="684"/>
      <c r="D1932" s="684"/>
      <c r="E1932" s="684"/>
      <c r="F1932" s="72"/>
      <c r="G1932" s="72"/>
      <c r="H1932" s="72"/>
      <c r="I1932" s="72"/>
      <c r="J1932" s="73"/>
    </row>
    <row r="1933" spans="1:10">
      <c r="A1933" s="145"/>
      <c r="B1933" s="695" t="s">
        <v>32</v>
      </c>
      <c r="C1933" s="695"/>
      <c r="D1933" s="695"/>
      <c r="E1933" s="695"/>
      <c r="F1933" s="148">
        <f>SUM(F1934:F1935)</f>
        <v>0</v>
      </c>
      <c r="G1933" s="148">
        <f>SUM(G1934:G1935)</f>
        <v>0</v>
      </c>
      <c r="H1933" s="148">
        <f>SUM(H1934:H1935)</f>
        <v>0</v>
      </c>
      <c r="I1933" s="148">
        <f>SUM(I1934:I1935)</f>
        <v>0</v>
      </c>
      <c r="J1933" s="149">
        <f>SUM(J1934:J1935)</f>
        <v>0</v>
      </c>
    </row>
    <row r="1934" spans="1:10">
      <c r="A1934" s="80">
        <v>1</v>
      </c>
      <c r="B1934" s="81"/>
      <c r="C1934" s="76" t="str">
        <f>IF(B1934="","",VLOOKUP(B1934,'Lista articole'!$D$4:$E$2255,2,FALSE))</f>
        <v/>
      </c>
      <c r="D1934" s="77">
        <v>0</v>
      </c>
      <c r="E1934" s="78">
        <f>IF(B1934="",0,VLOOKUP(B1934,'Lista articole'!$D$4:$F$2163,3,FALSE))</f>
        <v>0</v>
      </c>
      <c r="F1934" s="77">
        <f>D1934*E1934</f>
        <v>0</v>
      </c>
      <c r="G1934" s="77">
        <f>F1934/$H$9</f>
        <v>0</v>
      </c>
      <c r="H1934" s="77">
        <f>F1934*'Date Generale'!$D$58</f>
        <v>0</v>
      </c>
      <c r="I1934" s="77">
        <f t="shared" ref="I1934:I1935" si="946">H1934+F1934</f>
        <v>0</v>
      </c>
      <c r="J1934" s="79">
        <f t="shared" ref="J1934:J1935" si="947">I1934/$H$9</f>
        <v>0</v>
      </c>
    </row>
    <row r="1935" spans="1:10">
      <c r="A1935" s="74">
        <f>A1934+1</f>
        <v>2</v>
      </c>
      <c r="B1935" s="75"/>
      <c r="C1935" s="76" t="str">
        <f>IF(B1935="","",VLOOKUP(B1935,'Lista articole'!$D$4:$E$2255,2,FALSE))</f>
        <v/>
      </c>
      <c r="D1935" s="77">
        <v>0</v>
      </c>
      <c r="E1935" s="78">
        <f>IF(B1935="",0,VLOOKUP(B1935,'Lista articole'!$D$4:$F$2163,3,FALSE))</f>
        <v>0</v>
      </c>
      <c r="F1935" s="77">
        <f t="shared" ref="F1935" si="948">D1935*E1935</f>
        <v>0</v>
      </c>
      <c r="G1935" s="77">
        <f t="shared" ref="G1935" si="949">F1935/$H$9</f>
        <v>0</v>
      </c>
      <c r="H1935" s="77">
        <f>F1935*'Date Generale'!$D$58</f>
        <v>0</v>
      </c>
      <c r="I1935" s="77">
        <f t="shared" si="946"/>
        <v>0</v>
      </c>
      <c r="J1935" s="79">
        <f t="shared" si="947"/>
        <v>0</v>
      </c>
    </row>
    <row r="1936" spans="1:10">
      <c r="A1936" s="87"/>
      <c r="B1936" s="696" t="s">
        <v>33</v>
      </c>
      <c r="C1936" s="696"/>
      <c r="D1936" s="696"/>
      <c r="E1936" s="696"/>
      <c r="F1936" s="88">
        <f>SUM(F1937:F1938)</f>
        <v>0</v>
      </c>
      <c r="G1936" s="88">
        <f>SUM(G1937:G1938)</f>
        <v>0</v>
      </c>
      <c r="H1936" s="88">
        <f>SUM(H1937:H1938)</f>
        <v>0</v>
      </c>
      <c r="I1936" s="88">
        <f>SUM(I1937:I1938)</f>
        <v>0</v>
      </c>
      <c r="J1936" s="89">
        <f>SUM(J1937:J1938)</f>
        <v>0</v>
      </c>
    </row>
    <row r="1937" spans="1:11">
      <c r="A1937" s="80">
        <v>1</v>
      </c>
      <c r="B1937" s="81"/>
      <c r="C1937" s="76" t="str">
        <f>IF(B1937="","",VLOOKUP(B1937,'Lista articole'!$D$4:$E$2255,2,FALSE))</f>
        <v/>
      </c>
      <c r="D1937" s="77">
        <v>0</v>
      </c>
      <c r="E1937" s="78">
        <f>IF(B1937="",0,VLOOKUP(B1937,'Lista articole'!$D$4:$F$2163,3,FALSE))</f>
        <v>0</v>
      </c>
      <c r="F1937" s="77">
        <f>D1937*E1937</f>
        <v>0</v>
      </c>
      <c r="G1937" s="77">
        <f>F1937/$H$9</f>
        <v>0</v>
      </c>
      <c r="H1937" s="77">
        <f>F1937*'Date Generale'!$D$58</f>
        <v>0</v>
      </c>
      <c r="I1937" s="77">
        <f t="shared" ref="I1937:I1938" si="950">H1937+F1937</f>
        <v>0</v>
      </c>
      <c r="J1937" s="79">
        <f t="shared" ref="J1937:J1938" si="951">I1937/$H$9</f>
        <v>0</v>
      </c>
    </row>
    <row r="1938" spans="1:11">
      <c r="A1938" s="74">
        <f>A1937+1</f>
        <v>2</v>
      </c>
      <c r="B1938" s="75"/>
      <c r="C1938" s="76" t="str">
        <f>IF(B1938="","",VLOOKUP(B1938,'Lista articole'!$D$4:$E$2255,2,FALSE))</f>
        <v/>
      </c>
      <c r="D1938" s="77">
        <v>0</v>
      </c>
      <c r="E1938" s="78">
        <f>IF(B1938="",0,VLOOKUP(B1938,'Lista articole'!$D$4:$F$2163,3,FALSE))</f>
        <v>0</v>
      </c>
      <c r="F1938" s="77">
        <f t="shared" ref="F1938" si="952">D1938*E1938</f>
        <v>0</v>
      </c>
      <c r="G1938" s="77">
        <f t="shared" ref="G1938" si="953">F1938/$H$9</f>
        <v>0</v>
      </c>
      <c r="H1938" s="77">
        <f>F1938*'Date Generale'!$D$58</f>
        <v>0</v>
      </c>
      <c r="I1938" s="77">
        <f t="shared" si="950"/>
        <v>0</v>
      </c>
      <c r="J1938" s="79">
        <f t="shared" si="951"/>
        <v>0</v>
      </c>
    </row>
    <row r="1939" spans="1:11">
      <c r="A1939" s="87"/>
      <c r="B1939" s="696" t="s">
        <v>34</v>
      </c>
      <c r="C1939" s="696"/>
      <c r="D1939" s="696"/>
      <c r="E1939" s="696"/>
      <c r="F1939" s="88">
        <f>SUM(F1940:F1941)</f>
        <v>0</v>
      </c>
      <c r="G1939" s="88">
        <f>SUM(G1940:G1941)</f>
        <v>0</v>
      </c>
      <c r="H1939" s="88">
        <f>SUM(H1940:H1941)</f>
        <v>0</v>
      </c>
      <c r="I1939" s="88">
        <f>SUM(I1940:I1941)</f>
        <v>0</v>
      </c>
      <c r="J1939" s="89">
        <f>SUM(J1940:J1941)</f>
        <v>0</v>
      </c>
    </row>
    <row r="1940" spans="1:11">
      <c r="A1940" s="80">
        <v>1</v>
      </c>
      <c r="B1940" s="81"/>
      <c r="C1940" s="76" t="str">
        <f>IF(B1940="","",VLOOKUP(B1940,'Lista articole'!$D$4:$E$2255,2,FALSE))</f>
        <v/>
      </c>
      <c r="D1940" s="77">
        <v>0</v>
      </c>
      <c r="E1940" s="78">
        <f>IF(B1940="",0,VLOOKUP(B1940,'Lista articole'!$D$4:$F$2163,3,FALSE))</f>
        <v>0</v>
      </c>
      <c r="F1940" s="77">
        <f>D1940*E1940</f>
        <v>0</v>
      </c>
      <c r="G1940" s="77">
        <f>F1940/$H$9</f>
        <v>0</v>
      </c>
      <c r="H1940" s="77">
        <f>F1940*'Date Generale'!$D$58</f>
        <v>0</v>
      </c>
      <c r="I1940" s="77">
        <f t="shared" ref="I1940:I1941" si="954">H1940+F1940</f>
        <v>0</v>
      </c>
      <c r="J1940" s="79">
        <f t="shared" ref="J1940:J1941" si="955">I1940/$H$9</f>
        <v>0</v>
      </c>
    </row>
    <row r="1941" spans="1:11" ht="15.75" thickBot="1">
      <c r="A1941" s="139">
        <f>A1940+1</f>
        <v>2</v>
      </c>
      <c r="B1941" s="140"/>
      <c r="C1941" s="141" t="str">
        <f>IF(B1941="","",VLOOKUP(B1941,'Lista articole'!$D$4:$E$2255,2,FALSE))</f>
        <v/>
      </c>
      <c r="D1941" s="142">
        <v>0</v>
      </c>
      <c r="E1941" s="143">
        <f>IF(B1941="",0,VLOOKUP(B1941,'Lista articole'!$D$4:$F$2163,3,FALSE))</f>
        <v>0</v>
      </c>
      <c r="F1941" s="142">
        <f t="shared" ref="F1941" si="956">D1941*E1941</f>
        <v>0</v>
      </c>
      <c r="G1941" s="142">
        <f t="shared" ref="G1941" si="957">F1941/$H$9</f>
        <v>0</v>
      </c>
      <c r="H1941" s="142">
        <f>F1941*'Date Generale'!$D$58</f>
        <v>0</v>
      </c>
      <c r="I1941" s="142">
        <f t="shared" si="954"/>
        <v>0</v>
      </c>
      <c r="J1941" s="144">
        <f t="shared" si="955"/>
        <v>0</v>
      </c>
    </row>
    <row r="1942" spans="1:11" ht="15.75" thickBot="1">
      <c r="A1942" s="685" t="s">
        <v>35</v>
      </c>
      <c r="B1942" s="686"/>
      <c r="C1942" s="686"/>
      <c r="D1942" s="686"/>
      <c r="E1942" s="686"/>
      <c r="F1942" s="62">
        <f>SUM(F1939,F1936,F1933)</f>
        <v>0</v>
      </c>
      <c r="G1942" s="62">
        <f>SUM(G1939,G1936,G1933)</f>
        <v>0</v>
      </c>
      <c r="H1942" s="62">
        <f>SUM(H1939,H1936,H1933)</f>
        <v>0</v>
      </c>
      <c r="I1942" s="62">
        <f>SUM(I1939,I1936,I1933)</f>
        <v>0</v>
      </c>
      <c r="J1942" s="63">
        <f>SUM(J1939,J1936,J1933)</f>
        <v>0</v>
      </c>
    </row>
    <row r="1943" spans="1:11">
      <c r="A1943" s="38"/>
      <c r="B1943" s="39"/>
      <c r="C1943" s="39"/>
      <c r="D1943" s="39"/>
      <c r="E1943" s="39"/>
      <c r="F1943" s="39"/>
      <c r="G1943" s="39"/>
      <c r="H1943" s="39"/>
      <c r="I1943" s="39"/>
      <c r="J1943" s="39"/>
    </row>
    <row r="1944" spans="1:11">
      <c r="A1944" s="38"/>
      <c r="C1944" s="42"/>
      <c r="D1944" s="42"/>
      <c r="E1944" s="42"/>
      <c r="F1944" s="42"/>
      <c r="G1944" s="42"/>
      <c r="H1944" s="42"/>
      <c r="I1944" s="42"/>
      <c r="J1944" s="42"/>
    </row>
    <row r="1945" spans="1:11" ht="18.75">
      <c r="A1945" s="42"/>
      <c r="B1945" s="90" t="s">
        <v>37</v>
      </c>
      <c r="C1945" s="42"/>
      <c r="D1945" s="42"/>
      <c r="E1945" s="42"/>
      <c r="F1945" s="42"/>
      <c r="G1945" s="42"/>
      <c r="H1945" s="42"/>
      <c r="I1945" s="42"/>
      <c r="J1945" s="42"/>
    </row>
    <row r="1946" spans="1:11" ht="18.75">
      <c r="A1946" s="38"/>
      <c r="B1946" s="90" t="str">
        <f>'Date Generale'!$C$7</f>
        <v>S.C. Tehno Consoulting Solutions S.R.L.</v>
      </c>
      <c r="C1946" s="39"/>
      <c r="D1946" s="39"/>
      <c r="E1946" s="39"/>
      <c r="F1946" s="39"/>
      <c r="G1946" s="39"/>
      <c r="H1946" s="39"/>
      <c r="I1946" s="39"/>
      <c r="J1946" s="39"/>
    </row>
    <row r="1947" spans="1:11">
      <c r="A1947" s="35"/>
      <c r="B1947" s="93"/>
      <c r="C1947" s="94"/>
      <c r="D1947" s="95"/>
      <c r="E1947" s="96"/>
      <c r="F1947" s="96"/>
      <c r="G1947" s="95"/>
      <c r="H1947" s="95"/>
      <c r="I1947" s="95"/>
      <c r="J1947" s="95"/>
    </row>
    <row r="1948" spans="1:11">
      <c r="A1948" s="35"/>
      <c r="B1948" s="93"/>
      <c r="C1948" s="94"/>
      <c r="D1948" s="95"/>
      <c r="E1948" s="96"/>
      <c r="F1948" s="96"/>
      <c r="G1948" s="95"/>
      <c r="H1948" s="95"/>
      <c r="I1948" s="95"/>
      <c r="J1948" s="95"/>
    </row>
    <row r="1949" spans="1:11">
      <c r="A1949" s="35"/>
      <c r="B1949" s="98"/>
      <c r="C1949" s="94"/>
      <c r="D1949" s="95"/>
      <c r="E1949" s="96"/>
      <c r="F1949" s="96"/>
      <c r="G1949" s="95"/>
      <c r="H1949" s="95"/>
      <c r="I1949" s="95"/>
      <c r="J1949" s="95"/>
      <c r="K1949" s="67"/>
    </row>
    <row r="1950" spans="1:11" ht="15.75">
      <c r="A1950" s="41" t="str">
        <f>"Beneficiar: " &amp;'Date Generale'!$C$6</f>
        <v xml:space="preserve">Beneficiar: Judetul Arges </v>
      </c>
      <c r="B1950" s="41"/>
      <c r="C1950" s="42"/>
      <c r="D1950" s="42"/>
      <c r="E1950" s="69"/>
      <c r="F1950" s="42"/>
      <c r="G1950" s="42"/>
      <c r="H1950" s="42"/>
      <c r="I1950" s="42"/>
      <c r="J1950" s="42"/>
    </row>
    <row r="1951" spans="1:11" ht="15.75">
      <c r="A1951" s="41" t="str">
        <f>"Denumire proiect: " &amp; 'Date Generale'!$C$3</f>
        <v>Denumire proiect: Modernizare DJ 703B Serbanesti (DJ659) - Silistea, km 70+410 - 77+826, 7.416km, in comunele Rociu si Cateasca</v>
      </c>
      <c r="B1951" s="41"/>
      <c r="C1951" s="44"/>
      <c r="D1951" s="44"/>
      <c r="E1951" s="44"/>
      <c r="F1951" s="44"/>
      <c r="G1951" s="44"/>
      <c r="H1951" s="44"/>
      <c r="I1951" s="44"/>
      <c r="J1951" s="44"/>
    </row>
    <row r="1952" spans="1:11" ht="15.75">
      <c r="A1952" s="41"/>
      <c r="B1952" s="41"/>
      <c r="C1952" s="44"/>
      <c r="D1952" s="44"/>
      <c r="E1952" s="44"/>
      <c r="F1952" s="44"/>
      <c r="G1952" s="44"/>
      <c r="H1952" s="44"/>
      <c r="I1952" s="44"/>
      <c r="J1952" s="44"/>
    </row>
    <row r="1953" spans="1:10" ht="15.75">
      <c r="A1953" s="41" t="str">
        <f>'Date Generale'!$E$86</f>
        <v>Obiect 026:0</v>
      </c>
      <c r="B1953" s="41"/>
      <c r="C1953" s="44"/>
      <c r="D1953" s="44"/>
      <c r="E1953" s="44"/>
      <c r="F1953" s="44"/>
      <c r="G1953" s="44"/>
      <c r="H1953" s="44"/>
      <c r="I1953" s="44"/>
      <c r="J1953" s="44"/>
    </row>
    <row r="1954" spans="1:10" ht="15.75">
      <c r="A1954" s="70"/>
      <c r="B1954" s="44"/>
      <c r="C1954" s="44"/>
      <c r="D1954" s="44"/>
      <c r="E1954" s="44"/>
      <c r="F1954" s="44"/>
      <c r="G1954" s="44"/>
      <c r="H1954" s="44"/>
      <c r="I1954" s="44"/>
      <c r="J1954" s="44"/>
    </row>
    <row r="1955" spans="1:10">
      <c r="A1955" s="687" t="s">
        <v>38</v>
      </c>
      <c r="B1955" s="687"/>
      <c r="C1955" s="687"/>
      <c r="D1955" s="687"/>
      <c r="E1955" s="687"/>
      <c r="F1955" s="687"/>
      <c r="G1955" s="687"/>
      <c r="H1955" s="687"/>
      <c r="I1955" s="687"/>
      <c r="J1955" s="687"/>
    </row>
    <row r="1956" spans="1:10">
      <c r="A1956" s="371"/>
      <c r="B1956" s="371"/>
      <c r="C1956" s="371"/>
      <c r="D1956" s="371"/>
      <c r="E1956" s="371"/>
      <c r="F1956" s="371"/>
      <c r="G1956" s="371"/>
      <c r="H1956" s="371"/>
      <c r="I1956" s="371"/>
      <c r="J1956" s="371"/>
    </row>
    <row r="1957" spans="1:10" ht="15.75" thickBot="1">
      <c r="A1957" s="42"/>
      <c r="B1957" s="46"/>
      <c r="C1957" s="71"/>
      <c r="D1957" s="71"/>
      <c r="E1957" s="71"/>
      <c r="F1957" s="33"/>
      <c r="G1957" s="47" t="s">
        <v>2</v>
      </c>
      <c r="H1957" s="48">
        <f>'Date Generale'!$C$54</f>
        <v>4.7233000000000001</v>
      </c>
      <c r="I1957" s="49" t="s">
        <v>3</v>
      </c>
      <c r="J1957" s="50" t="str">
        <f>'Date Generale'!$D$54</f>
        <v>21,06,2019</v>
      </c>
    </row>
    <row r="1958" spans="1:10" ht="15.75" thickBot="1">
      <c r="A1958" s="688" t="s">
        <v>4</v>
      </c>
      <c r="B1958" s="688" t="s">
        <v>5</v>
      </c>
      <c r="C1958" s="688" t="s">
        <v>39</v>
      </c>
      <c r="D1958" s="688" t="s">
        <v>40</v>
      </c>
      <c r="E1958" s="688" t="s">
        <v>228</v>
      </c>
      <c r="F1958" s="689" t="s">
        <v>160</v>
      </c>
      <c r="G1958" s="689"/>
      <c r="H1958" s="372" t="s">
        <v>7</v>
      </c>
      <c r="I1958" s="689" t="s">
        <v>159</v>
      </c>
      <c r="J1958" s="689"/>
    </row>
    <row r="1959" spans="1:10" ht="15.75" thickBot="1">
      <c r="A1959" s="688"/>
      <c r="B1959" s="688"/>
      <c r="C1959" s="688"/>
      <c r="D1959" s="688"/>
      <c r="E1959" s="688"/>
      <c r="F1959" s="51" t="s">
        <v>9</v>
      </c>
      <c r="G1959" s="51" t="s">
        <v>10</v>
      </c>
      <c r="H1959" s="51" t="s">
        <v>9</v>
      </c>
      <c r="I1959" s="51" t="s">
        <v>9</v>
      </c>
      <c r="J1959" s="51" t="s">
        <v>10</v>
      </c>
    </row>
    <row r="1960" spans="1:10" ht="15.75" thickBot="1">
      <c r="A1960" s="3">
        <v>1</v>
      </c>
      <c r="B1960" s="1">
        <v>2</v>
      </c>
      <c r="C1960" s="1">
        <v>3</v>
      </c>
      <c r="D1960" s="1">
        <v>4</v>
      </c>
      <c r="E1960" s="1">
        <v>5</v>
      </c>
      <c r="F1960" s="1">
        <v>6</v>
      </c>
      <c r="G1960" s="1">
        <v>7</v>
      </c>
      <c r="H1960" s="1">
        <v>8</v>
      </c>
      <c r="I1960" s="1">
        <v>9</v>
      </c>
      <c r="J1960" s="1">
        <v>10</v>
      </c>
    </row>
    <row r="1961" spans="1:10" ht="15.75" thickBot="1">
      <c r="A1961" s="683" t="s">
        <v>11</v>
      </c>
      <c r="B1961" s="684"/>
      <c r="C1961" s="684"/>
      <c r="D1961" s="684"/>
      <c r="E1961" s="684"/>
      <c r="F1961" s="72"/>
      <c r="G1961" s="72"/>
      <c r="H1961" s="72"/>
      <c r="I1961" s="72"/>
      <c r="J1961" s="73"/>
    </row>
    <row r="1962" spans="1:10">
      <c r="A1962" s="691" t="s">
        <v>41</v>
      </c>
      <c r="B1962" s="692"/>
      <c r="C1962" s="692"/>
      <c r="D1962" s="692"/>
      <c r="E1962" s="692"/>
      <c r="F1962" s="137">
        <f>SUM(F1963:F1964)</f>
        <v>0</v>
      </c>
      <c r="G1962" s="137">
        <f>SUM(G1963:G1964)</f>
        <v>0</v>
      </c>
      <c r="H1962" s="137">
        <f>SUM(H1963:H1964)</f>
        <v>0</v>
      </c>
      <c r="I1962" s="137">
        <f>SUM(I1963:I1964)</f>
        <v>0</v>
      </c>
      <c r="J1962" s="138">
        <f>SUM(J1963:J1964)</f>
        <v>0</v>
      </c>
    </row>
    <row r="1963" spans="1:10">
      <c r="A1963" s="74">
        <v>1</v>
      </c>
      <c r="B1963" s="75"/>
      <c r="C1963" s="76" t="str">
        <f>IF(B1963="","",VLOOKUP(B1963,'Lista articole'!$D$4:$E$2255,2,FALSE))</f>
        <v/>
      </c>
      <c r="D1963" s="77">
        <v>0</v>
      </c>
      <c r="E1963" s="78">
        <f>IF(B1963="",0,VLOOKUP(B1963,'Lista articole'!$D$4:$F$2163,3,FALSE))</f>
        <v>0</v>
      </c>
      <c r="F1963" s="77">
        <f>D1963*E1963</f>
        <v>0</v>
      </c>
      <c r="G1963" s="77">
        <f t="shared" ref="G1963:G1964" si="958">F1963/$H$9</f>
        <v>0</v>
      </c>
      <c r="H1963" s="77">
        <f>F1963*'Date Generale'!$D$58</f>
        <v>0</v>
      </c>
      <c r="I1963" s="77">
        <f>H1963+F1963</f>
        <v>0</v>
      </c>
      <c r="J1963" s="79">
        <f>I1963/$H$9</f>
        <v>0</v>
      </c>
    </row>
    <row r="1964" spans="1:10">
      <c r="A1964" s="74">
        <v>2</v>
      </c>
      <c r="B1964" s="75"/>
      <c r="C1964" s="76" t="str">
        <f>IF(B1964="","",VLOOKUP(B1964,'Lista articole'!$D$4:$E$2255,2,FALSE))</f>
        <v/>
      </c>
      <c r="D1964" s="77">
        <v>0</v>
      </c>
      <c r="E1964" s="78">
        <f>IF(B1964="",0,VLOOKUP(B1964,'Lista articole'!$D$4:$F$2163,3,FALSE))</f>
        <v>0</v>
      </c>
      <c r="F1964" s="77">
        <f>D1964*E1964</f>
        <v>0</v>
      </c>
      <c r="G1964" s="77">
        <f t="shared" si="958"/>
        <v>0</v>
      </c>
      <c r="H1964" s="77">
        <f>F1964*'Date Generale'!$D$58</f>
        <v>0</v>
      </c>
      <c r="I1964" s="77">
        <f>H1964+F1964</f>
        <v>0</v>
      </c>
      <c r="J1964" s="79">
        <f>I1964/$H$9</f>
        <v>0</v>
      </c>
    </row>
    <row r="1965" spans="1:10">
      <c r="A1965" s="693" t="s">
        <v>44</v>
      </c>
      <c r="B1965" s="694"/>
      <c r="C1965" s="694"/>
      <c r="D1965" s="694"/>
      <c r="E1965" s="694"/>
      <c r="F1965" s="56">
        <f>SUM(F1966:F1967)</f>
        <v>0</v>
      </c>
      <c r="G1965" s="56">
        <f>SUM(G1966:G1967)</f>
        <v>0</v>
      </c>
      <c r="H1965" s="56">
        <f>SUM(H1966:H1967)</f>
        <v>0</v>
      </c>
      <c r="I1965" s="56">
        <f>SUM(I1966:I1967)</f>
        <v>0</v>
      </c>
      <c r="J1965" s="57">
        <f>SUM(J1966:J1967)</f>
        <v>0</v>
      </c>
    </row>
    <row r="1966" spans="1:10">
      <c r="A1966" s="80">
        <v>1</v>
      </c>
      <c r="B1966" s="81"/>
      <c r="C1966" s="76" t="str">
        <f>IF(B1966="","",VLOOKUP(B1966,'Lista articole'!$D$4:$E$2255,2,FALSE))</f>
        <v/>
      </c>
      <c r="D1966" s="77">
        <v>0</v>
      </c>
      <c r="E1966" s="78">
        <f>IF(B1966="",0,VLOOKUP(B1966,'Lista articole'!$D$4:$F$2163,3,FALSE))</f>
        <v>0</v>
      </c>
      <c r="F1966" s="77">
        <f t="shared" ref="F1966:F1967" si="959">D1966*E1966</f>
        <v>0</v>
      </c>
      <c r="G1966" s="77">
        <f t="shared" ref="G1966:G1967" si="960">F1966/$H$9</f>
        <v>0</v>
      </c>
      <c r="H1966" s="77">
        <f>F1966*'Date Generale'!$D$58</f>
        <v>0</v>
      </c>
      <c r="I1966" s="77">
        <f t="shared" ref="I1966:I1967" si="961">H1966+F1966</f>
        <v>0</v>
      </c>
      <c r="J1966" s="79">
        <f t="shared" ref="J1966:J1967" si="962">I1966/$H$9</f>
        <v>0</v>
      </c>
    </row>
    <row r="1967" spans="1:10">
      <c r="A1967" s="80">
        <f t="shared" ref="A1967" si="963">A1966+1</f>
        <v>2</v>
      </c>
      <c r="B1967" s="81"/>
      <c r="C1967" s="76" t="str">
        <f>IF(B1967="","",VLOOKUP(B1967,'Lista articole'!$D$4:$E$2255,2,FALSE))</f>
        <v/>
      </c>
      <c r="D1967" s="77">
        <v>0</v>
      </c>
      <c r="E1967" s="78">
        <f>IF(B1967="",0,VLOOKUP(B1967,'Lista articole'!$D$4:$F$2163,3,FALSE))</f>
        <v>0</v>
      </c>
      <c r="F1967" s="77">
        <f t="shared" si="959"/>
        <v>0</v>
      </c>
      <c r="G1967" s="77">
        <f t="shared" si="960"/>
        <v>0</v>
      </c>
      <c r="H1967" s="77">
        <f>F1967*'Date Generale'!$D$58</f>
        <v>0</v>
      </c>
      <c r="I1967" s="77">
        <f t="shared" si="961"/>
        <v>0</v>
      </c>
      <c r="J1967" s="79">
        <f t="shared" si="962"/>
        <v>0</v>
      </c>
    </row>
    <row r="1968" spans="1:10">
      <c r="A1968" s="693" t="s">
        <v>45</v>
      </c>
      <c r="B1968" s="694"/>
      <c r="C1968" s="694"/>
      <c r="D1968" s="694"/>
      <c r="E1968" s="694"/>
      <c r="F1968" s="56">
        <f>SUM(F1969:F1970)</f>
        <v>0</v>
      </c>
      <c r="G1968" s="56">
        <f>SUM(G1969:G1970)</f>
        <v>0</v>
      </c>
      <c r="H1968" s="56">
        <f>SUM(H1969:H1970)</f>
        <v>0</v>
      </c>
      <c r="I1968" s="56">
        <f>SUM(I1969:I1970)</f>
        <v>0</v>
      </c>
      <c r="J1968" s="57">
        <f>SUM(J1969:J1970)</f>
        <v>0</v>
      </c>
    </row>
    <row r="1969" spans="1:14">
      <c r="A1969" s="80">
        <v>1</v>
      </c>
      <c r="B1969" s="81"/>
      <c r="C1969" s="76" t="str">
        <f>IF(B1969="","",VLOOKUP(B1969,'Lista articole'!$D$4:$E$2255,2,FALSE))</f>
        <v/>
      </c>
      <c r="D1969" s="77">
        <v>0</v>
      </c>
      <c r="E1969" s="78">
        <f>IF(B1969="",0,VLOOKUP(B1969,'Lista articole'!$D$4:$F$2163,3,FALSE))</f>
        <v>0</v>
      </c>
      <c r="F1969" s="77">
        <f t="shared" ref="F1969:F1970" si="964">D1969*E1969</f>
        <v>0</v>
      </c>
      <c r="G1969" s="77">
        <f t="shared" ref="G1969:G1970" si="965">F1969/$H$9</f>
        <v>0</v>
      </c>
      <c r="H1969" s="77">
        <f>F1969*'Date Generale'!$D$58</f>
        <v>0</v>
      </c>
      <c r="I1969" s="77">
        <f t="shared" ref="I1969:I1970" si="966">H1969+F1969</f>
        <v>0</v>
      </c>
      <c r="J1969" s="79">
        <f t="shared" ref="J1969:J1970" si="967">I1969/$H$9</f>
        <v>0</v>
      </c>
    </row>
    <row r="1970" spans="1:14">
      <c r="A1970" s="80">
        <v>2</v>
      </c>
      <c r="B1970" s="81"/>
      <c r="C1970" s="76" t="str">
        <f>IF(B1970="","",VLOOKUP(B1970,'Lista articole'!$D$4:$E$2255,2,FALSE))</f>
        <v/>
      </c>
      <c r="D1970" s="77">
        <v>0</v>
      </c>
      <c r="E1970" s="78">
        <f>IF(B1970="",0,VLOOKUP(B1970,'Lista articole'!$D$4:$F$2163,3,FALSE))</f>
        <v>0</v>
      </c>
      <c r="F1970" s="77">
        <f t="shared" si="964"/>
        <v>0</v>
      </c>
      <c r="G1970" s="77">
        <f t="shared" si="965"/>
        <v>0</v>
      </c>
      <c r="H1970" s="77">
        <f>F1970*'Date Generale'!$D$58</f>
        <v>0</v>
      </c>
      <c r="I1970" s="77">
        <f t="shared" si="966"/>
        <v>0</v>
      </c>
      <c r="J1970" s="79">
        <f t="shared" si="967"/>
        <v>0</v>
      </c>
    </row>
    <row r="1971" spans="1:14">
      <c r="A1971" s="693" t="s">
        <v>46</v>
      </c>
      <c r="B1971" s="694"/>
      <c r="C1971" s="694"/>
      <c r="D1971" s="694"/>
      <c r="E1971" s="694"/>
      <c r="F1971" s="56">
        <f>SUM(F1972:F1985)</f>
        <v>0</v>
      </c>
      <c r="G1971" s="56">
        <f>SUM(G1972:G1985)</f>
        <v>0</v>
      </c>
      <c r="H1971" s="56">
        <f>SUM(H1972:H1985)</f>
        <v>0</v>
      </c>
      <c r="I1971" s="56">
        <f>SUM(I1972:I1985)</f>
        <v>0</v>
      </c>
      <c r="J1971" s="57">
        <f>SUM(J1972:J1985)</f>
        <v>0</v>
      </c>
    </row>
    <row r="1972" spans="1:14">
      <c r="A1972" s="80">
        <v>1</v>
      </c>
      <c r="B1972" s="81"/>
      <c r="C1972" s="76" t="str">
        <f>IF(B1972="","",VLOOKUP(B1972,'Lista articole'!$D$4:$E$2255,2,FALSE))</f>
        <v/>
      </c>
      <c r="D1972" s="77">
        <v>0</v>
      </c>
      <c r="E1972" s="78">
        <f>IF(B1972="",0,VLOOKUP(B1972,'Lista articole'!$D$4:$F$2163,3,FALSE))</f>
        <v>0</v>
      </c>
      <c r="F1972" s="77">
        <f t="shared" ref="F1972:F1985" si="968">D1972*E1972</f>
        <v>0</v>
      </c>
      <c r="G1972" s="77">
        <f t="shared" ref="G1972:G1985" si="969">F1972/$H$9</f>
        <v>0</v>
      </c>
      <c r="H1972" s="77">
        <f>F1972*'Date Generale'!$D$58</f>
        <v>0</v>
      </c>
      <c r="I1972" s="77">
        <f t="shared" ref="I1972:I1985" si="970">H1972+F1972</f>
        <v>0</v>
      </c>
      <c r="J1972" s="79">
        <f t="shared" ref="J1972:J1985" si="971">I1972/$H$9</f>
        <v>0</v>
      </c>
      <c r="N1972" s="388"/>
    </row>
    <row r="1973" spans="1:14">
      <c r="A1973" s="80">
        <v>2</v>
      </c>
      <c r="B1973" s="81"/>
      <c r="C1973" s="76" t="str">
        <f>IF(B1973="","",VLOOKUP(B1973,'Lista articole'!$D$4:$E$2255,2,FALSE))</f>
        <v/>
      </c>
      <c r="D1973" s="77">
        <v>0</v>
      </c>
      <c r="E1973" s="78">
        <f>IF(B1973="",0,VLOOKUP(B1973,'Lista articole'!$D$4:$F$2163,3,FALSE))</f>
        <v>0</v>
      </c>
      <c r="F1973" s="77">
        <f t="shared" si="968"/>
        <v>0</v>
      </c>
      <c r="G1973" s="77">
        <f t="shared" si="969"/>
        <v>0</v>
      </c>
      <c r="H1973" s="77">
        <f>F1973*'Date Generale'!$D$58</f>
        <v>0</v>
      </c>
      <c r="I1973" s="77">
        <f t="shared" si="970"/>
        <v>0</v>
      </c>
      <c r="J1973" s="79">
        <f t="shared" si="971"/>
        <v>0</v>
      </c>
      <c r="N1973" s="388"/>
    </row>
    <row r="1974" spans="1:14">
      <c r="A1974" s="80">
        <v>3</v>
      </c>
      <c r="B1974" s="81"/>
      <c r="C1974" s="76" t="str">
        <f>IF(B1974="","",VLOOKUP(B1974,'Lista articole'!$D$4:$E$2255,2,FALSE))</f>
        <v/>
      </c>
      <c r="D1974" s="77">
        <v>0</v>
      </c>
      <c r="E1974" s="78">
        <f>IF(B1974="",0,VLOOKUP(B1974,'Lista articole'!$D$4:$F$2163,3,FALSE))</f>
        <v>0</v>
      </c>
      <c r="F1974" s="77">
        <f t="shared" si="968"/>
        <v>0</v>
      </c>
      <c r="G1974" s="77">
        <f t="shared" si="969"/>
        <v>0</v>
      </c>
      <c r="H1974" s="77">
        <f>F1974*'Date Generale'!$D$58</f>
        <v>0</v>
      </c>
      <c r="I1974" s="77">
        <f t="shared" si="970"/>
        <v>0</v>
      </c>
      <c r="J1974" s="79">
        <f t="shared" si="971"/>
        <v>0</v>
      </c>
      <c r="N1974" s="388"/>
    </row>
    <row r="1975" spans="1:14">
      <c r="A1975" s="80">
        <v>4</v>
      </c>
      <c r="B1975" s="81"/>
      <c r="C1975" s="76" t="str">
        <f>IF(B1975="","",VLOOKUP(B1975,'Lista articole'!$D$4:$E$2255,2,FALSE))</f>
        <v/>
      </c>
      <c r="D1975" s="77">
        <v>0</v>
      </c>
      <c r="E1975" s="78">
        <f>IF(B1975="",0,VLOOKUP(B1975,'Lista articole'!$D$4:$F$2163,3,FALSE))</f>
        <v>0</v>
      </c>
      <c r="F1975" s="77">
        <f t="shared" si="968"/>
        <v>0</v>
      </c>
      <c r="G1975" s="77">
        <f t="shared" si="969"/>
        <v>0</v>
      </c>
      <c r="H1975" s="77">
        <f>F1975*'Date Generale'!$D$58</f>
        <v>0</v>
      </c>
      <c r="I1975" s="77">
        <f t="shared" si="970"/>
        <v>0</v>
      </c>
      <c r="J1975" s="79">
        <f t="shared" si="971"/>
        <v>0</v>
      </c>
      <c r="N1975" s="388"/>
    </row>
    <row r="1976" spans="1:14">
      <c r="A1976" s="80">
        <v>5</v>
      </c>
      <c r="B1976" s="81"/>
      <c r="C1976" s="76" t="str">
        <f>IF(B1976="","",VLOOKUP(B1976,'Lista articole'!$D$4:$E$2255,2,FALSE))</f>
        <v/>
      </c>
      <c r="D1976" s="77">
        <v>0</v>
      </c>
      <c r="E1976" s="78">
        <f>IF(B1976="",0,VLOOKUP(B1976,'Lista articole'!$D$4:$F$2163,3,FALSE))</f>
        <v>0</v>
      </c>
      <c r="F1976" s="77">
        <f t="shared" si="968"/>
        <v>0</v>
      </c>
      <c r="G1976" s="77">
        <f t="shared" si="969"/>
        <v>0</v>
      </c>
      <c r="H1976" s="77">
        <f>F1976*'Date Generale'!$D$58</f>
        <v>0</v>
      </c>
      <c r="I1976" s="77">
        <f t="shared" si="970"/>
        <v>0</v>
      </c>
      <c r="J1976" s="79">
        <f t="shared" si="971"/>
        <v>0</v>
      </c>
      <c r="N1976" s="388"/>
    </row>
    <row r="1977" spans="1:14">
      <c r="A1977" s="80">
        <v>6</v>
      </c>
      <c r="B1977" s="81"/>
      <c r="C1977" s="76" t="str">
        <f>IF(B1977="","",VLOOKUP(B1977,'Lista articole'!$D$4:$E$2255,2,FALSE))</f>
        <v/>
      </c>
      <c r="D1977" s="77">
        <v>0</v>
      </c>
      <c r="E1977" s="78">
        <f>IF(B1977="",0,VLOOKUP(B1977,'Lista articole'!$D$4:$F$2163,3,FALSE))</f>
        <v>0</v>
      </c>
      <c r="F1977" s="77">
        <f t="shared" si="968"/>
        <v>0</v>
      </c>
      <c r="G1977" s="77">
        <f t="shared" si="969"/>
        <v>0</v>
      </c>
      <c r="H1977" s="77">
        <f>F1977*'Date Generale'!$D$58</f>
        <v>0</v>
      </c>
      <c r="I1977" s="77">
        <f t="shared" si="970"/>
        <v>0</v>
      </c>
      <c r="J1977" s="79">
        <f t="shared" si="971"/>
        <v>0</v>
      </c>
      <c r="N1977" s="388"/>
    </row>
    <row r="1978" spans="1:14">
      <c r="A1978" s="80">
        <v>7</v>
      </c>
      <c r="B1978" s="81"/>
      <c r="C1978" s="76" t="str">
        <f>IF(B1978="","",VLOOKUP(B1978,'Lista articole'!$D$4:$E$2255,2,FALSE))</f>
        <v/>
      </c>
      <c r="D1978" s="77">
        <v>0</v>
      </c>
      <c r="E1978" s="78">
        <f>IF(B1978="",0,VLOOKUP(B1978,'Lista articole'!$D$4:$F$2163,3,FALSE))</f>
        <v>0</v>
      </c>
      <c r="F1978" s="77">
        <f t="shared" si="968"/>
        <v>0</v>
      </c>
      <c r="G1978" s="77">
        <f t="shared" si="969"/>
        <v>0</v>
      </c>
      <c r="H1978" s="77">
        <f>F1978*'Date Generale'!$D$58</f>
        <v>0</v>
      </c>
      <c r="I1978" s="77">
        <f t="shared" si="970"/>
        <v>0</v>
      </c>
      <c r="J1978" s="79">
        <f t="shared" si="971"/>
        <v>0</v>
      </c>
      <c r="N1978" s="388"/>
    </row>
    <row r="1979" spans="1:14">
      <c r="A1979" s="80">
        <v>8</v>
      </c>
      <c r="B1979" s="81"/>
      <c r="C1979" s="76" t="str">
        <f>IF(B1979="","",VLOOKUP(B1979,'Lista articole'!$D$4:$E$2255,2,FALSE))</f>
        <v/>
      </c>
      <c r="D1979" s="77">
        <v>0</v>
      </c>
      <c r="E1979" s="78">
        <f>IF(B1979="",0,VLOOKUP(B1979,'Lista articole'!$D$4:$F$2163,3,FALSE))</f>
        <v>0</v>
      </c>
      <c r="F1979" s="77">
        <f t="shared" si="968"/>
        <v>0</v>
      </c>
      <c r="G1979" s="77">
        <f t="shared" si="969"/>
        <v>0</v>
      </c>
      <c r="H1979" s="77">
        <f>F1979*'Date Generale'!$D$58</f>
        <v>0</v>
      </c>
      <c r="I1979" s="77">
        <f t="shared" si="970"/>
        <v>0</v>
      </c>
      <c r="J1979" s="79">
        <f t="shared" si="971"/>
        <v>0</v>
      </c>
    </row>
    <row r="1980" spans="1:14">
      <c r="A1980" s="80">
        <v>9</v>
      </c>
      <c r="B1980" s="81"/>
      <c r="C1980" s="76" t="str">
        <f>IF(B1980="","",VLOOKUP(B1980,'Lista articole'!$D$4:$E$2255,2,FALSE))</f>
        <v/>
      </c>
      <c r="D1980" s="77">
        <v>0</v>
      </c>
      <c r="E1980" s="78">
        <f>IF(B1980="",0,VLOOKUP(B1980,'Lista articole'!$D$4:$F$2163,3,FALSE))</f>
        <v>0</v>
      </c>
      <c r="F1980" s="77">
        <f t="shared" si="968"/>
        <v>0</v>
      </c>
      <c r="G1980" s="77">
        <f t="shared" si="969"/>
        <v>0</v>
      </c>
      <c r="H1980" s="77">
        <f>F1980*'Date Generale'!$D$58</f>
        <v>0</v>
      </c>
      <c r="I1980" s="77">
        <f t="shared" si="970"/>
        <v>0</v>
      </c>
      <c r="J1980" s="79">
        <f t="shared" si="971"/>
        <v>0</v>
      </c>
    </row>
    <row r="1981" spans="1:14">
      <c r="A1981" s="80">
        <v>10</v>
      </c>
      <c r="B1981" s="81"/>
      <c r="C1981" s="76" t="str">
        <f>IF(B1981="","",VLOOKUP(B1981,'Lista articole'!$D$4:$E$2255,2,FALSE))</f>
        <v/>
      </c>
      <c r="D1981" s="77">
        <v>0</v>
      </c>
      <c r="E1981" s="78">
        <f>IF(B1981="",0,VLOOKUP(B1981,'Lista articole'!$D$4:$F$2163,3,FALSE))</f>
        <v>0</v>
      </c>
      <c r="F1981" s="77">
        <f t="shared" si="968"/>
        <v>0</v>
      </c>
      <c r="G1981" s="77">
        <f t="shared" si="969"/>
        <v>0</v>
      </c>
      <c r="H1981" s="77">
        <f>F1981*'Date Generale'!$D$58</f>
        <v>0</v>
      </c>
      <c r="I1981" s="77">
        <f t="shared" si="970"/>
        <v>0</v>
      </c>
      <c r="J1981" s="79">
        <f t="shared" si="971"/>
        <v>0</v>
      </c>
    </row>
    <row r="1982" spans="1:14">
      <c r="A1982" s="80">
        <v>11</v>
      </c>
      <c r="B1982" s="81"/>
      <c r="C1982" s="76" t="str">
        <f>IF(B1982="","",VLOOKUP(B1982,'Lista articole'!$D$4:$E$2255,2,FALSE))</f>
        <v/>
      </c>
      <c r="D1982" s="77">
        <v>0</v>
      </c>
      <c r="E1982" s="78">
        <f>IF(B1982="",0,VLOOKUP(B1982,'Lista articole'!$D$4:$F$2163,3,FALSE))</f>
        <v>0</v>
      </c>
      <c r="F1982" s="77">
        <f t="shared" si="968"/>
        <v>0</v>
      </c>
      <c r="G1982" s="77">
        <f t="shared" si="969"/>
        <v>0</v>
      </c>
      <c r="H1982" s="77">
        <f>F1982*'Date Generale'!$D$58</f>
        <v>0</v>
      </c>
      <c r="I1982" s="77">
        <f t="shared" si="970"/>
        <v>0</v>
      </c>
      <c r="J1982" s="79">
        <f t="shared" si="971"/>
        <v>0</v>
      </c>
    </row>
    <row r="1983" spans="1:14">
      <c r="A1983" s="80">
        <v>12</v>
      </c>
      <c r="B1983" s="81"/>
      <c r="C1983" s="76" t="str">
        <f>IF(B1983="","",VLOOKUP(B1983,'Lista articole'!$D$4:$E$2255,2,FALSE))</f>
        <v/>
      </c>
      <c r="D1983" s="77">
        <v>0</v>
      </c>
      <c r="E1983" s="78">
        <f>IF(B1983="",0,VLOOKUP(B1983,'Lista articole'!$D$4:$F$2163,3,FALSE))</f>
        <v>0</v>
      </c>
      <c r="F1983" s="77">
        <f t="shared" si="968"/>
        <v>0</v>
      </c>
      <c r="G1983" s="77">
        <f t="shared" si="969"/>
        <v>0</v>
      </c>
      <c r="H1983" s="77">
        <f>F1983*'Date Generale'!$D$58</f>
        <v>0</v>
      </c>
      <c r="I1983" s="77">
        <f t="shared" si="970"/>
        <v>0</v>
      </c>
      <c r="J1983" s="79">
        <f t="shared" si="971"/>
        <v>0</v>
      </c>
    </row>
    <row r="1984" spans="1:14">
      <c r="A1984" s="80">
        <v>13</v>
      </c>
      <c r="B1984" s="81"/>
      <c r="C1984" s="76" t="str">
        <f>IF(B1984="","",VLOOKUP(B1984,'Lista articole'!$D$4:$E$2255,2,FALSE))</f>
        <v/>
      </c>
      <c r="D1984" s="77">
        <v>0</v>
      </c>
      <c r="E1984" s="78">
        <f>IF(B1984="",0,VLOOKUP(B1984,'Lista articole'!$D$4:$F$2163,3,FALSE))</f>
        <v>0</v>
      </c>
      <c r="F1984" s="77">
        <f t="shared" si="968"/>
        <v>0</v>
      </c>
      <c r="G1984" s="77">
        <f t="shared" si="969"/>
        <v>0</v>
      </c>
      <c r="H1984" s="77">
        <f>F1984*'Date Generale'!$D$58</f>
        <v>0</v>
      </c>
      <c r="I1984" s="77">
        <f t="shared" si="970"/>
        <v>0</v>
      </c>
      <c r="J1984" s="79">
        <f t="shared" si="971"/>
        <v>0</v>
      </c>
    </row>
    <row r="1985" spans="1:10">
      <c r="A1985" s="80">
        <v>14</v>
      </c>
      <c r="B1985" s="81"/>
      <c r="C1985" s="76" t="str">
        <f>IF(B1985="","",VLOOKUP(B1985,'Lista articole'!$D$4:$E$2255,2,FALSE))</f>
        <v/>
      </c>
      <c r="D1985" s="77">
        <v>0</v>
      </c>
      <c r="E1985" s="78">
        <f>IF(B1985="",0,VLOOKUP(B1985,'Lista articole'!$D$4:$F$2163,3,FALSE))</f>
        <v>0</v>
      </c>
      <c r="F1985" s="77">
        <f t="shared" si="968"/>
        <v>0</v>
      </c>
      <c r="G1985" s="77">
        <f t="shared" si="969"/>
        <v>0</v>
      </c>
      <c r="H1985" s="77">
        <f>F1985*'Date Generale'!$D$58</f>
        <v>0</v>
      </c>
      <c r="I1985" s="77">
        <f t="shared" si="970"/>
        <v>0</v>
      </c>
      <c r="J1985" s="79">
        <f t="shared" si="971"/>
        <v>0</v>
      </c>
    </row>
    <row r="1986" spans="1:10">
      <c r="A1986" s="693" t="s">
        <v>50</v>
      </c>
      <c r="B1986" s="694"/>
      <c r="C1986" s="694"/>
      <c r="D1986" s="694"/>
      <c r="E1986" s="694"/>
      <c r="F1986" s="56">
        <f>SUM(F1987:F1988)</f>
        <v>0</v>
      </c>
      <c r="G1986" s="56">
        <f>SUM(G1987:G1988)</f>
        <v>0</v>
      </c>
      <c r="H1986" s="56">
        <f>SUM(H1987:H1988)</f>
        <v>0</v>
      </c>
      <c r="I1986" s="56">
        <f>SUM(I1987:I1988)</f>
        <v>0</v>
      </c>
      <c r="J1986" s="57">
        <f>SUM(J1987:J1988)</f>
        <v>0</v>
      </c>
    </row>
    <row r="1987" spans="1:10">
      <c r="A1987" s="80">
        <v>1</v>
      </c>
      <c r="B1987" s="81"/>
      <c r="C1987" s="76" t="str">
        <f>IF(B1987="","",VLOOKUP(B1987,'Lista articole'!$D$4:$E$2255,2,FALSE))</f>
        <v/>
      </c>
      <c r="D1987" s="77">
        <v>0</v>
      </c>
      <c r="E1987" s="78">
        <f>IF(B1987="",0,VLOOKUP(B1987,'Lista articole'!$D$4:$F$2163,3,FALSE))</f>
        <v>0</v>
      </c>
      <c r="F1987" s="77">
        <f t="shared" ref="F1987:F1988" si="972">D1987*E1987</f>
        <v>0</v>
      </c>
      <c r="G1987" s="77">
        <f t="shared" ref="G1987:G1988" si="973">F1987/$H$9</f>
        <v>0</v>
      </c>
      <c r="H1987" s="77">
        <f>F1987*'Date Generale'!$D$58</f>
        <v>0</v>
      </c>
      <c r="I1987" s="77">
        <f t="shared" ref="I1987:I1988" si="974">H1987+F1987</f>
        <v>0</v>
      </c>
      <c r="J1987" s="79">
        <f t="shared" ref="J1987:J1988" si="975">I1987/$H$9</f>
        <v>0</v>
      </c>
    </row>
    <row r="1988" spans="1:10">
      <c r="A1988" s="74">
        <f>A1987+1</f>
        <v>2</v>
      </c>
      <c r="B1988" s="75"/>
      <c r="C1988" s="76" t="str">
        <f>IF(B1988="","",VLOOKUP(B1988,'Lista articole'!$D$4:$E$2255,2,FALSE))</f>
        <v/>
      </c>
      <c r="D1988" s="77">
        <v>0</v>
      </c>
      <c r="E1988" s="78">
        <f>IF(B1988="",0,VLOOKUP(B1988,'Lista articole'!$D$4:$F$2163,3,FALSE))</f>
        <v>0</v>
      </c>
      <c r="F1988" s="77">
        <f t="shared" si="972"/>
        <v>0</v>
      </c>
      <c r="G1988" s="77">
        <f t="shared" si="973"/>
        <v>0</v>
      </c>
      <c r="H1988" s="77">
        <f>F1988*'Date Generale'!$D$58</f>
        <v>0</v>
      </c>
      <c r="I1988" s="77">
        <f t="shared" si="974"/>
        <v>0</v>
      </c>
      <c r="J1988" s="79">
        <f t="shared" si="975"/>
        <v>0</v>
      </c>
    </row>
    <row r="1989" spans="1:10">
      <c r="A1989" s="693" t="s">
        <v>51</v>
      </c>
      <c r="B1989" s="694"/>
      <c r="C1989" s="694"/>
      <c r="D1989" s="694"/>
      <c r="E1989" s="694"/>
      <c r="F1989" s="56">
        <f>SUM(F1990:F1991)</f>
        <v>0</v>
      </c>
      <c r="G1989" s="56">
        <f>SUM(G1990:G1991)</f>
        <v>0</v>
      </c>
      <c r="H1989" s="56">
        <f>SUM(H1990:H1991)</f>
        <v>0</v>
      </c>
      <c r="I1989" s="56">
        <f>SUM(I1990:I1991)</f>
        <v>0</v>
      </c>
      <c r="J1989" s="57">
        <f>SUM(J1990:J1991)</f>
        <v>0</v>
      </c>
    </row>
    <row r="1990" spans="1:10">
      <c r="A1990" s="80">
        <v>1</v>
      </c>
      <c r="B1990" s="81"/>
      <c r="C1990" s="76" t="str">
        <f>IF(B1990="","",VLOOKUP(B1990,'Lista articole'!$D$4:$E$2255,2,FALSE))</f>
        <v/>
      </c>
      <c r="D1990" s="77">
        <v>0</v>
      </c>
      <c r="E1990" s="78">
        <f>IF(B1990="",0,VLOOKUP(B1990,'Lista articole'!$D$4:$F$2163,3,FALSE))</f>
        <v>0</v>
      </c>
      <c r="F1990" s="77">
        <f t="shared" ref="F1990:F1991" si="976">D1990*E1990</f>
        <v>0</v>
      </c>
      <c r="G1990" s="77">
        <f t="shared" ref="G1990:G1991" si="977">F1990/$H$9</f>
        <v>0</v>
      </c>
      <c r="H1990" s="77">
        <f>F1990*'Date Generale'!$D$58</f>
        <v>0</v>
      </c>
      <c r="I1990" s="77">
        <f t="shared" ref="I1990:I1991" si="978">H1990+F1990</f>
        <v>0</v>
      </c>
      <c r="J1990" s="79">
        <f t="shared" ref="J1990:J1991" si="979">I1990/$H$9</f>
        <v>0</v>
      </c>
    </row>
    <row r="1991" spans="1:10">
      <c r="A1991" s="74">
        <f>A1990+1</f>
        <v>2</v>
      </c>
      <c r="B1991" s="75"/>
      <c r="C1991" s="76" t="str">
        <f>IF(B1991="","",VLOOKUP(B1991,'Lista articole'!$D$4:$E$2255,2,FALSE))</f>
        <v/>
      </c>
      <c r="D1991" s="77">
        <v>0</v>
      </c>
      <c r="E1991" s="78">
        <f>IF(B1991="",0,VLOOKUP(B1991,'Lista articole'!$D$4:$F$2163,3,FALSE))</f>
        <v>0</v>
      </c>
      <c r="F1991" s="77">
        <f t="shared" si="976"/>
        <v>0</v>
      </c>
      <c r="G1991" s="77">
        <f t="shared" si="977"/>
        <v>0</v>
      </c>
      <c r="H1991" s="77">
        <f>F1991*'Date Generale'!$D$58</f>
        <v>0</v>
      </c>
      <c r="I1991" s="77">
        <f t="shared" si="978"/>
        <v>0</v>
      </c>
      <c r="J1991" s="79">
        <f t="shared" si="979"/>
        <v>0</v>
      </c>
    </row>
    <row r="1992" spans="1:10">
      <c r="A1992" s="693" t="s">
        <v>52</v>
      </c>
      <c r="B1992" s="694"/>
      <c r="C1992" s="694"/>
      <c r="D1992" s="694"/>
      <c r="E1992" s="694"/>
      <c r="F1992" s="56">
        <f>SUM(F1993:F1994)</f>
        <v>0</v>
      </c>
      <c r="G1992" s="56">
        <f>SUM(G1993:G1994)</f>
        <v>0</v>
      </c>
      <c r="H1992" s="56">
        <f>SUM(H1993:H1994)</f>
        <v>0</v>
      </c>
      <c r="I1992" s="56">
        <f>SUM(I1993:I1994)</f>
        <v>0</v>
      </c>
      <c r="J1992" s="57">
        <f>SUM(J1993:J1994)</f>
        <v>0</v>
      </c>
    </row>
    <row r="1993" spans="1:10">
      <c r="A1993" s="80">
        <v>1</v>
      </c>
      <c r="B1993" s="81"/>
      <c r="C1993" s="76" t="str">
        <f>IF(B1993="","",VLOOKUP(B1993,'Lista articole'!$D$4:$E$2255,2,FALSE))</f>
        <v/>
      </c>
      <c r="D1993" s="77">
        <v>0</v>
      </c>
      <c r="E1993" s="78">
        <f>IF(B1993="",0,VLOOKUP(B1993,'Lista articole'!$D$4:$F$2163,3,FALSE))</f>
        <v>0</v>
      </c>
      <c r="F1993" s="77">
        <f>D1993*E1993</f>
        <v>0</v>
      </c>
      <c r="G1993" s="77">
        <f>F1993/$H$9</f>
        <v>0</v>
      </c>
      <c r="H1993" s="77">
        <f>F1993*'Date Generale'!$D$58</f>
        <v>0</v>
      </c>
      <c r="I1993" s="77">
        <f t="shared" ref="I1993:I1994" si="980">H1993+F1993</f>
        <v>0</v>
      </c>
      <c r="J1993" s="79">
        <f t="shared" ref="J1993:J1994" si="981">I1993/$H$9</f>
        <v>0</v>
      </c>
    </row>
    <row r="1994" spans="1:10">
      <c r="A1994" s="74">
        <f>A1993+1</f>
        <v>2</v>
      </c>
      <c r="B1994" s="75"/>
      <c r="C1994" s="76" t="str">
        <f>IF(B1994="","",VLOOKUP(B1994,'Lista articole'!$D$4:$E$2255,2,FALSE))</f>
        <v/>
      </c>
      <c r="D1994" s="77">
        <v>0</v>
      </c>
      <c r="E1994" s="78">
        <f>IF(B1994="",0,VLOOKUP(B1994,'Lista articole'!$D$4:$F$2163,3,FALSE))</f>
        <v>0</v>
      </c>
      <c r="F1994" s="77">
        <f t="shared" ref="F1994" si="982">D1994*E1994</f>
        <v>0</v>
      </c>
      <c r="G1994" s="77">
        <f t="shared" ref="G1994" si="983">F1994/$H$9</f>
        <v>0</v>
      </c>
      <c r="H1994" s="77">
        <f>F1994*'Date Generale'!$D$58</f>
        <v>0</v>
      </c>
      <c r="I1994" s="77">
        <f t="shared" si="980"/>
        <v>0</v>
      </c>
      <c r="J1994" s="79">
        <f t="shared" si="981"/>
        <v>0</v>
      </c>
    </row>
    <row r="1995" spans="1:10">
      <c r="A1995" s="693" t="s">
        <v>53</v>
      </c>
      <c r="B1995" s="694"/>
      <c r="C1995" s="694"/>
      <c r="D1995" s="694"/>
      <c r="E1995" s="694"/>
      <c r="F1995" s="56">
        <f>SUM(F1996:F1997)</f>
        <v>0</v>
      </c>
      <c r="G1995" s="56">
        <f>SUM(G1996:G1997)</f>
        <v>0</v>
      </c>
      <c r="H1995" s="56">
        <f>SUM(H1996:H1997)</f>
        <v>0</v>
      </c>
      <c r="I1995" s="56">
        <f>SUM(I1996:I1997)</f>
        <v>0</v>
      </c>
      <c r="J1995" s="57">
        <f>SUM(J1996:J1997)</f>
        <v>0</v>
      </c>
    </row>
    <row r="1996" spans="1:10">
      <c r="A1996" s="80">
        <v>1</v>
      </c>
      <c r="B1996" s="81"/>
      <c r="C1996" s="76" t="str">
        <f>IF(B1996="","",VLOOKUP(B1996,'Lista articole'!$D$4:$E$2255,2,FALSE))</f>
        <v/>
      </c>
      <c r="D1996" s="77">
        <v>0</v>
      </c>
      <c r="E1996" s="78">
        <f>IF(B1996="",0,VLOOKUP(B1996,'Lista articole'!$D$4:$F$2163,3,FALSE))</f>
        <v>0</v>
      </c>
      <c r="F1996" s="77">
        <f>D1996*E1996</f>
        <v>0</v>
      </c>
      <c r="G1996" s="77">
        <f>F1996/$H$9</f>
        <v>0</v>
      </c>
      <c r="H1996" s="77">
        <f>F1996*'Date Generale'!$D$58</f>
        <v>0</v>
      </c>
      <c r="I1996" s="77">
        <f t="shared" ref="I1996:I1997" si="984">H1996+F1996</f>
        <v>0</v>
      </c>
      <c r="J1996" s="79">
        <f t="shared" ref="J1996:J1997" si="985">I1996/$H$9</f>
        <v>0</v>
      </c>
    </row>
    <row r="1997" spans="1:10" ht="15.75" thickBot="1">
      <c r="A1997" s="139">
        <f>A1996+1</f>
        <v>2</v>
      </c>
      <c r="B1997" s="140"/>
      <c r="C1997" s="141" t="str">
        <f>IF(B1997="","",VLOOKUP(B1997,'Lista articole'!$D$4:$E$2255,2,FALSE))</f>
        <v/>
      </c>
      <c r="D1997" s="142">
        <v>0</v>
      </c>
      <c r="E1997" s="143">
        <f>IF(B1997="",0,VLOOKUP(B1997,'Lista articole'!$D$4:$F$2163,3,FALSE))</f>
        <v>0</v>
      </c>
      <c r="F1997" s="142">
        <f t="shared" ref="F1997" si="986">D1997*E1997</f>
        <v>0</v>
      </c>
      <c r="G1997" s="142">
        <f t="shared" ref="G1997" si="987">F1997/$H$9</f>
        <v>0</v>
      </c>
      <c r="H1997" s="142">
        <f>F1997*'Date Generale'!$D$58</f>
        <v>0</v>
      </c>
      <c r="I1997" s="142">
        <f t="shared" si="984"/>
        <v>0</v>
      </c>
      <c r="J1997" s="144">
        <f t="shared" si="985"/>
        <v>0</v>
      </c>
    </row>
    <row r="1998" spans="1:10" ht="15.75" thickBot="1">
      <c r="A1998" s="685" t="s">
        <v>27</v>
      </c>
      <c r="B1998" s="686"/>
      <c r="C1998" s="686"/>
      <c r="D1998" s="686"/>
      <c r="E1998" s="686"/>
      <c r="F1998" s="82">
        <f>SUM(F1962,F1965,F1968,F1971,F1986,F1989,F1992,F1995)</f>
        <v>0</v>
      </c>
      <c r="G1998" s="82">
        <f>SUM(G1962,G1965,G1968,G1971,G1986,G1989,G1992,G1995)</f>
        <v>0</v>
      </c>
      <c r="H1998" s="82">
        <f>SUM(H1962,H1965,H1968,H1971,H1986,H1989,H1992,H1995)</f>
        <v>0</v>
      </c>
      <c r="I1998" s="82">
        <f>SUM(I1962,I1965,I1968,I1971,I1986,I1989,I1992,I1995)</f>
        <v>0</v>
      </c>
      <c r="J1998" s="83">
        <f>SUM(J1962,J1965,J1968,J1971,J1986,J1989,J1992,J1995)</f>
        <v>0</v>
      </c>
    </row>
    <row r="1999" spans="1:10" ht="15.75" thickBot="1">
      <c r="A1999" s="683" t="s">
        <v>28</v>
      </c>
      <c r="B1999" s="684"/>
      <c r="C1999" s="684"/>
      <c r="D1999" s="684"/>
      <c r="E1999" s="684"/>
      <c r="F1999" s="72"/>
      <c r="G1999" s="72"/>
      <c r="H1999" s="72"/>
      <c r="I1999" s="72"/>
      <c r="J1999" s="73"/>
    </row>
    <row r="2000" spans="1:10">
      <c r="A2000" s="145"/>
      <c r="B2000" s="695" t="s">
        <v>29</v>
      </c>
      <c r="C2000" s="695"/>
      <c r="D2000" s="695"/>
      <c r="E2000" s="695"/>
      <c r="F2000" s="146">
        <f>SUM(F2001:F2002)</f>
        <v>0</v>
      </c>
      <c r="G2000" s="146">
        <f>SUM(G2001:G2002)</f>
        <v>0</v>
      </c>
      <c r="H2000" s="146">
        <f>SUM(H2001:H2002)</f>
        <v>0</v>
      </c>
      <c r="I2000" s="146">
        <f>SUM(I2001:I2002)</f>
        <v>0</v>
      </c>
      <c r="J2000" s="147">
        <f>SUM(J2001:J2002)</f>
        <v>0</v>
      </c>
    </row>
    <row r="2001" spans="1:10">
      <c r="A2001" s="80">
        <v>1</v>
      </c>
      <c r="B2001" s="81"/>
      <c r="C2001" s="76" t="str">
        <f>IF(B2001="","",VLOOKUP(B2001,'Lista articole'!$D$4:$E$2255,2,FALSE))</f>
        <v/>
      </c>
      <c r="D2001" s="77">
        <v>0</v>
      </c>
      <c r="E2001" s="78">
        <f>IF(B2001="",0,VLOOKUP(B2001,'Lista articole'!$D$4:$F$2163,3,FALSE))</f>
        <v>0</v>
      </c>
      <c r="F2001" s="77">
        <f>D2001*E2001</f>
        <v>0</v>
      </c>
      <c r="G2001" s="77">
        <f>F2001/$H$9</f>
        <v>0</v>
      </c>
      <c r="H2001" s="77">
        <f>F2001*'Date Generale'!$D$58</f>
        <v>0</v>
      </c>
      <c r="I2001" s="77">
        <f t="shared" ref="I2001:I2002" si="988">H2001+F2001</f>
        <v>0</v>
      </c>
      <c r="J2001" s="79">
        <f t="shared" ref="J2001:J2002" si="989">I2001/$H$9</f>
        <v>0</v>
      </c>
    </row>
    <row r="2002" spans="1:10" ht="15.75" thickBot="1">
      <c r="A2002" s="139">
        <f>A2001+1</f>
        <v>2</v>
      </c>
      <c r="B2002" s="140"/>
      <c r="C2002" s="141" t="str">
        <f>IF(B2002="","",VLOOKUP(B2002,'Lista articole'!$D$4:$E$2255,2,FALSE))</f>
        <v/>
      </c>
      <c r="D2002" s="142">
        <v>0</v>
      </c>
      <c r="E2002" s="143">
        <f>IF(B2002="",0,VLOOKUP(B2002,'Lista articole'!$D$4:$F$2163,3,FALSE))</f>
        <v>0</v>
      </c>
      <c r="F2002" s="142">
        <f t="shared" ref="F2002" si="990">D2002*E2002</f>
        <v>0</v>
      </c>
      <c r="G2002" s="142">
        <f t="shared" ref="G2002" si="991">F2002/$H$9</f>
        <v>0</v>
      </c>
      <c r="H2002" s="142">
        <f>F2002*'Date Generale'!$D$58</f>
        <v>0</v>
      </c>
      <c r="I2002" s="142">
        <f t="shared" si="988"/>
        <v>0</v>
      </c>
      <c r="J2002" s="144">
        <f t="shared" si="989"/>
        <v>0</v>
      </c>
    </row>
    <row r="2003" spans="1:10" ht="15.75" thickBot="1">
      <c r="A2003" s="685" t="s">
        <v>30</v>
      </c>
      <c r="B2003" s="686"/>
      <c r="C2003" s="686"/>
      <c r="D2003" s="686"/>
      <c r="E2003" s="686"/>
      <c r="F2003" s="85">
        <f>F2000</f>
        <v>0</v>
      </c>
      <c r="G2003" s="85">
        <f>G2000</f>
        <v>0</v>
      </c>
      <c r="H2003" s="85">
        <f>H2000</f>
        <v>0</v>
      </c>
      <c r="I2003" s="85">
        <f>I2000</f>
        <v>0</v>
      </c>
      <c r="J2003" s="86">
        <f>J2000</f>
        <v>0</v>
      </c>
    </row>
    <row r="2004" spans="1:10" ht="15.75" thickBot="1">
      <c r="A2004" s="683" t="s">
        <v>31</v>
      </c>
      <c r="B2004" s="684"/>
      <c r="C2004" s="684"/>
      <c r="D2004" s="684"/>
      <c r="E2004" s="684"/>
      <c r="F2004" s="72"/>
      <c r="G2004" s="72"/>
      <c r="H2004" s="72"/>
      <c r="I2004" s="72"/>
      <c r="J2004" s="73"/>
    </row>
    <row r="2005" spans="1:10">
      <c r="A2005" s="145"/>
      <c r="B2005" s="695" t="s">
        <v>32</v>
      </c>
      <c r="C2005" s="695"/>
      <c r="D2005" s="695"/>
      <c r="E2005" s="695"/>
      <c r="F2005" s="148">
        <f>SUM(F2006:F2007)</f>
        <v>0</v>
      </c>
      <c r="G2005" s="148">
        <f>SUM(G2006:G2007)</f>
        <v>0</v>
      </c>
      <c r="H2005" s="148">
        <f>SUM(H2006:H2007)</f>
        <v>0</v>
      </c>
      <c r="I2005" s="148">
        <f>SUM(I2006:I2007)</f>
        <v>0</v>
      </c>
      <c r="J2005" s="149">
        <f>SUM(J2006:J2007)</f>
        <v>0</v>
      </c>
    </row>
    <row r="2006" spans="1:10">
      <c r="A2006" s="80">
        <v>1</v>
      </c>
      <c r="B2006" s="81"/>
      <c r="C2006" s="76" t="str">
        <f>IF(B2006="","",VLOOKUP(B2006,'Lista articole'!$D$4:$E$2255,2,FALSE))</f>
        <v/>
      </c>
      <c r="D2006" s="77">
        <v>0</v>
      </c>
      <c r="E2006" s="78">
        <f>IF(B2006="",0,VLOOKUP(B2006,'Lista articole'!$D$4:$F$2163,3,FALSE))</f>
        <v>0</v>
      </c>
      <c r="F2006" s="77">
        <f>D2006*E2006</f>
        <v>0</v>
      </c>
      <c r="G2006" s="77">
        <f>F2006/$H$9</f>
        <v>0</v>
      </c>
      <c r="H2006" s="77">
        <f>F2006*'Date Generale'!$D$58</f>
        <v>0</v>
      </c>
      <c r="I2006" s="77">
        <f t="shared" ref="I2006:I2007" si="992">H2006+F2006</f>
        <v>0</v>
      </c>
      <c r="J2006" s="79">
        <f t="shared" ref="J2006:J2007" si="993">I2006/$H$9</f>
        <v>0</v>
      </c>
    </row>
    <row r="2007" spans="1:10">
      <c r="A2007" s="74">
        <f>A2006+1</f>
        <v>2</v>
      </c>
      <c r="B2007" s="75"/>
      <c r="C2007" s="76" t="str">
        <f>IF(B2007="","",VLOOKUP(B2007,'Lista articole'!$D$4:$E$2255,2,FALSE))</f>
        <v/>
      </c>
      <c r="D2007" s="77">
        <v>0</v>
      </c>
      <c r="E2007" s="78">
        <f>IF(B2007="",0,VLOOKUP(B2007,'Lista articole'!$D$4:$F$2163,3,FALSE))</f>
        <v>0</v>
      </c>
      <c r="F2007" s="77">
        <f t="shared" ref="F2007" si="994">D2007*E2007</f>
        <v>0</v>
      </c>
      <c r="G2007" s="77">
        <f t="shared" ref="G2007" si="995">F2007/$H$9</f>
        <v>0</v>
      </c>
      <c r="H2007" s="77">
        <f>F2007*'Date Generale'!$D$58</f>
        <v>0</v>
      </c>
      <c r="I2007" s="77">
        <f t="shared" si="992"/>
        <v>0</v>
      </c>
      <c r="J2007" s="79">
        <f t="shared" si="993"/>
        <v>0</v>
      </c>
    </row>
    <row r="2008" spans="1:10">
      <c r="A2008" s="87"/>
      <c r="B2008" s="696" t="s">
        <v>33</v>
      </c>
      <c r="C2008" s="696"/>
      <c r="D2008" s="696"/>
      <c r="E2008" s="696"/>
      <c r="F2008" s="88">
        <f>SUM(F2009:F2010)</f>
        <v>0</v>
      </c>
      <c r="G2008" s="88">
        <f>SUM(G2009:G2010)</f>
        <v>0</v>
      </c>
      <c r="H2008" s="88">
        <f>SUM(H2009:H2010)</f>
        <v>0</v>
      </c>
      <c r="I2008" s="88">
        <f>SUM(I2009:I2010)</f>
        <v>0</v>
      </c>
      <c r="J2008" s="89">
        <f>SUM(J2009:J2010)</f>
        <v>0</v>
      </c>
    </row>
    <row r="2009" spans="1:10">
      <c r="A2009" s="80">
        <v>1</v>
      </c>
      <c r="B2009" s="81"/>
      <c r="C2009" s="76" t="str">
        <f>IF(B2009="","",VLOOKUP(B2009,'Lista articole'!$D$4:$E$2255,2,FALSE))</f>
        <v/>
      </c>
      <c r="D2009" s="77">
        <v>0</v>
      </c>
      <c r="E2009" s="78">
        <f>IF(B2009="",0,VLOOKUP(B2009,'Lista articole'!$D$4:$F$2163,3,FALSE))</f>
        <v>0</v>
      </c>
      <c r="F2009" s="77">
        <f>D2009*E2009</f>
        <v>0</v>
      </c>
      <c r="G2009" s="77">
        <f>F2009/$H$9</f>
        <v>0</v>
      </c>
      <c r="H2009" s="77">
        <f>F2009*'Date Generale'!$D$58</f>
        <v>0</v>
      </c>
      <c r="I2009" s="77">
        <f t="shared" ref="I2009:I2010" si="996">H2009+F2009</f>
        <v>0</v>
      </c>
      <c r="J2009" s="79">
        <f t="shared" ref="J2009:J2010" si="997">I2009/$H$9</f>
        <v>0</v>
      </c>
    </row>
    <row r="2010" spans="1:10">
      <c r="A2010" s="74">
        <f>A2009+1</f>
        <v>2</v>
      </c>
      <c r="B2010" s="75"/>
      <c r="C2010" s="76" t="str">
        <f>IF(B2010="","",VLOOKUP(B2010,'Lista articole'!$D$4:$E$2255,2,FALSE))</f>
        <v/>
      </c>
      <c r="D2010" s="77">
        <v>0</v>
      </c>
      <c r="E2010" s="78">
        <f>IF(B2010="",0,VLOOKUP(B2010,'Lista articole'!$D$4:$F$2163,3,FALSE))</f>
        <v>0</v>
      </c>
      <c r="F2010" s="77">
        <f t="shared" ref="F2010" si="998">D2010*E2010</f>
        <v>0</v>
      </c>
      <c r="G2010" s="77">
        <f t="shared" ref="G2010" si="999">F2010/$H$9</f>
        <v>0</v>
      </c>
      <c r="H2010" s="77">
        <f>F2010*'Date Generale'!$D$58</f>
        <v>0</v>
      </c>
      <c r="I2010" s="77">
        <f t="shared" si="996"/>
        <v>0</v>
      </c>
      <c r="J2010" s="79">
        <f t="shared" si="997"/>
        <v>0</v>
      </c>
    </row>
    <row r="2011" spans="1:10">
      <c r="A2011" s="87"/>
      <c r="B2011" s="696" t="s">
        <v>34</v>
      </c>
      <c r="C2011" s="696"/>
      <c r="D2011" s="696"/>
      <c r="E2011" s="696"/>
      <c r="F2011" s="88">
        <f>SUM(F2012:F2013)</f>
        <v>0</v>
      </c>
      <c r="G2011" s="88">
        <f>SUM(G2012:G2013)</f>
        <v>0</v>
      </c>
      <c r="H2011" s="88">
        <f>SUM(H2012:H2013)</f>
        <v>0</v>
      </c>
      <c r="I2011" s="88">
        <f>SUM(I2012:I2013)</f>
        <v>0</v>
      </c>
      <c r="J2011" s="89">
        <f>SUM(J2012:J2013)</f>
        <v>0</v>
      </c>
    </row>
    <row r="2012" spans="1:10">
      <c r="A2012" s="80">
        <v>1</v>
      </c>
      <c r="B2012" s="81"/>
      <c r="C2012" s="76" t="str">
        <f>IF(B2012="","",VLOOKUP(B2012,'Lista articole'!$D$4:$E$2255,2,FALSE))</f>
        <v/>
      </c>
      <c r="D2012" s="77">
        <v>0</v>
      </c>
      <c r="E2012" s="78">
        <f>IF(B2012="",0,VLOOKUP(B2012,'Lista articole'!$D$4:$F$2163,3,FALSE))</f>
        <v>0</v>
      </c>
      <c r="F2012" s="77">
        <f>D2012*E2012</f>
        <v>0</v>
      </c>
      <c r="G2012" s="77">
        <f>F2012/$H$9</f>
        <v>0</v>
      </c>
      <c r="H2012" s="77">
        <f>F2012*'Date Generale'!$D$58</f>
        <v>0</v>
      </c>
      <c r="I2012" s="77">
        <f t="shared" ref="I2012:I2013" si="1000">H2012+F2012</f>
        <v>0</v>
      </c>
      <c r="J2012" s="79">
        <f t="shared" ref="J2012:J2013" si="1001">I2012/$H$9</f>
        <v>0</v>
      </c>
    </row>
    <row r="2013" spans="1:10" ht="15.75" thickBot="1">
      <c r="A2013" s="139">
        <f>A2012+1</f>
        <v>2</v>
      </c>
      <c r="B2013" s="140"/>
      <c r="C2013" s="141" t="str">
        <f>IF(B2013="","",VLOOKUP(B2013,'Lista articole'!$D$4:$E$2255,2,FALSE))</f>
        <v/>
      </c>
      <c r="D2013" s="142">
        <v>0</v>
      </c>
      <c r="E2013" s="143">
        <f>IF(B2013="",0,VLOOKUP(B2013,'Lista articole'!$D$4:$F$2163,3,FALSE))</f>
        <v>0</v>
      </c>
      <c r="F2013" s="142">
        <f t="shared" ref="F2013" si="1002">D2013*E2013</f>
        <v>0</v>
      </c>
      <c r="G2013" s="142">
        <f t="shared" ref="G2013" si="1003">F2013/$H$9</f>
        <v>0</v>
      </c>
      <c r="H2013" s="142">
        <f>F2013*'Date Generale'!$D$58</f>
        <v>0</v>
      </c>
      <c r="I2013" s="142">
        <f t="shared" si="1000"/>
        <v>0</v>
      </c>
      <c r="J2013" s="144">
        <f t="shared" si="1001"/>
        <v>0</v>
      </c>
    </row>
    <row r="2014" spans="1:10" ht="15.75" thickBot="1">
      <c r="A2014" s="685" t="s">
        <v>35</v>
      </c>
      <c r="B2014" s="686"/>
      <c r="C2014" s="686"/>
      <c r="D2014" s="686"/>
      <c r="E2014" s="686"/>
      <c r="F2014" s="62">
        <f>SUM(F2011,F2008,F2005)</f>
        <v>0</v>
      </c>
      <c r="G2014" s="62">
        <f>SUM(G2011,G2008,G2005)</f>
        <v>0</v>
      </c>
      <c r="H2014" s="62">
        <f>SUM(H2011,H2008,H2005)</f>
        <v>0</v>
      </c>
      <c r="I2014" s="62">
        <f>SUM(I2011,I2008,I2005)</f>
        <v>0</v>
      </c>
      <c r="J2014" s="63">
        <f>SUM(J2011,J2008,J2005)</f>
        <v>0</v>
      </c>
    </row>
    <row r="2015" spans="1:10">
      <c r="A2015" s="38"/>
      <c r="B2015" s="39"/>
      <c r="C2015" s="39"/>
      <c r="D2015" s="39"/>
      <c r="E2015" s="39"/>
      <c r="F2015" s="39"/>
      <c r="G2015" s="39"/>
      <c r="H2015" s="39"/>
      <c r="I2015" s="39"/>
      <c r="J2015" s="39"/>
    </row>
    <row r="2016" spans="1:10">
      <c r="A2016" s="38"/>
      <c r="C2016" s="42"/>
      <c r="D2016" s="42"/>
      <c r="E2016" s="42"/>
      <c r="F2016" s="42"/>
      <c r="G2016" s="42"/>
      <c r="H2016" s="42"/>
      <c r="I2016" s="42"/>
      <c r="J2016" s="42"/>
    </row>
    <row r="2017" spans="1:10" ht="18.75">
      <c r="A2017" s="42"/>
      <c r="B2017" s="90" t="s">
        <v>37</v>
      </c>
      <c r="C2017" s="42"/>
      <c r="D2017" s="42"/>
      <c r="E2017" s="42"/>
      <c r="F2017" s="42"/>
      <c r="G2017" s="42"/>
      <c r="H2017" s="42"/>
      <c r="I2017" s="42"/>
      <c r="J2017" s="42"/>
    </row>
    <row r="2018" spans="1:10" ht="18.75">
      <c r="A2018" s="38"/>
      <c r="B2018" s="90" t="str">
        <f>'Date Generale'!$C$7</f>
        <v>S.C. Tehno Consoulting Solutions S.R.L.</v>
      </c>
      <c r="C2018" s="39"/>
      <c r="D2018" s="39"/>
      <c r="E2018" s="39"/>
      <c r="F2018" s="39"/>
      <c r="G2018" s="39"/>
      <c r="H2018" s="39"/>
      <c r="I2018" s="39"/>
      <c r="J2018" s="39"/>
    </row>
    <row r="2019" spans="1:10">
      <c r="A2019" s="35"/>
      <c r="B2019" s="93"/>
      <c r="C2019" s="94"/>
      <c r="D2019" s="95"/>
      <c r="E2019" s="96"/>
      <c r="F2019" s="96"/>
      <c r="G2019" s="95"/>
      <c r="H2019" s="95"/>
      <c r="I2019" s="95"/>
      <c r="J2019" s="95"/>
    </row>
    <row r="2020" spans="1:10">
      <c r="A2020" s="35"/>
      <c r="B2020" s="93"/>
      <c r="C2020" s="94"/>
      <c r="D2020" s="95"/>
      <c r="E2020" s="96"/>
      <c r="F2020" s="96"/>
      <c r="G2020" s="95"/>
      <c r="H2020" s="95"/>
      <c r="I2020" s="95"/>
      <c r="J2020" s="95"/>
    </row>
  </sheetData>
  <mergeCells count="676">
    <mergeCell ref="A1999:E1999"/>
    <mergeCell ref="B2000:E2000"/>
    <mergeCell ref="A2003:E2003"/>
    <mergeCell ref="A2004:E2004"/>
    <mergeCell ref="B2005:E2005"/>
    <mergeCell ref="B2008:E2008"/>
    <mergeCell ref="B2011:E2011"/>
    <mergeCell ref="A2014:E2014"/>
    <mergeCell ref="A1962:E1962"/>
    <mergeCell ref="A1965:E1965"/>
    <mergeCell ref="A1968:E1968"/>
    <mergeCell ref="A1971:E1971"/>
    <mergeCell ref="A1986:E1986"/>
    <mergeCell ref="A1989:E1989"/>
    <mergeCell ref="A1992:E1992"/>
    <mergeCell ref="A1995:E1995"/>
    <mergeCell ref="A1998:E1998"/>
    <mergeCell ref="A1955:J1955"/>
    <mergeCell ref="A1958:A1959"/>
    <mergeCell ref="B1958:B1959"/>
    <mergeCell ref="C1958:C1959"/>
    <mergeCell ref="D1958:D1959"/>
    <mergeCell ref="E1958:E1959"/>
    <mergeCell ref="F1958:G1958"/>
    <mergeCell ref="I1958:J1958"/>
    <mergeCell ref="A1961:E1961"/>
    <mergeCell ref="A1926:E1926"/>
    <mergeCell ref="A1927:E1927"/>
    <mergeCell ref="B1928:E1928"/>
    <mergeCell ref="A1931:E1931"/>
    <mergeCell ref="A1932:E1932"/>
    <mergeCell ref="B1933:E1933"/>
    <mergeCell ref="B1936:E1936"/>
    <mergeCell ref="B1939:E1939"/>
    <mergeCell ref="A1942:E1942"/>
    <mergeCell ref="A1889:E1889"/>
    <mergeCell ref="A1890:E1890"/>
    <mergeCell ref="A1893:E1893"/>
    <mergeCell ref="A1896:E1896"/>
    <mergeCell ref="A1899:E1899"/>
    <mergeCell ref="A1914:E1914"/>
    <mergeCell ref="A1917:E1917"/>
    <mergeCell ref="A1920:E1920"/>
    <mergeCell ref="A1923:E1923"/>
    <mergeCell ref="B1856:E1856"/>
    <mergeCell ref="A1859:E1859"/>
    <mergeCell ref="A1860:E1860"/>
    <mergeCell ref="B1861:E1861"/>
    <mergeCell ref="B1864:E1864"/>
    <mergeCell ref="B1867:E1867"/>
    <mergeCell ref="A1870:E1870"/>
    <mergeCell ref="A1883:J1883"/>
    <mergeCell ref="A1886:A1887"/>
    <mergeCell ref="B1886:B1887"/>
    <mergeCell ref="C1886:C1887"/>
    <mergeCell ref="D1886:D1887"/>
    <mergeCell ref="E1886:E1887"/>
    <mergeCell ref="F1886:G1886"/>
    <mergeCell ref="I1886:J1886"/>
    <mergeCell ref="A1821:E1821"/>
    <mergeCell ref="A1824:E1824"/>
    <mergeCell ref="A1827:E1827"/>
    <mergeCell ref="A1842:E1842"/>
    <mergeCell ref="A1845:E1845"/>
    <mergeCell ref="A1848:E1848"/>
    <mergeCell ref="A1851:E1851"/>
    <mergeCell ref="A1854:E1854"/>
    <mergeCell ref="A1855:E1855"/>
    <mergeCell ref="A1814:A1815"/>
    <mergeCell ref="B1814:B1815"/>
    <mergeCell ref="C1814:C1815"/>
    <mergeCell ref="D1814:D1815"/>
    <mergeCell ref="E1814:E1815"/>
    <mergeCell ref="F1814:G1814"/>
    <mergeCell ref="I1814:J1814"/>
    <mergeCell ref="A1817:E1817"/>
    <mergeCell ref="A1818:E1818"/>
    <mergeCell ref="A1783:E1783"/>
    <mergeCell ref="B1784:E1784"/>
    <mergeCell ref="A1787:E1787"/>
    <mergeCell ref="A1788:E1788"/>
    <mergeCell ref="B1789:E1789"/>
    <mergeCell ref="B1792:E1792"/>
    <mergeCell ref="B1795:E1795"/>
    <mergeCell ref="A1798:E1798"/>
    <mergeCell ref="A1811:J1811"/>
    <mergeCell ref="A1746:E1746"/>
    <mergeCell ref="A1749:E1749"/>
    <mergeCell ref="A1752:E1752"/>
    <mergeCell ref="A1755:E1755"/>
    <mergeCell ref="A1770:E1770"/>
    <mergeCell ref="A1773:E1773"/>
    <mergeCell ref="A1776:E1776"/>
    <mergeCell ref="A1779:E1779"/>
    <mergeCell ref="A1782:E1782"/>
    <mergeCell ref="A1739:J1739"/>
    <mergeCell ref="A1742:A1743"/>
    <mergeCell ref="B1742:B1743"/>
    <mergeCell ref="C1742:C1743"/>
    <mergeCell ref="D1742:D1743"/>
    <mergeCell ref="E1742:E1743"/>
    <mergeCell ref="F1742:G1742"/>
    <mergeCell ref="I1742:J1742"/>
    <mergeCell ref="A1745:E1745"/>
    <mergeCell ref="A1710:E1710"/>
    <mergeCell ref="A1711:E1711"/>
    <mergeCell ref="B1712:E1712"/>
    <mergeCell ref="A1715:E1715"/>
    <mergeCell ref="A1716:E1716"/>
    <mergeCell ref="B1717:E1717"/>
    <mergeCell ref="B1720:E1720"/>
    <mergeCell ref="B1723:E1723"/>
    <mergeCell ref="A1726:E1726"/>
    <mergeCell ref="A1673:E1673"/>
    <mergeCell ref="A1674:E1674"/>
    <mergeCell ref="A1677:E1677"/>
    <mergeCell ref="A1680:E1680"/>
    <mergeCell ref="A1683:E1683"/>
    <mergeCell ref="A1698:E1698"/>
    <mergeCell ref="A1701:E1701"/>
    <mergeCell ref="A1704:E1704"/>
    <mergeCell ref="A1707:E1707"/>
    <mergeCell ref="B1640:E1640"/>
    <mergeCell ref="A1643:E1643"/>
    <mergeCell ref="A1644:E1644"/>
    <mergeCell ref="B1645:E1645"/>
    <mergeCell ref="B1648:E1648"/>
    <mergeCell ref="B1651:E1651"/>
    <mergeCell ref="A1654:E1654"/>
    <mergeCell ref="A1667:J1667"/>
    <mergeCell ref="A1670:A1671"/>
    <mergeCell ref="B1670:B1671"/>
    <mergeCell ref="C1670:C1671"/>
    <mergeCell ref="D1670:D1671"/>
    <mergeCell ref="E1670:E1671"/>
    <mergeCell ref="F1670:G1670"/>
    <mergeCell ref="I1670:J1670"/>
    <mergeCell ref="A1605:E1605"/>
    <mergeCell ref="A1608:E1608"/>
    <mergeCell ref="A1611:E1611"/>
    <mergeCell ref="A1626:E1626"/>
    <mergeCell ref="A1629:E1629"/>
    <mergeCell ref="A1632:E1632"/>
    <mergeCell ref="A1635:E1635"/>
    <mergeCell ref="A1638:E1638"/>
    <mergeCell ref="A1639:E1639"/>
    <mergeCell ref="A1598:A1599"/>
    <mergeCell ref="B1598:B1599"/>
    <mergeCell ref="C1598:C1599"/>
    <mergeCell ref="D1598:D1599"/>
    <mergeCell ref="E1598:E1599"/>
    <mergeCell ref="F1598:G1598"/>
    <mergeCell ref="I1598:J1598"/>
    <mergeCell ref="A1601:E1601"/>
    <mergeCell ref="A1602:E1602"/>
    <mergeCell ref="A1567:E1567"/>
    <mergeCell ref="B1568:E1568"/>
    <mergeCell ref="A1571:E1571"/>
    <mergeCell ref="A1572:E1572"/>
    <mergeCell ref="B1573:E1573"/>
    <mergeCell ref="B1576:E1576"/>
    <mergeCell ref="B1579:E1579"/>
    <mergeCell ref="A1582:E1582"/>
    <mergeCell ref="A1595:J1595"/>
    <mergeCell ref="A1530:E1530"/>
    <mergeCell ref="A1533:E1533"/>
    <mergeCell ref="A1536:E1536"/>
    <mergeCell ref="A1539:E1539"/>
    <mergeCell ref="A1554:E1554"/>
    <mergeCell ref="A1557:E1557"/>
    <mergeCell ref="A1560:E1560"/>
    <mergeCell ref="A1563:E1563"/>
    <mergeCell ref="A1566:E1566"/>
    <mergeCell ref="A1523:J1523"/>
    <mergeCell ref="A1526:A1527"/>
    <mergeCell ref="B1526:B1527"/>
    <mergeCell ref="C1526:C1527"/>
    <mergeCell ref="D1526:D1527"/>
    <mergeCell ref="E1526:E1527"/>
    <mergeCell ref="F1526:G1526"/>
    <mergeCell ref="I1526:J1526"/>
    <mergeCell ref="A1529:E1529"/>
    <mergeCell ref="A1494:E1494"/>
    <mergeCell ref="A1495:E1495"/>
    <mergeCell ref="B1496:E1496"/>
    <mergeCell ref="A1499:E1499"/>
    <mergeCell ref="A1500:E1500"/>
    <mergeCell ref="B1501:E1501"/>
    <mergeCell ref="B1504:E1504"/>
    <mergeCell ref="B1507:E1507"/>
    <mergeCell ref="A1510:E1510"/>
    <mergeCell ref="A1457:E1457"/>
    <mergeCell ref="A1458:E1458"/>
    <mergeCell ref="A1461:E1461"/>
    <mergeCell ref="A1464:E1464"/>
    <mergeCell ref="A1467:E1467"/>
    <mergeCell ref="A1482:E1482"/>
    <mergeCell ref="A1485:E1485"/>
    <mergeCell ref="A1488:E1488"/>
    <mergeCell ref="A1491:E1491"/>
    <mergeCell ref="B1424:E1424"/>
    <mergeCell ref="A1427:E1427"/>
    <mergeCell ref="A1428:E1428"/>
    <mergeCell ref="B1429:E1429"/>
    <mergeCell ref="B1432:E1432"/>
    <mergeCell ref="B1435:E1435"/>
    <mergeCell ref="A1438:E1438"/>
    <mergeCell ref="A1451:J1451"/>
    <mergeCell ref="A1454:A1455"/>
    <mergeCell ref="B1454:B1455"/>
    <mergeCell ref="C1454:C1455"/>
    <mergeCell ref="D1454:D1455"/>
    <mergeCell ref="E1454:E1455"/>
    <mergeCell ref="F1454:G1454"/>
    <mergeCell ref="I1454:J1454"/>
    <mergeCell ref="A1389:E1389"/>
    <mergeCell ref="A1392:E1392"/>
    <mergeCell ref="A1395:E1395"/>
    <mergeCell ref="A1410:E1410"/>
    <mergeCell ref="A1413:E1413"/>
    <mergeCell ref="A1416:E1416"/>
    <mergeCell ref="A1419:E1419"/>
    <mergeCell ref="A1422:E1422"/>
    <mergeCell ref="A1423:E1423"/>
    <mergeCell ref="A1382:A1383"/>
    <mergeCell ref="B1382:B1383"/>
    <mergeCell ref="C1382:C1383"/>
    <mergeCell ref="D1382:D1383"/>
    <mergeCell ref="E1382:E1383"/>
    <mergeCell ref="F1382:G1382"/>
    <mergeCell ref="I1382:J1382"/>
    <mergeCell ref="A1385:E1385"/>
    <mergeCell ref="A1386:E1386"/>
    <mergeCell ref="A1351:E1351"/>
    <mergeCell ref="B1352:E1352"/>
    <mergeCell ref="A1355:E1355"/>
    <mergeCell ref="A1356:E1356"/>
    <mergeCell ref="B1357:E1357"/>
    <mergeCell ref="B1360:E1360"/>
    <mergeCell ref="B1363:E1363"/>
    <mergeCell ref="A1366:E1366"/>
    <mergeCell ref="A1379:J1379"/>
    <mergeCell ref="A1314:E1314"/>
    <mergeCell ref="A1317:E1317"/>
    <mergeCell ref="A1320:E1320"/>
    <mergeCell ref="A1323:E1323"/>
    <mergeCell ref="A1338:E1338"/>
    <mergeCell ref="A1341:E1341"/>
    <mergeCell ref="A1344:E1344"/>
    <mergeCell ref="A1347:E1347"/>
    <mergeCell ref="A1350:E1350"/>
    <mergeCell ref="A1307:J1307"/>
    <mergeCell ref="A1310:A1311"/>
    <mergeCell ref="B1310:B1311"/>
    <mergeCell ref="C1310:C1311"/>
    <mergeCell ref="D1310:D1311"/>
    <mergeCell ref="E1310:E1311"/>
    <mergeCell ref="F1310:G1310"/>
    <mergeCell ref="I1310:J1310"/>
    <mergeCell ref="A1313:E1313"/>
    <mergeCell ref="A1278:E1278"/>
    <mergeCell ref="A1279:E1279"/>
    <mergeCell ref="B1280:E1280"/>
    <mergeCell ref="A1283:E1283"/>
    <mergeCell ref="A1284:E1284"/>
    <mergeCell ref="B1285:E1285"/>
    <mergeCell ref="B1288:E1288"/>
    <mergeCell ref="B1291:E1291"/>
    <mergeCell ref="A1294:E1294"/>
    <mergeCell ref="A1241:E1241"/>
    <mergeCell ref="A1242:E1242"/>
    <mergeCell ref="A1245:E1245"/>
    <mergeCell ref="A1248:E1248"/>
    <mergeCell ref="A1251:E1251"/>
    <mergeCell ref="A1266:E1266"/>
    <mergeCell ref="A1269:E1269"/>
    <mergeCell ref="A1272:E1272"/>
    <mergeCell ref="A1275:E1275"/>
    <mergeCell ref="B1208:E1208"/>
    <mergeCell ref="A1211:E1211"/>
    <mergeCell ref="A1212:E1212"/>
    <mergeCell ref="B1213:E1213"/>
    <mergeCell ref="B1216:E1216"/>
    <mergeCell ref="B1219:E1219"/>
    <mergeCell ref="A1222:E1222"/>
    <mergeCell ref="A1235:J1235"/>
    <mergeCell ref="A1238:A1239"/>
    <mergeCell ref="B1238:B1239"/>
    <mergeCell ref="C1238:C1239"/>
    <mergeCell ref="D1238:D1239"/>
    <mergeCell ref="E1238:E1239"/>
    <mergeCell ref="F1238:G1238"/>
    <mergeCell ref="I1238:J1238"/>
    <mergeCell ref="A1173:E1173"/>
    <mergeCell ref="A1176:E1176"/>
    <mergeCell ref="A1179:E1179"/>
    <mergeCell ref="A1194:E1194"/>
    <mergeCell ref="A1197:E1197"/>
    <mergeCell ref="A1200:E1200"/>
    <mergeCell ref="A1203:E1203"/>
    <mergeCell ref="A1206:E1206"/>
    <mergeCell ref="A1207:E1207"/>
    <mergeCell ref="A1166:A1167"/>
    <mergeCell ref="B1166:B1167"/>
    <mergeCell ref="C1166:C1167"/>
    <mergeCell ref="D1166:D1167"/>
    <mergeCell ref="E1166:E1167"/>
    <mergeCell ref="F1166:G1166"/>
    <mergeCell ref="I1166:J1166"/>
    <mergeCell ref="A1169:E1169"/>
    <mergeCell ref="A1170:E1170"/>
    <mergeCell ref="A1135:E1135"/>
    <mergeCell ref="B1136:E1136"/>
    <mergeCell ref="A1139:E1139"/>
    <mergeCell ref="A1140:E1140"/>
    <mergeCell ref="B1141:E1141"/>
    <mergeCell ref="B1144:E1144"/>
    <mergeCell ref="B1147:E1147"/>
    <mergeCell ref="A1150:E1150"/>
    <mergeCell ref="A1163:J1163"/>
    <mergeCell ref="A1098:E1098"/>
    <mergeCell ref="A1101:E1101"/>
    <mergeCell ref="A1104:E1104"/>
    <mergeCell ref="A1107:E1107"/>
    <mergeCell ref="A1122:E1122"/>
    <mergeCell ref="A1125:E1125"/>
    <mergeCell ref="A1128:E1128"/>
    <mergeCell ref="A1131:E1131"/>
    <mergeCell ref="A1134:E1134"/>
    <mergeCell ref="A1091:J1091"/>
    <mergeCell ref="A1094:A1095"/>
    <mergeCell ref="B1094:B1095"/>
    <mergeCell ref="C1094:C1095"/>
    <mergeCell ref="D1094:D1095"/>
    <mergeCell ref="E1094:E1095"/>
    <mergeCell ref="F1094:G1094"/>
    <mergeCell ref="I1094:J1094"/>
    <mergeCell ref="A1097:E1097"/>
    <mergeCell ref="A1062:E1062"/>
    <mergeCell ref="A1063:E1063"/>
    <mergeCell ref="B1064:E1064"/>
    <mergeCell ref="A1067:E1067"/>
    <mergeCell ref="A1068:E1068"/>
    <mergeCell ref="B1069:E1069"/>
    <mergeCell ref="B1072:E1072"/>
    <mergeCell ref="B1075:E1075"/>
    <mergeCell ref="A1078:E1078"/>
    <mergeCell ref="A1025:E1025"/>
    <mergeCell ref="A1026:E1026"/>
    <mergeCell ref="A1029:E1029"/>
    <mergeCell ref="A1032:E1032"/>
    <mergeCell ref="A1035:E1035"/>
    <mergeCell ref="A1050:E1050"/>
    <mergeCell ref="A1053:E1053"/>
    <mergeCell ref="A1056:E1056"/>
    <mergeCell ref="A1059:E1059"/>
    <mergeCell ref="B992:E992"/>
    <mergeCell ref="A995:E995"/>
    <mergeCell ref="A996:E996"/>
    <mergeCell ref="B997:E997"/>
    <mergeCell ref="B1000:E1000"/>
    <mergeCell ref="B1003:E1003"/>
    <mergeCell ref="A1006:E1006"/>
    <mergeCell ref="A1019:J1019"/>
    <mergeCell ref="A1022:A1023"/>
    <mergeCell ref="B1022:B1023"/>
    <mergeCell ref="C1022:C1023"/>
    <mergeCell ref="D1022:D1023"/>
    <mergeCell ref="E1022:E1023"/>
    <mergeCell ref="F1022:G1022"/>
    <mergeCell ref="I1022:J1022"/>
    <mergeCell ref="A957:E957"/>
    <mergeCell ref="A960:E960"/>
    <mergeCell ref="A963:E963"/>
    <mergeCell ref="A978:E978"/>
    <mergeCell ref="A981:E981"/>
    <mergeCell ref="A984:E984"/>
    <mergeCell ref="A987:E987"/>
    <mergeCell ref="A990:E990"/>
    <mergeCell ref="A991:E991"/>
    <mergeCell ref="A950:A951"/>
    <mergeCell ref="B950:B951"/>
    <mergeCell ref="C950:C951"/>
    <mergeCell ref="D950:D951"/>
    <mergeCell ref="E950:E951"/>
    <mergeCell ref="F950:G950"/>
    <mergeCell ref="I950:J950"/>
    <mergeCell ref="A953:E953"/>
    <mergeCell ref="A954:E954"/>
    <mergeCell ref="A919:E919"/>
    <mergeCell ref="B920:E920"/>
    <mergeCell ref="A923:E923"/>
    <mergeCell ref="A924:E924"/>
    <mergeCell ref="B925:E925"/>
    <mergeCell ref="B928:E928"/>
    <mergeCell ref="B931:E931"/>
    <mergeCell ref="A934:E934"/>
    <mergeCell ref="A947:J947"/>
    <mergeCell ref="A882:E882"/>
    <mergeCell ref="A885:E885"/>
    <mergeCell ref="A888:E888"/>
    <mergeCell ref="A891:E891"/>
    <mergeCell ref="A906:E906"/>
    <mergeCell ref="A909:E909"/>
    <mergeCell ref="A912:E912"/>
    <mergeCell ref="A915:E915"/>
    <mergeCell ref="A918:E918"/>
    <mergeCell ref="A875:J875"/>
    <mergeCell ref="A878:A879"/>
    <mergeCell ref="B878:B879"/>
    <mergeCell ref="C878:C879"/>
    <mergeCell ref="D878:D879"/>
    <mergeCell ref="E878:E879"/>
    <mergeCell ref="F878:G878"/>
    <mergeCell ref="I878:J878"/>
    <mergeCell ref="A881:E881"/>
    <mergeCell ref="A847:E847"/>
    <mergeCell ref="B848:E848"/>
    <mergeCell ref="A851:E851"/>
    <mergeCell ref="A852:E852"/>
    <mergeCell ref="B853:E853"/>
    <mergeCell ref="B856:E856"/>
    <mergeCell ref="B859:E859"/>
    <mergeCell ref="A862:E862"/>
    <mergeCell ref="A810:E810"/>
    <mergeCell ref="A813:E813"/>
    <mergeCell ref="A816:E816"/>
    <mergeCell ref="A819:E819"/>
    <mergeCell ref="A834:E834"/>
    <mergeCell ref="A837:E837"/>
    <mergeCell ref="A840:E840"/>
    <mergeCell ref="A843:E843"/>
    <mergeCell ref="A846:E846"/>
    <mergeCell ref="A806:A807"/>
    <mergeCell ref="B806:B807"/>
    <mergeCell ref="C806:C807"/>
    <mergeCell ref="D806:D807"/>
    <mergeCell ref="E806:E807"/>
    <mergeCell ref="F806:G806"/>
    <mergeCell ref="I806:J806"/>
    <mergeCell ref="A809:E809"/>
    <mergeCell ref="A775:E775"/>
    <mergeCell ref="B776:E776"/>
    <mergeCell ref="A779:E779"/>
    <mergeCell ref="A780:E780"/>
    <mergeCell ref="B781:E781"/>
    <mergeCell ref="B784:E784"/>
    <mergeCell ref="B787:E787"/>
    <mergeCell ref="A790:E790"/>
    <mergeCell ref="A803:J803"/>
    <mergeCell ref="A738:E738"/>
    <mergeCell ref="A741:E741"/>
    <mergeCell ref="A744:E744"/>
    <mergeCell ref="A747:E747"/>
    <mergeCell ref="A762:E762"/>
    <mergeCell ref="A765:E765"/>
    <mergeCell ref="A768:E768"/>
    <mergeCell ref="A771:E771"/>
    <mergeCell ref="A774:E774"/>
    <mergeCell ref="A734:A735"/>
    <mergeCell ref="B734:B735"/>
    <mergeCell ref="C734:C735"/>
    <mergeCell ref="D734:D735"/>
    <mergeCell ref="E734:E735"/>
    <mergeCell ref="F734:G734"/>
    <mergeCell ref="I734:J734"/>
    <mergeCell ref="A737:E737"/>
    <mergeCell ref="A703:E703"/>
    <mergeCell ref="B704:E704"/>
    <mergeCell ref="A707:E707"/>
    <mergeCell ref="A708:E708"/>
    <mergeCell ref="B709:E709"/>
    <mergeCell ref="B712:E712"/>
    <mergeCell ref="B715:E715"/>
    <mergeCell ref="A718:E718"/>
    <mergeCell ref="A731:J731"/>
    <mergeCell ref="A669:E669"/>
    <mergeCell ref="A672:E672"/>
    <mergeCell ref="A675:E675"/>
    <mergeCell ref="A678:E678"/>
    <mergeCell ref="A690:E690"/>
    <mergeCell ref="A693:E693"/>
    <mergeCell ref="A696:E696"/>
    <mergeCell ref="A699:E699"/>
    <mergeCell ref="A702:E702"/>
    <mergeCell ref="A665:A666"/>
    <mergeCell ref="B665:B666"/>
    <mergeCell ref="C665:C666"/>
    <mergeCell ref="D665:D666"/>
    <mergeCell ref="E665:E666"/>
    <mergeCell ref="F665:G665"/>
    <mergeCell ref="I665:J665"/>
    <mergeCell ref="A668:E668"/>
    <mergeCell ref="A634:E634"/>
    <mergeCell ref="B635:E635"/>
    <mergeCell ref="A638:E638"/>
    <mergeCell ref="A639:E639"/>
    <mergeCell ref="B640:E640"/>
    <mergeCell ref="B643:E643"/>
    <mergeCell ref="B646:E646"/>
    <mergeCell ref="A649:E649"/>
    <mergeCell ref="A662:J662"/>
    <mergeCell ref="A597:E597"/>
    <mergeCell ref="A600:E600"/>
    <mergeCell ref="A603:E603"/>
    <mergeCell ref="A606:E606"/>
    <mergeCell ref="A621:E621"/>
    <mergeCell ref="A624:E624"/>
    <mergeCell ref="A627:E627"/>
    <mergeCell ref="A630:E630"/>
    <mergeCell ref="A633:E633"/>
    <mergeCell ref="A593:A594"/>
    <mergeCell ref="B593:B594"/>
    <mergeCell ref="C593:C594"/>
    <mergeCell ref="D593:D594"/>
    <mergeCell ref="E593:E594"/>
    <mergeCell ref="F593:G593"/>
    <mergeCell ref="I593:J593"/>
    <mergeCell ref="A596:E596"/>
    <mergeCell ref="A562:E562"/>
    <mergeCell ref="B563:E563"/>
    <mergeCell ref="A566:E566"/>
    <mergeCell ref="A567:E567"/>
    <mergeCell ref="B568:E568"/>
    <mergeCell ref="B571:E571"/>
    <mergeCell ref="B574:E574"/>
    <mergeCell ref="A577:E577"/>
    <mergeCell ref="A590:J590"/>
    <mergeCell ref="A526:E526"/>
    <mergeCell ref="A529:E529"/>
    <mergeCell ref="A532:E532"/>
    <mergeCell ref="A535:E535"/>
    <mergeCell ref="A549:E549"/>
    <mergeCell ref="A552:E552"/>
    <mergeCell ref="A555:E555"/>
    <mergeCell ref="A558:E558"/>
    <mergeCell ref="A561:E561"/>
    <mergeCell ref="A522:A523"/>
    <mergeCell ref="B522:B523"/>
    <mergeCell ref="C522:C523"/>
    <mergeCell ref="D522:D523"/>
    <mergeCell ref="E522:E523"/>
    <mergeCell ref="F522:G522"/>
    <mergeCell ref="I522:J522"/>
    <mergeCell ref="A525:E525"/>
    <mergeCell ref="A457:E457"/>
    <mergeCell ref="A460:E460"/>
    <mergeCell ref="A463:E463"/>
    <mergeCell ref="A466:E466"/>
    <mergeCell ref="A478:E478"/>
    <mergeCell ref="A481:E481"/>
    <mergeCell ref="A487:E487"/>
    <mergeCell ref="A490:E490"/>
    <mergeCell ref="A491:E491"/>
    <mergeCell ref="A495:E495"/>
    <mergeCell ref="B492:E492"/>
    <mergeCell ref="A496:E496"/>
    <mergeCell ref="B497:E497"/>
    <mergeCell ref="B500:E500"/>
    <mergeCell ref="B503:E503"/>
    <mergeCell ref="A506:E506"/>
    <mergeCell ref="A422:E422"/>
    <mergeCell ref="B423:E423"/>
    <mergeCell ref="A426:E426"/>
    <mergeCell ref="A427:E427"/>
    <mergeCell ref="B428:E428"/>
    <mergeCell ref="B431:E431"/>
    <mergeCell ref="B434:E434"/>
    <mergeCell ref="A437:E437"/>
    <mergeCell ref="A450:J450"/>
    <mergeCell ref="A318:E318"/>
    <mergeCell ref="A338:E338"/>
    <mergeCell ref="A341:E341"/>
    <mergeCell ref="A347:E347"/>
    <mergeCell ref="A350:E350"/>
    <mergeCell ref="B352:E352"/>
    <mergeCell ref="A355:E355"/>
    <mergeCell ref="A356:E356"/>
    <mergeCell ref="B357:E357"/>
    <mergeCell ref="A278:E278"/>
    <mergeCell ref="B280:E280"/>
    <mergeCell ref="B283:E283"/>
    <mergeCell ref="B286:E286"/>
    <mergeCell ref="A289:E289"/>
    <mergeCell ref="A302:J302"/>
    <mergeCell ref="A305:A306"/>
    <mergeCell ref="B305:B306"/>
    <mergeCell ref="C305:C306"/>
    <mergeCell ref="D305:D306"/>
    <mergeCell ref="E305:E306"/>
    <mergeCell ref="F305:G305"/>
    <mergeCell ref="I305:J305"/>
    <mergeCell ref="A519:J519"/>
    <mergeCell ref="A484:E484"/>
    <mergeCell ref="A453:A454"/>
    <mergeCell ref="B453:B454"/>
    <mergeCell ref="C453:C454"/>
    <mergeCell ref="D453:D454"/>
    <mergeCell ref="E453:E454"/>
    <mergeCell ref="F453:G453"/>
    <mergeCell ref="I453:J453"/>
    <mergeCell ref="A456:E456"/>
    <mergeCell ref="A412:E412"/>
    <mergeCell ref="A421:E421"/>
    <mergeCell ref="A415:E415"/>
    <mergeCell ref="A418:E418"/>
    <mergeCell ref="A344:E344"/>
    <mergeCell ref="A351:E351"/>
    <mergeCell ref="B360:E360"/>
    <mergeCell ref="B363:E363"/>
    <mergeCell ref="A366:E366"/>
    <mergeCell ref="A379:J379"/>
    <mergeCell ref="A382:A383"/>
    <mergeCell ref="B382:B383"/>
    <mergeCell ref="C382:C383"/>
    <mergeCell ref="D382:D383"/>
    <mergeCell ref="E382:E383"/>
    <mergeCell ref="F382:G382"/>
    <mergeCell ref="I382:J382"/>
    <mergeCell ref="A385:E385"/>
    <mergeCell ref="A386:E386"/>
    <mergeCell ref="A389:E389"/>
    <mergeCell ref="A392:E392"/>
    <mergeCell ref="A395:E395"/>
    <mergeCell ref="A409:E409"/>
    <mergeCell ref="A315:E315"/>
    <mergeCell ref="A308:E308"/>
    <mergeCell ref="A309:E309"/>
    <mergeCell ref="A312:E312"/>
    <mergeCell ref="A194:E194"/>
    <mergeCell ref="A195:E195"/>
    <mergeCell ref="A255:E255"/>
    <mergeCell ref="A279:E279"/>
    <mergeCell ref="A188:J188"/>
    <mergeCell ref="A191:A192"/>
    <mergeCell ref="B191:B192"/>
    <mergeCell ref="C191:C192"/>
    <mergeCell ref="D191:D192"/>
    <mergeCell ref="E191:E192"/>
    <mergeCell ref="F191:G191"/>
    <mergeCell ref="I191:J191"/>
    <mergeCell ref="A209:E209"/>
    <mergeCell ref="A258:E258"/>
    <mergeCell ref="A261:E261"/>
    <mergeCell ref="A264:E264"/>
    <mergeCell ref="A267:E267"/>
    <mergeCell ref="A270:E270"/>
    <mergeCell ref="A273:E273"/>
    <mergeCell ref="A274:E274"/>
    <mergeCell ref="B275:E275"/>
    <mergeCell ref="A164:E164"/>
    <mergeCell ref="A165:E165"/>
    <mergeCell ref="B166:E166"/>
    <mergeCell ref="B169:E169"/>
    <mergeCell ref="B172:E172"/>
    <mergeCell ref="A175:E175"/>
    <mergeCell ref="A150:E150"/>
    <mergeCell ref="A153:E153"/>
    <mergeCell ref="A156:E156"/>
    <mergeCell ref="A159:E159"/>
    <mergeCell ref="A160:E160"/>
    <mergeCell ref="B161:E161"/>
    <mergeCell ref="A13:E13"/>
    <mergeCell ref="A14:E14"/>
    <mergeCell ref="A17:E17"/>
    <mergeCell ref="A141:E141"/>
    <mergeCell ref="A144:E144"/>
    <mergeCell ref="A147:E147"/>
    <mergeCell ref="A7:J7"/>
    <mergeCell ref="A10:A11"/>
    <mergeCell ref="B10:B11"/>
    <mergeCell ref="C10:C11"/>
    <mergeCell ref="D10:D11"/>
    <mergeCell ref="E10:E11"/>
    <mergeCell ref="F10:G10"/>
    <mergeCell ref="I10:J10"/>
  </mergeCells>
  <pageMargins left="0.62" right="0.19" top="0.53" bottom="0.75" header="0.3" footer="0.3"/>
  <pageSetup paperSize="9" scale="56" fitToHeight="0" orientation="portrait" r:id="rId1"/>
  <rowBreaks count="28" manualBreakCount="28">
    <brk id="58" max="9" man="1"/>
    <brk id="143" max="9" man="1"/>
    <brk id="181" max="9" man="1"/>
    <brk id="257" max="9" man="1"/>
    <brk id="295" max="9" man="1"/>
    <brk id="372" min="2" max="9" man="1"/>
    <brk id="443" max="10" man="1"/>
    <brk id="512" max="10" man="1"/>
    <brk id="583" max="10" man="1"/>
    <brk id="655" max="10" man="1"/>
    <brk id="724" max="10" man="1"/>
    <brk id="796" max="10" man="1"/>
    <brk id="868" max="10" man="1"/>
    <brk id="940" max="10" man="1"/>
    <brk id="1012" max="10" man="1"/>
    <brk id="1084" max="10" man="1"/>
    <brk id="1156" max="10" man="1"/>
    <brk id="1228" max="10" man="1"/>
    <brk id="1300" max="10" man="1"/>
    <brk id="1372" max="10" man="1"/>
    <brk id="1444" max="10" man="1"/>
    <brk id="1516" max="10" man="1"/>
    <brk id="1588" max="10" man="1"/>
    <brk id="1660" max="10" man="1"/>
    <brk id="1732" max="10" man="1"/>
    <brk id="1804" max="10" man="1"/>
    <brk id="1876" max="10" man="1"/>
    <brk id="1948" max="10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6"/>
  <sheetViews>
    <sheetView topLeftCell="C1" zoomScale="115" zoomScaleNormal="115" workbookViewId="0">
      <pane ySplit="3" topLeftCell="A4" activePane="bottomLeft" state="frozen"/>
      <selection activeCell="C12" sqref="C12"/>
      <selection pane="bottomLeft" activeCell="J10" sqref="J10"/>
    </sheetView>
  </sheetViews>
  <sheetFormatPr defaultRowHeight="12.75"/>
  <cols>
    <col min="1" max="1" width="7.140625" style="9" bestFit="1" customWidth="1"/>
    <col min="2" max="2" width="33.85546875" style="9" customWidth="1"/>
    <col min="3" max="3" width="17.42578125" style="9" customWidth="1"/>
    <col min="4" max="4" width="51" style="9" customWidth="1"/>
    <col min="5" max="5" width="7.7109375" style="9" customWidth="1"/>
    <col min="6" max="6" width="15.7109375" style="100" bestFit="1" customWidth="1"/>
    <col min="7" max="7" width="10.42578125" style="101" customWidth="1"/>
    <col min="8" max="8" width="12" style="101" customWidth="1"/>
    <col min="9" max="9" width="15.7109375" style="101" customWidth="1"/>
    <col min="10" max="10" width="17" style="115" customWidth="1"/>
    <col min="11" max="11" width="13.85546875" style="101" customWidth="1"/>
    <col min="12" max="12" width="13.5703125" style="101" customWidth="1"/>
    <col min="13" max="13" width="85.28515625" style="9" customWidth="1"/>
    <col min="14" max="16384" width="9.140625" style="9"/>
  </cols>
  <sheetData>
    <row r="1" spans="1:13">
      <c r="F1" s="160"/>
      <c r="J1" s="101"/>
    </row>
    <row r="2" spans="1:13" ht="13.5" thickBot="1">
      <c r="F2" s="160"/>
      <c r="J2" s="101"/>
    </row>
    <row r="3" spans="1:13" ht="26.25" thickBot="1">
      <c r="A3" s="4" t="s">
        <v>56</v>
      </c>
      <c r="B3" s="5" t="s">
        <v>57</v>
      </c>
      <c r="C3" s="5" t="s">
        <v>58</v>
      </c>
      <c r="D3" s="6" t="s">
        <v>59</v>
      </c>
      <c r="E3" s="6" t="s">
        <v>39</v>
      </c>
      <c r="F3" s="7" t="s">
        <v>60</v>
      </c>
      <c r="G3" s="22" t="s">
        <v>61</v>
      </c>
      <c r="H3" s="22" t="s">
        <v>62</v>
      </c>
      <c r="I3" s="22" t="s">
        <v>63</v>
      </c>
      <c r="J3" s="23" t="s">
        <v>64</v>
      </c>
      <c r="K3" s="23" t="s">
        <v>85</v>
      </c>
      <c r="L3" s="23" t="s">
        <v>65</v>
      </c>
      <c r="M3" s="8" t="s">
        <v>66</v>
      </c>
    </row>
    <row r="4" spans="1:13">
      <c r="A4" s="102"/>
      <c r="B4" s="102"/>
      <c r="C4" s="102"/>
      <c r="D4" s="102" t="s">
        <v>173</v>
      </c>
      <c r="E4" s="103" t="s">
        <v>55</v>
      </c>
      <c r="F4" s="104">
        <f>G4*H4</f>
        <v>29899.999999999996</v>
      </c>
      <c r="G4" s="105">
        <v>1.1499999999999999</v>
      </c>
      <c r="H4" s="105">
        <f t="shared" ref="H4" si="0">SUM(J4:L4)</f>
        <v>26000</v>
      </c>
      <c r="I4" s="106"/>
      <c r="J4" s="106">
        <f>2*13000</f>
        <v>26000</v>
      </c>
      <c r="K4" s="106"/>
      <c r="L4" s="106"/>
      <c r="M4" s="106"/>
    </row>
    <row r="5" spans="1:13">
      <c r="A5" s="107"/>
      <c r="B5" s="107"/>
      <c r="C5" s="107"/>
      <c r="D5" s="107"/>
      <c r="E5" s="108"/>
      <c r="F5" s="108"/>
      <c r="G5" s="109"/>
      <c r="H5" s="109"/>
      <c r="I5" s="110"/>
      <c r="J5" s="110"/>
      <c r="K5" s="110"/>
      <c r="L5" s="110"/>
      <c r="M5" s="110"/>
    </row>
    <row r="6" spans="1:13">
      <c r="A6" s="107"/>
      <c r="B6" s="107"/>
      <c r="C6" s="107"/>
      <c r="D6" s="405" t="s">
        <v>264</v>
      </c>
      <c r="E6" s="108" t="s">
        <v>55</v>
      </c>
      <c r="F6" s="111">
        <f t="shared" ref="F6:F12" si="1">G6*H6</f>
        <v>6006.7950000000001</v>
      </c>
      <c r="G6" s="109">
        <v>1.1499999999999999</v>
      </c>
      <c r="H6" s="109">
        <f t="shared" ref="H6:H12" si="2">SUM(J6:L6)</f>
        <v>5223.3</v>
      </c>
      <c r="I6" s="110"/>
      <c r="J6" s="110">
        <f>1000*'Date Generale'!$C$54</f>
        <v>4723.3</v>
      </c>
      <c r="K6" s="110">
        <f>150+300</f>
        <v>450</v>
      </c>
      <c r="L6" s="110">
        <v>50</v>
      </c>
      <c r="M6" s="110"/>
    </row>
    <row r="7" spans="1:13">
      <c r="A7" s="107"/>
      <c r="B7" s="107"/>
      <c r="C7" s="107"/>
      <c r="D7" s="405" t="s">
        <v>265</v>
      </c>
      <c r="E7" s="108" t="s">
        <v>55</v>
      </c>
      <c r="F7" s="111">
        <f t="shared" si="1"/>
        <v>1155.3589999999999</v>
      </c>
      <c r="G7" s="109">
        <v>1.1499999999999999</v>
      </c>
      <c r="H7" s="109">
        <f t="shared" si="2"/>
        <v>1004.66</v>
      </c>
      <c r="I7" s="110"/>
      <c r="J7" s="110">
        <f>200*'Date Generale'!$C$54</f>
        <v>944.66</v>
      </c>
      <c r="K7" s="110">
        <v>50</v>
      </c>
      <c r="L7" s="110">
        <v>10</v>
      </c>
      <c r="M7" s="110"/>
    </row>
    <row r="8" spans="1:13">
      <c r="A8" s="107"/>
      <c r="B8" s="107"/>
      <c r="C8" s="107"/>
      <c r="D8" s="405" t="s">
        <v>241</v>
      </c>
      <c r="E8" s="108" t="s">
        <v>55</v>
      </c>
      <c r="F8" s="111">
        <f t="shared" si="1"/>
        <v>2865.3975</v>
      </c>
      <c r="G8" s="109">
        <v>1.1499999999999999</v>
      </c>
      <c r="H8" s="109">
        <f t="shared" si="2"/>
        <v>2491.65</v>
      </c>
      <c r="I8" s="110"/>
      <c r="J8" s="110">
        <f>500*'Date Generale'!$C$54</f>
        <v>2361.65</v>
      </c>
      <c r="K8" s="110">
        <v>120</v>
      </c>
      <c r="L8" s="110">
        <v>10</v>
      </c>
      <c r="M8" s="110" t="s">
        <v>84</v>
      </c>
    </row>
    <row r="9" spans="1:13">
      <c r="A9" s="107"/>
      <c r="B9" s="107"/>
      <c r="C9" s="107"/>
      <c r="D9" s="405" t="s">
        <v>242</v>
      </c>
      <c r="E9" s="108" t="s">
        <v>55</v>
      </c>
      <c r="F9" s="111">
        <f t="shared" si="1"/>
        <v>720.81539999999995</v>
      </c>
      <c r="G9" s="109">
        <v>1.1499999999999999</v>
      </c>
      <c r="H9" s="109">
        <f t="shared" si="2"/>
        <v>626.79600000000005</v>
      </c>
      <c r="I9" s="110"/>
      <c r="J9" s="110">
        <f>120*'Date Generale'!$C$54</f>
        <v>566.79600000000005</v>
      </c>
      <c r="K9" s="110">
        <v>50</v>
      </c>
      <c r="L9" s="110">
        <v>10</v>
      </c>
      <c r="M9" s="110"/>
    </row>
    <row r="10" spans="1:13">
      <c r="A10" s="107"/>
      <c r="B10" s="107"/>
      <c r="C10" s="107"/>
      <c r="D10" s="405" t="s">
        <v>243</v>
      </c>
      <c r="E10" s="108" t="s">
        <v>55</v>
      </c>
      <c r="F10" s="111">
        <f t="shared" si="1"/>
        <v>2050.6282499999998</v>
      </c>
      <c r="G10" s="109">
        <v>1.1499999999999999</v>
      </c>
      <c r="H10" s="109">
        <f t="shared" si="2"/>
        <v>1783.155</v>
      </c>
      <c r="I10" s="110"/>
      <c r="J10" s="110">
        <f>350*'Date Generale'!$C$54</f>
        <v>1653.155</v>
      </c>
      <c r="K10" s="110">
        <v>120</v>
      </c>
      <c r="L10" s="110">
        <v>10</v>
      </c>
      <c r="M10" s="110" t="s">
        <v>84</v>
      </c>
    </row>
    <row r="11" spans="1:13">
      <c r="C11" s="393"/>
      <c r="D11" s="405" t="s">
        <v>255</v>
      </c>
      <c r="E11" s="112" t="s">
        <v>67</v>
      </c>
      <c r="F11" s="111">
        <f t="shared" si="1"/>
        <v>6.1805983333333323</v>
      </c>
      <c r="G11" s="109">
        <v>1.1499999999999999</v>
      </c>
      <c r="H11" s="109">
        <f t="shared" si="2"/>
        <v>5.3744333333333332</v>
      </c>
      <c r="I11" s="113"/>
      <c r="J11" s="113">
        <f>(1.8144+1.63+2.1789)/3</f>
        <v>1.8744333333333334</v>
      </c>
      <c r="K11" s="110">
        <v>2.5</v>
      </c>
      <c r="L11" s="110">
        <v>1</v>
      </c>
      <c r="M11" s="9" t="s">
        <v>260</v>
      </c>
    </row>
    <row r="12" spans="1:13">
      <c r="C12" s="393"/>
      <c r="D12" s="405" t="s">
        <v>258</v>
      </c>
      <c r="E12" s="112" t="s">
        <v>55</v>
      </c>
      <c r="F12" s="111">
        <f t="shared" si="1"/>
        <v>278.48974999999996</v>
      </c>
      <c r="G12" s="109">
        <v>1.1499999999999999</v>
      </c>
      <c r="H12" s="109">
        <f t="shared" si="2"/>
        <v>242.16499999999999</v>
      </c>
      <c r="I12" s="113"/>
      <c r="J12" s="110">
        <f>50*'Date Generale'!$C$54</f>
        <v>236.16499999999999</v>
      </c>
      <c r="K12" s="110">
        <v>5</v>
      </c>
      <c r="L12" s="110">
        <v>1</v>
      </c>
      <c r="M12" s="9" t="s">
        <v>259</v>
      </c>
    </row>
    <row r="13" spans="1:13">
      <c r="E13" s="112"/>
      <c r="F13" s="108"/>
      <c r="G13" s="109"/>
      <c r="H13" s="109"/>
      <c r="I13" s="113"/>
      <c r="J13" s="113"/>
      <c r="K13" s="113"/>
      <c r="L13" s="113"/>
      <c r="M13" s="113"/>
    </row>
    <row r="14" spans="1:13">
      <c r="D14" s="405" t="s">
        <v>266</v>
      </c>
      <c r="E14" s="112" t="s">
        <v>67</v>
      </c>
      <c r="F14" s="111">
        <f t="shared" ref="F14:F21" si="3">G14*H14</f>
        <v>51.174999999999997</v>
      </c>
      <c r="G14" s="109">
        <v>1.1499999999999999</v>
      </c>
      <c r="H14" s="109">
        <f t="shared" ref="H14:H21" si="4">SUM(J14:L14)</f>
        <v>44.5</v>
      </c>
      <c r="I14" s="113"/>
      <c r="J14" s="110">
        <f>0.5+1.5</f>
        <v>2</v>
      </c>
      <c r="K14" s="110">
        <f>22+5</f>
        <v>27</v>
      </c>
      <c r="L14" s="110">
        <f>3+10+2.5</f>
        <v>15.5</v>
      </c>
    </row>
    <row r="15" spans="1:13">
      <c r="D15" s="405" t="s">
        <v>47</v>
      </c>
      <c r="E15" s="112" t="s">
        <v>54</v>
      </c>
      <c r="F15" s="111">
        <f t="shared" si="3"/>
        <v>74.75</v>
      </c>
      <c r="G15" s="109">
        <v>1.1499999999999999</v>
      </c>
      <c r="H15" s="109">
        <f t="shared" si="4"/>
        <v>65</v>
      </c>
      <c r="I15" s="113"/>
      <c r="J15" s="110">
        <v>40</v>
      </c>
      <c r="K15" s="110">
        <v>10</v>
      </c>
      <c r="L15" s="110">
        <v>15</v>
      </c>
    </row>
    <row r="16" spans="1:13">
      <c r="D16" s="405" t="s">
        <v>86</v>
      </c>
      <c r="E16" s="112" t="s">
        <v>67</v>
      </c>
      <c r="F16" s="111">
        <f t="shared" si="3"/>
        <v>8.5786714285714289</v>
      </c>
      <c r="G16" s="109">
        <v>1.1499999999999999</v>
      </c>
      <c r="H16" s="109">
        <f t="shared" si="4"/>
        <v>7.459714285714286</v>
      </c>
      <c r="I16" s="113"/>
      <c r="J16" s="110">
        <f>((162.58/50/1.2)+(3.3/1.2)+(3.58/1.2)+(4.34/1.2)+(3.91/1.2)+(534/100/1.2)+(534/100/1.2))/7</f>
        <v>3.4597142857142855</v>
      </c>
      <c r="K16" s="110">
        <v>3</v>
      </c>
      <c r="L16" s="110">
        <v>1</v>
      </c>
    </row>
    <row r="17" spans="4:14">
      <c r="D17" s="405" t="s">
        <v>87</v>
      </c>
      <c r="E17" s="112" t="s">
        <v>67</v>
      </c>
      <c r="F17" s="111">
        <f t="shared" si="3"/>
        <v>25.056583333333332</v>
      </c>
      <c r="G17" s="109">
        <v>1.1499999999999999</v>
      </c>
      <c r="H17" s="109">
        <f t="shared" si="4"/>
        <v>21.788333333333334</v>
      </c>
      <c r="I17" s="113"/>
      <c r="J17" s="110">
        <f>((22.67+25.88+21.8+20.8+21.58)/1.2)/5</f>
        <v>18.788333333333334</v>
      </c>
      <c r="K17" s="110">
        <v>2</v>
      </c>
      <c r="L17" s="110">
        <v>1</v>
      </c>
      <c r="M17" s="9" t="s">
        <v>88</v>
      </c>
    </row>
    <row r="18" spans="4:14">
      <c r="D18" s="405" t="s">
        <v>48</v>
      </c>
      <c r="E18" s="112" t="s">
        <v>55</v>
      </c>
      <c r="F18" s="111">
        <f t="shared" si="3"/>
        <v>649.75</v>
      </c>
      <c r="G18" s="109">
        <v>1.1499999999999999</v>
      </c>
      <c r="H18" s="109">
        <f t="shared" si="4"/>
        <v>565</v>
      </c>
      <c r="I18" s="113"/>
      <c r="J18" s="113">
        <v>450</v>
      </c>
      <c r="K18" s="113">
        <v>100</v>
      </c>
      <c r="L18" s="113">
        <v>15</v>
      </c>
      <c r="M18" s="9" t="s">
        <v>89</v>
      </c>
    </row>
    <row r="19" spans="4:14">
      <c r="D19" s="405" t="s">
        <v>268</v>
      </c>
      <c r="E19" s="112" t="s">
        <v>67</v>
      </c>
      <c r="F19" s="111">
        <f t="shared" ref="F19" si="5">G19*H19</f>
        <v>56.974999999999994</v>
      </c>
      <c r="G19" s="109">
        <v>2.15</v>
      </c>
      <c r="H19" s="109">
        <f t="shared" ref="H19" si="6">SUM(J19:L19)</f>
        <v>26.5</v>
      </c>
      <c r="I19" s="113"/>
      <c r="J19" s="113">
        <f>11.5</f>
        <v>11.5</v>
      </c>
      <c r="K19" s="113">
        <v>10</v>
      </c>
      <c r="L19" s="113">
        <v>5</v>
      </c>
      <c r="M19" s="9" t="s">
        <v>269</v>
      </c>
    </row>
    <row r="20" spans="4:14">
      <c r="D20" s="405" t="s">
        <v>49</v>
      </c>
      <c r="E20" s="112" t="s">
        <v>55</v>
      </c>
      <c r="F20" s="111">
        <f t="shared" si="3"/>
        <v>2961.2499999999995</v>
      </c>
      <c r="G20" s="109">
        <v>1.1499999999999999</v>
      </c>
      <c r="H20" s="109">
        <f t="shared" si="4"/>
        <v>2575</v>
      </c>
      <c r="I20" s="113"/>
      <c r="J20" s="113">
        <v>2000</v>
      </c>
      <c r="K20" s="113">
        <v>575</v>
      </c>
      <c r="L20" s="113"/>
    </row>
    <row r="21" spans="4:14">
      <c r="D21" s="405" t="s">
        <v>90</v>
      </c>
      <c r="E21" s="112" t="s">
        <v>55</v>
      </c>
      <c r="F21" s="111">
        <f t="shared" si="3"/>
        <v>17825</v>
      </c>
      <c r="G21" s="109">
        <v>1.1499999999999999</v>
      </c>
      <c r="H21" s="109">
        <f t="shared" si="4"/>
        <v>15500</v>
      </c>
      <c r="I21" s="113"/>
      <c r="J21" s="113">
        <v>15000</v>
      </c>
      <c r="K21" s="113">
        <v>500</v>
      </c>
      <c r="L21" s="113"/>
    </row>
    <row r="22" spans="4:14">
      <c r="D22" s="107"/>
      <c r="E22" s="112"/>
      <c r="F22" s="108"/>
      <c r="G22" s="109"/>
      <c r="H22" s="109"/>
      <c r="I22" s="113"/>
      <c r="J22" s="113"/>
      <c r="K22" s="113"/>
      <c r="L22" s="113"/>
    </row>
    <row r="23" spans="4:14">
      <c r="D23" s="107" t="s">
        <v>42</v>
      </c>
      <c r="E23" s="112" t="s">
        <v>54</v>
      </c>
      <c r="F23" s="111">
        <f t="shared" ref="F23:F24" si="7">G23*H23</f>
        <v>345</v>
      </c>
      <c r="G23" s="109">
        <v>1.1499999999999999</v>
      </c>
      <c r="H23" s="109">
        <f t="shared" ref="H23:H24" si="8">SUM(J23:L23)</f>
        <v>300</v>
      </c>
      <c r="I23" s="113"/>
      <c r="J23" s="113"/>
      <c r="K23" s="113">
        <v>300</v>
      </c>
      <c r="L23" s="113"/>
    </row>
    <row r="24" spans="4:14">
      <c r="D24" s="107" t="s">
        <v>43</v>
      </c>
      <c r="E24" s="112" t="s">
        <v>54</v>
      </c>
      <c r="F24" s="111">
        <f t="shared" si="7"/>
        <v>517.5</v>
      </c>
      <c r="G24" s="109">
        <v>1.1499999999999999</v>
      </c>
      <c r="H24" s="109">
        <f t="shared" si="8"/>
        <v>450</v>
      </c>
      <c r="I24" s="113"/>
      <c r="J24" s="113">
        <v>300</v>
      </c>
      <c r="K24" s="113">
        <v>150</v>
      </c>
      <c r="L24" s="113"/>
    </row>
    <row r="25" spans="4:14">
      <c r="F25" s="9"/>
      <c r="G25" s="9"/>
      <c r="H25" s="9"/>
      <c r="I25" s="9"/>
      <c r="J25" s="9"/>
      <c r="K25" s="9"/>
      <c r="L25" s="9"/>
    </row>
    <row r="26" spans="4:14">
      <c r="F26" s="9"/>
      <c r="G26" s="9"/>
      <c r="H26" s="9"/>
      <c r="I26" s="9"/>
      <c r="J26" s="9"/>
      <c r="K26" s="9"/>
      <c r="L26" s="9"/>
    </row>
    <row r="27" spans="4:14">
      <c r="F27" s="9"/>
      <c r="G27" s="9"/>
      <c r="H27" s="9"/>
      <c r="I27" s="9"/>
      <c r="J27" s="9"/>
      <c r="K27" s="9"/>
      <c r="L27" s="9"/>
    </row>
    <row r="28" spans="4:14">
      <c r="F28" s="9"/>
      <c r="G28" s="9"/>
      <c r="H28" s="9"/>
      <c r="I28" s="9"/>
      <c r="J28" s="9"/>
      <c r="K28" s="9"/>
      <c r="L28" s="9"/>
    </row>
    <row r="29" spans="4:14">
      <c r="F29" s="114"/>
      <c r="G29" s="9"/>
      <c r="H29" s="9"/>
      <c r="I29" s="114"/>
      <c r="J29" s="9"/>
      <c r="K29" s="9"/>
      <c r="L29" s="9"/>
    </row>
    <row r="30" spans="4:14">
      <c r="F30" s="9"/>
      <c r="G30" s="9"/>
      <c r="H30" s="9"/>
      <c r="I30" s="9"/>
      <c r="J30" s="9"/>
      <c r="K30" s="9"/>
      <c r="L30" s="9"/>
      <c r="M30" s="9">
        <v>2.69</v>
      </c>
      <c r="N30" s="9">
        <f>M30*19%</f>
        <v>0.5111</v>
      </c>
    </row>
    <row r="31" spans="4:14">
      <c r="F31" s="9"/>
      <c r="G31" s="9"/>
      <c r="H31" s="9"/>
      <c r="I31" s="9"/>
      <c r="J31" s="9"/>
      <c r="K31" s="9"/>
      <c r="L31" s="9"/>
    </row>
    <row r="32" spans="4:14">
      <c r="F32" s="9"/>
      <c r="G32" s="9"/>
      <c r="H32" s="9"/>
      <c r="I32" s="9"/>
      <c r="J32" s="9"/>
      <c r="K32" s="9"/>
      <c r="L32" s="9"/>
      <c r="N32" s="9">
        <f>M30-N30</f>
        <v>2.1789000000000001</v>
      </c>
    </row>
    <row r="33" spans="2:12">
      <c r="F33" s="9"/>
      <c r="G33" s="9"/>
      <c r="H33" s="9"/>
      <c r="I33" s="9"/>
      <c r="J33" s="9"/>
      <c r="K33" s="9"/>
      <c r="L33" s="9"/>
    </row>
    <row r="34" spans="2:12">
      <c r="F34" s="9"/>
      <c r="G34" s="9"/>
      <c r="H34" s="9"/>
      <c r="I34" s="9"/>
      <c r="J34" s="9"/>
      <c r="K34" s="9"/>
      <c r="L34" s="9"/>
    </row>
    <row r="35" spans="2:12">
      <c r="F35" s="9"/>
      <c r="G35" s="9"/>
      <c r="H35" s="9"/>
      <c r="I35" s="9"/>
      <c r="J35" s="9"/>
      <c r="K35" s="9"/>
      <c r="L35" s="9"/>
    </row>
    <row r="36" spans="2:12">
      <c r="F36" s="9"/>
      <c r="G36" s="9"/>
      <c r="H36" s="9"/>
      <c r="I36" s="9"/>
      <c r="J36" s="9"/>
      <c r="K36" s="9"/>
      <c r="L36" s="9"/>
    </row>
    <row r="37" spans="2:12">
      <c r="F37" s="9"/>
      <c r="G37" s="9"/>
      <c r="H37" s="9"/>
      <c r="I37" s="9"/>
      <c r="J37" s="9"/>
      <c r="K37" s="9"/>
      <c r="L37" s="9"/>
    </row>
    <row r="38" spans="2:12">
      <c r="F38" s="9"/>
      <c r="G38" s="9"/>
      <c r="H38" s="9"/>
      <c r="I38" s="9"/>
      <c r="J38" s="9"/>
      <c r="K38" s="9"/>
      <c r="L38" s="9"/>
    </row>
    <row r="39" spans="2:12">
      <c r="F39" s="9"/>
      <c r="G39" s="9"/>
      <c r="H39" s="9"/>
      <c r="I39" s="9"/>
      <c r="J39" s="9"/>
      <c r="K39" s="9"/>
      <c r="L39" s="9"/>
    </row>
    <row r="40" spans="2:12">
      <c r="F40" s="9"/>
      <c r="G40" s="9"/>
      <c r="H40" s="9"/>
      <c r="I40" s="9"/>
      <c r="J40" s="9"/>
      <c r="K40" s="9"/>
      <c r="L40" s="9"/>
    </row>
    <row r="41" spans="2:12">
      <c r="G41" s="9"/>
      <c r="H41" s="9"/>
      <c r="I41" s="9"/>
      <c r="J41" s="9"/>
      <c r="K41" s="9"/>
      <c r="L41" s="9"/>
    </row>
    <row r="42" spans="2:12">
      <c r="G42" s="9"/>
      <c r="H42" s="9"/>
      <c r="I42" s="9"/>
      <c r="J42" s="9"/>
      <c r="K42" s="9"/>
      <c r="L42" s="9"/>
    </row>
    <row r="43" spans="2:12">
      <c r="G43" s="9"/>
      <c r="H43" s="9"/>
      <c r="I43" s="9"/>
      <c r="J43" s="9"/>
      <c r="K43" s="9"/>
      <c r="L43" s="9"/>
    </row>
    <row r="44" spans="2:12">
      <c r="G44" s="9"/>
      <c r="H44" s="9"/>
      <c r="I44" s="9"/>
      <c r="J44" s="9"/>
      <c r="K44" s="9"/>
      <c r="L44" s="9"/>
    </row>
    <row r="45" spans="2:12">
      <c r="G45" s="9"/>
      <c r="H45" s="9"/>
      <c r="I45" s="9"/>
      <c r="J45" s="9"/>
      <c r="K45" s="9"/>
      <c r="L45" s="9"/>
    </row>
    <row r="46" spans="2:12">
      <c r="G46" s="9"/>
      <c r="H46" s="9"/>
      <c r="I46" s="9"/>
      <c r="J46" s="9"/>
      <c r="K46" s="9"/>
      <c r="L46" s="9"/>
    </row>
    <row r="47" spans="2:12">
      <c r="B47" s="9" t="s">
        <v>263</v>
      </c>
      <c r="G47" s="9"/>
      <c r="H47" s="9"/>
      <c r="I47" s="9"/>
      <c r="J47" s="9"/>
      <c r="K47" s="9"/>
      <c r="L47" s="9"/>
    </row>
    <row r="48" spans="2:12">
      <c r="G48" s="9"/>
      <c r="H48" s="9"/>
      <c r="I48" s="9"/>
      <c r="J48" s="9"/>
      <c r="K48" s="9"/>
      <c r="L48" s="9"/>
    </row>
    <row r="49" spans="7:12">
      <c r="G49" s="9"/>
      <c r="H49" s="9"/>
      <c r="I49" s="9"/>
      <c r="J49" s="9"/>
      <c r="K49" s="9"/>
      <c r="L49" s="9"/>
    </row>
    <row r="50" spans="7:12">
      <c r="G50" s="9"/>
      <c r="H50" s="9"/>
      <c r="I50" s="9"/>
      <c r="J50" s="9"/>
      <c r="K50" s="9"/>
      <c r="L50" s="9"/>
    </row>
    <row r="51" spans="7:12">
      <c r="G51" s="9"/>
      <c r="H51" s="9"/>
      <c r="I51" s="9"/>
      <c r="J51" s="9"/>
      <c r="K51" s="9"/>
      <c r="L51" s="9"/>
    </row>
    <row r="52" spans="7:12">
      <c r="G52" s="9"/>
      <c r="H52" s="9"/>
      <c r="I52" s="9"/>
      <c r="J52" s="9"/>
      <c r="K52" s="9"/>
      <c r="L52" s="9"/>
    </row>
    <row r="53" spans="7:12">
      <c r="G53" s="9"/>
      <c r="H53" s="9"/>
      <c r="I53" s="9"/>
      <c r="J53" s="9"/>
      <c r="K53" s="9"/>
      <c r="L53" s="9"/>
    </row>
    <row r="54" spans="7:12">
      <c r="G54" s="9"/>
      <c r="H54" s="9"/>
      <c r="I54" s="9"/>
      <c r="J54" s="9"/>
      <c r="K54" s="9"/>
      <c r="L54" s="9"/>
    </row>
    <row r="55" spans="7:12">
      <c r="G55" s="9"/>
      <c r="H55" s="9"/>
      <c r="I55" s="9"/>
      <c r="J55" s="9"/>
      <c r="K55" s="9"/>
      <c r="L55" s="9"/>
    </row>
    <row r="56" spans="7:12">
      <c r="G56" s="9"/>
      <c r="H56" s="9"/>
      <c r="I56" s="9"/>
      <c r="J56" s="9"/>
      <c r="K56" s="9"/>
      <c r="L56" s="9"/>
    </row>
    <row r="57" spans="7:12">
      <c r="G57" s="9"/>
      <c r="H57" s="9"/>
      <c r="I57" s="9"/>
      <c r="J57" s="9"/>
      <c r="K57" s="9"/>
      <c r="L57" s="9"/>
    </row>
    <row r="58" spans="7:12">
      <c r="G58" s="9"/>
      <c r="H58" s="9"/>
      <c r="I58" s="9"/>
      <c r="J58" s="9"/>
      <c r="K58" s="9"/>
      <c r="L58" s="9"/>
    </row>
    <row r="59" spans="7:12">
      <c r="G59" s="9"/>
      <c r="H59" s="9"/>
      <c r="I59" s="9"/>
      <c r="J59" s="9"/>
      <c r="K59" s="9"/>
      <c r="L59" s="9"/>
    </row>
    <row r="60" spans="7:12">
      <c r="G60" s="9"/>
      <c r="H60" s="9"/>
      <c r="I60" s="9"/>
      <c r="J60" s="9"/>
      <c r="K60" s="9"/>
      <c r="L60" s="9"/>
    </row>
    <row r="61" spans="7:12">
      <c r="G61" s="9"/>
      <c r="H61" s="9"/>
      <c r="I61" s="9"/>
      <c r="J61" s="9"/>
      <c r="K61" s="9"/>
      <c r="L61" s="9"/>
    </row>
    <row r="62" spans="7:12">
      <c r="G62" s="9"/>
      <c r="H62" s="9"/>
      <c r="I62" s="9"/>
      <c r="J62" s="9"/>
      <c r="K62" s="9"/>
      <c r="L62" s="9"/>
    </row>
    <row r="63" spans="7:12">
      <c r="G63" s="9"/>
      <c r="H63" s="9"/>
      <c r="I63" s="9"/>
      <c r="J63" s="9"/>
      <c r="K63" s="9"/>
      <c r="L63" s="9"/>
    </row>
    <row r="64" spans="7:12">
      <c r="G64" s="9"/>
      <c r="H64" s="9"/>
      <c r="I64" s="9"/>
      <c r="J64" s="9"/>
      <c r="K64" s="9"/>
      <c r="L64" s="9"/>
    </row>
    <row r="65" spans="7:12">
      <c r="G65" s="9"/>
      <c r="H65" s="9"/>
      <c r="I65" s="9"/>
      <c r="J65" s="9"/>
      <c r="K65" s="9"/>
      <c r="L65" s="9"/>
    </row>
    <row r="66" spans="7:12">
      <c r="G66" s="9"/>
      <c r="H66" s="9"/>
      <c r="I66" s="9"/>
      <c r="J66" s="9"/>
      <c r="K66" s="9"/>
      <c r="L66" s="9"/>
    </row>
  </sheetData>
  <pageMargins left="0.25" right="0.27" top="0.75" bottom="0.75" header="0.3" footer="0.3"/>
  <pageSetup paperSize="8" scale="6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"/>
  <sheetViews>
    <sheetView view="pageBreakPreview" zoomScale="60" zoomScaleNormal="100" workbookViewId="0">
      <selection activeCell="A41" sqref="A1:T41"/>
    </sheetView>
  </sheetViews>
  <sheetFormatPr defaultRowHeight="15"/>
  <cols>
    <col min="2" max="2" width="40.140625" bestFit="1" customWidth="1"/>
    <col min="3" max="20" width="6.7109375" customWidth="1"/>
  </cols>
  <sheetData>
    <row r="1" spans="1:20">
      <c r="A1" s="608"/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458"/>
      <c r="O1" s="458"/>
      <c r="P1" s="459"/>
      <c r="Q1" s="459"/>
      <c r="R1" s="459"/>
      <c r="S1" s="459"/>
      <c r="T1" s="459"/>
    </row>
    <row r="2" spans="1:20" ht="15.75">
      <c r="A2" s="459"/>
      <c r="B2" s="609" t="s">
        <v>422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460"/>
      <c r="O2" s="460"/>
      <c r="P2" s="459"/>
      <c r="Q2" s="459"/>
      <c r="R2" s="459"/>
      <c r="S2" s="459"/>
      <c r="T2" s="459"/>
    </row>
    <row r="3" spans="1:20" ht="15.75">
      <c r="A3" s="610" t="s">
        <v>261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461"/>
      <c r="O3" s="461"/>
      <c r="P3" s="459"/>
      <c r="Q3" s="459"/>
      <c r="R3" s="459"/>
      <c r="S3" s="459"/>
      <c r="T3" s="459"/>
    </row>
    <row r="4" spans="1:20" ht="15.75">
      <c r="A4" s="459"/>
      <c r="B4" s="462"/>
      <c r="C4" s="462"/>
      <c r="D4" s="462"/>
      <c r="E4" s="462"/>
      <c r="F4" s="463"/>
      <c r="G4" s="464"/>
      <c r="H4" s="459"/>
      <c r="I4" s="462"/>
      <c r="J4" s="462"/>
      <c r="K4" s="462"/>
      <c r="L4" s="462"/>
      <c r="M4" s="462"/>
      <c r="N4" s="462"/>
      <c r="O4" s="462"/>
      <c r="P4" s="459"/>
      <c r="Q4" s="459"/>
      <c r="R4" s="459"/>
      <c r="S4" s="459"/>
      <c r="T4" s="459"/>
    </row>
    <row r="5" spans="1:20" ht="16.5" thickBot="1">
      <c r="A5" s="459"/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459"/>
      <c r="S5" s="459"/>
      <c r="T5" s="462"/>
    </row>
    <row r="6" spans="1:20" ht="15.75" thickBot="1">
      <c r="A6" s="611" t="s">
        <v>4</v>
      </c>
      <c r="B6" s="611" t="s">
        <v>175</v>
      </c>
      <c r="C6" s="611" t="s">
        <v>388</v>
      </c>
      <c r="D6" s="612" t="s">
        <v>389</v>
      </c>
      <c r="E6" s="612" t="s">
        <v>390</v>
      </c>
      <c r="F6" s="612" t="s">
        <v>391</v>
      </c>
      <c r="G6" s="612" t="s">
        <v>392</v>
      </c>
      <c r="H6" s="612" t="s">
        <v>393</v>
      </c>
      <c r="I6" s="612" t="s">
        <v>394</v>
      </c>
      <c r="J6" s="612" t="s">
        <v>395</v>
      </c>
      <c r="K6" s="612" t="s">
        <v>396</v>
      </c>
      <c r="L6" s="612" t="s">
        <v>397</v>
      </c>
      <c r="M6" s="612" t="s">
        <v>398</v>
      </c>
      <c r="N6" s="612" t="s">
        <v>399</v>
      </c>
      <c r="O6" s="611" t="s">
        <v>400</v>
      </c>
      <c r="P6" s="612" t="s">
        <v>401</v>
      </c>
      <c r="Q6" s="611" t="s">
        <v>402</v>
      </c>
      <c r="R6" s="611" t="s">
        <v>403</v>
      </c>
      <c r="S6" s="611" t="s">
        <v>419</v>
      </c>
      <c r="T6" s="611" t="s">
        <v>421</v>
      </c>
    </row>
    <row r="7" spans="1:20" ht="15.75" thickBot="1">
      <c r="A7" s="611"/>
      <c r="B7" s="611"/>
      <c r="C7" s="611"/>
      <c r="D7" s="613"/>
      <c r="E7" s="613"/>
      <c r="F7" s="613"/>
      <c r="G7" s="613"/>
      <c r="H7" s="613"/>
      <c r="I7" s="613"/>
      <c r="J7" s="613"/>
      <c r="K7" s="613"/>
      <c r="L7" s="613"/>
      <c r="M7" s="613"/>
      <c r="N7" s="613"/>
      <c r="O7" s="611"/>
      <c r="P7" s="613"/>
      <c r="Q7" s="611"/>
      <c r="R7" s="611"/>
      <c r="S7" s="611"/>
      <c r="T7" s="611"/>
    </row>
    <row r="8" spans="1:20" ht="15.75" thickBot="1">
      <c r="A8" s="611"/>
      <c r="B8" s="611"/>
      <c r="C8" s="611"/>
      <c r="D8" s="613"/>
      <c r="E8" s="613"/>
      <c r="F8" s="613"/>
      <c r="G8" s="613"/>
      <c r="H8" s="613"/>
      <c r="I8" s="613"/>
      <c r="J8" s="613"/>
      <c r="K8" s="613"/>
      <c r="L8" s="613"/>
      <c r="M8" s="613"/>
      <c r="N8" s="613"/>
      <c r="O8" s="611"/>
      <c r="P8" s="613"/>
      <c r="Q8" s="611"/>
      <c r="R8" s="611"/>
      <c r="S8" s="611"/>
      <c r="T8" s="611"/>
    </row>
    <row r="9" spans="1:20" ht="15.75" thickBot="1">
      <c r="A9" s="611"/>
      <c r="B9" s="611"/>
      <c r="C9" s="611"/>
      <c r="D9" s="614"/>
      <c r="E9" s="614"/>
      <c r="F9" s="614"/>
      <c r="G9" s="614"/>
      <c r="H9" s="614"/>
      <c r="I9" s="614"/>
      <c r="J9" s="614"/>
      <c r="K9" s="614"/>
      <c r="L9" s="614"/>
      <c r="M9" s="614"/>
      <c r="N9" s="614"/>
      <c r="O9" s="611"/>
      <c r="P9" s="614"/>
      <c r="Q9" s="611"/>
      <c r="R9" s="611"/>
      <c r="S9" s="611"/>
      <c r="T9" s="611"/>
    </row>
    <row r="10" spans="1:20" ht="15.75" thickBot="1">
      <c r="A10" s="465">
        <v>0</v>
      </c>
      <c r="B10" s="465">
        <v>1</v>
      </c>
      <c r="C10" s="465">
        <v>2</v>
      </c>
      <c r="D10" s="465">
        <v>3</v>
      </c>
      <c r="E10" s="465">
        <v>4</v>
      </c>
      <c r="F10" s="465">
        <v>5</v>
      </c>
      <c r="G10" s="465">
        <v>6</v>
      </c>
      <c r="H10" s="465">
        <v>7</v>
      </c>
      <c r="I10" s="465">
        <v>8</v>
      </c>
      <c r="J10" s="465">
        <v>9</v>
      </c>
      <c r="K10" s="465">
        <v>10</v>
      </c>
      <c r="L10" s="465">
        <v>11</v>
      </c>
      <c r="M10" s="465">
        <v>12</v>
      </c>
      <c r="N10" s="465">
        <v>13</v>
      </c>
      <c r="O10" s="465">
        <v>14</v>
      </c>
      <c r="P10" s="465">
        <v>15</v>
      </c>
      <c r="Q10" s="465">
        <v>16</v>
      </c>
      <c r="R10" s="465">
        <v>17</v>
      </c>
      <c r="S10" s="465">
        <v>18</v>
      </c>
      <c r="T10" s="465">
        <v>19</v>
      </c>
    </row>
    <row r="11" spans="1:20">
      <c r="A11" s="466" t="s">
        <v>177</v>
      </c>
      <c r="B11" s="467"/>
      <c r="C11" s="487"/>
      <c r="D11" s="488"/>
      <c r="E11" s="488"/>
      <c r="F11" s="488"/>
      <c r="G11" s="488"/>
      <c r="H11" s="488"/>
      <c r="I11" s="488"/>
      <c r="J11" s="488"/>
      <c r="K11" s="488"/>
      <c r="L11" s="488"/>
      <c r="M11" s="488"/>
      <c r="N11" s="488"/>
      <c r="O11" s="488"/>
      <c r="P11" s="488"/>
      <c r="Q11" s="488"/>
      <c r="R11" s="488"/>
      <c r="S11" s="488"/>
      <c r="T11" s="489"/>
    </row>
    <row r="12" spans="1:20">
      <c r="A12" s="468" t="s">
        <v>178</v>
      </c>
      <c r="B12" s="469" t="s">
        <v>406</v>
      </c>
      <c r="C12" s="484"/>
      <c r="D12" s="470"/>
      <c r="E12" s="470"/>
      <c r="F12" s="470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</row>
    <row r="13" spans="1:20">
      <c r="A13" s="468" t="s">
        <v>179</v>
      </c>
      <c r="B13" s="469" t="s">
        <v>180</v>
      </c>
      <c r="C13" s="470"/>
      <c r="D13" s="470"/>
      <c r="E13" s="470"/>
      <c r="F13" s="470"/>
      <c r="G13" s="470"/>
      <c r="H13" s="470"/>
      <c r="I13" s="484"/>
      <c r="J13" s="484"/>
      <c r="K13" s="470"/>
      <c r="L13" s="470"/>
      <c r="M13" s="470"/>
      <c r="N13" s="470"/>
      <c r="O13" s="470"/>
      <c r="P13" s="470"/>
      <c r="Q13" s="470"/>
      <c r="R13" s="470"/>
      <c r="S13" s="470"/>
      <c r="T13" s="470"/>
    </row>
    <row r="14" spans="1:20" ht="22.5">
      <c r="A14" s="471" t="s">
        <v>181</v>
      </c>
      <c r="B14" s="472" t="s">
        <v>407</v>
      </c>
      <c r="C14" s="473"/>
      <c r="D14" s="473"/>
      <c r="E14" s="473"/>
      <c r="F14" s="473"/>
      <c r="G14" s="470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85"/>
      <c r="T14" s="485"/>
    </row>
    <row r="15" spans="1:20">
      <c r="A15" s="466" t="s">
        <v>183</v>
      </c>
      <c r="B15" s="474"/>
      <c r="C15" s="475"/>
      <c r="D15" s="475"/>
      <c r="E15" s="475"/>
      <c r="F15" s="475"/>
      <c r="G15" s="475"/>
      <c r="H15" s="475"/>
      <c r="I15" s="486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</row>
    <row r="16" spans="1:20">
      <c r="A16" s="466" t="s">
        <v>185</v>
      </c>
      <c r="B16" s="474"/>
      <c r="C16" s="476"/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76"/>
      <c r="R16" s="476"/>
      <c r="S16" s="476"/>
      <c r="T16" s="476"/>
    </row>
    <row r="17" spans="1:20">
      <c r="A17" s="477" t="s">
        <v>186</v>
      </c>
      <c r="B17" s="469" t="s">
        <v>187</v>
      </c>
      <c r="C17" s="484"/>
      <c r="D17" s="484"/>
      <c r="E17" s="470"/>
      <c r="F17" s="478"/>
      <c r="G17" s="470"/>
      <c r="H17" s="470"/>
      <c r="I17" s="470"/>
      <c r="J17" s="470"/>
      <c r="K17" s="470"/>
      <c r="L17" s="470"/>
      <c r="M17" s="470"/>
      <c r="N17" s="470"/>
      <c r="O17" s="470"/>
      <c r="P17" s="470"/>
      <c r="Q17" s="470"/>
      <c r="R17" s="470"/>
      <c r="S17" s="470"/>
      <c r="T17" s="470"/>
    </row>
    <row r="18" spans="1:20">
      <c r="A18" s="468" t="s">
        <v>188</v>
      </c>
      <c r="B18" s="469" t="s">
        <v>189</v>
      </c>
      <c r="C18" s="470"/>
      <c r="D18" s="484"/>
      <c r="E18" s="470"/>
      <c r="F18" s="478"/>
      <c r="G18" s="470"/>
      <c r="H18" s="470"/>
      <c r="I18" s="470"/>
      <c r="J18" s="470"/>
      <c r="K18" s="470"/>
      <c r="L18" s="470"/>
      <c r="M18" s="470"/>
      <c r="N18" s="470"/>
      <c r="O18" s="470"/>
      <c r="P18" s="470"/>
      <c r="Q18" s="470"/>
      <c r="R18" s="470"/>
      <c r="S18" s="470"/>
      <c r="T18" s="470"/>
    </row>
    <row r="19" spans="1:20">
      <c r="A19" s="477" t="s">
        <v>190</v>
      </c>
      <c r="B19" s="469" t="s">
        <v>191</v>
      </c>
      <c r="C19" s="484"/>
      <c r="D19" s="484"/>
      <c r="E19" s="484"/>
      <c r="F19" s="484"/>
      <c r="G19" s="470"/>
      <c r="H19" s="470"/>
      <c r="I19" s="470"/>
      <c r="J19" s="470"/>
      <c r="K19" s="470"/>
      <c r="L19" s="470"/>
      <c r="M19" s="470"/>
      <c r="N19" s="470"/>
      <c r="O19" s="470"/>
      <c r="P19" s="470"/>
      <c r="Q19" s="470"/>
      <c r="R19" s="470"/>
      <c r="S19" s="470"/>
      <c r="T19" s="470"/>
    </row>
    <row r="20" spans="1:20">
      <c r="A20" s="477" t="s">
        <v>192</v>
      </c>
      <c r="B20" s="469" t="s">
        <v>193</v>
      </c>
      <c r="C20" s="470"/>
      <c r="D20" s="470"/>
      <c r="E20" s="470"/>
      <c r="F20" s="484"/>
      <c r="G20" s="484"/>
      <c r="H20" s="484"/>
      <c r="I20" s="470"/>
      <c r="J20" s="470"/>
      <c r="K20" s="470"/>
      <c r="L20" s="470"/>
      <c r="M20" s="470"/>
      <c r="N20" s="470"/>
      <c r="O20" s="470"/>
      <c r="P20" s="470"/>
      <c r="Q20" s="470"/>
      <c r="R20" s="470"/>
      <c r="S20" s="470"/>
      <c r="T20" s="470"/>
    </row>
    <row r="21" spans="1:20">
      <c r="A21" s="477" t="s">
        <v>194</v>
      </c>
      <c r="B21" s="469" t="s">
        <v>195</v>
      </c>
      <c r="C21" s="484"/>
      <c r="D21" s="484"/>
      <c r="E21" s="484"/>
      <c r="F21" s="484"/>
      <c r="G21" s="484"/>
      <c r="H21" s="484"/>
      <c r="I21" s="484"/>
      <c r="J21" s="484"/>
      <c r="K21" s="484"/>
      <c r="L21" s="484"/>
      <c r="M21" s="484"/>
      <c r="N21" s="484"/>
      <c r="O21" s="484"/>
      <c r="P21" s="484"/>
      <c r="Q21" s="484"/>
      <c r="R21" s="484"/>
      <c r="S21" s="484"/>
      <c r="T21" s="484"/>
    </row>
    <row r="22" spans="1:20">
      <c r="A22" s="477" t="s">
        <v>196</v>
      </c>
      <c r="B22" s="469" t="s">
        <v>408</v>
      </c>
      <c r="C22" s="478"/>
      <c r="D22" s="478"/>
      <c r="E22" s="478"/>
      <c r="F22" s="478"/>
      <c r="G22" s="478"/>
      <c r="H22" s="478"/>
      <c r="I22" s="484"/>
      <c r="J22" s="484"/>
      <c r="K22" s="484"/>
      <c r="L22" s="484"/>
      <c r="M22" s="484"/>
      <c r="N22" s="484"/>
      <c r="O22" s="484"/>
      <c r="P22" s="484"/>
      <c r="Q22" s="484"/>
      <c r="R22" s="484"/>
      <c r="S22" s="484"/>
      <c r="T22" s="484"/>
    </row>
    <row r="23" spans="1:20">
      <c r="A23" s="466" t="s">
        <v>409</v>
      </c>
      <c r="B23" s="479"/>
      <c r="C23" s="615"/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6"/>
      <c r="T23" s="617"/>
    </row>
    <row r="24" spans="1:20">
      <c r="A24" s="477" t="s">
        <v>199</v>
      </c>
      <c r="B24" s="469" t="s">
        <v>200</v>
      </c>
      <c r="C24" s="470"/>
      <c r="D24" s="470"/>
      <c r="E24" s="470"/>
      <c r="F24" s="470"/>
      <c r="G24" s="470"/>
      <c r="H24" s="470"/>
      <c r="I24" s="484"/>
      <c r="J24" s="484"/>
      <c r="K24" s="484"/>
      <c r="L24" s="484"/>
      <c r="M24" s="484"/>
      <c r="N24" s="484"/>
      <c r="O24" s="484"/>
      <c r="P24" s="484"/>
      <c r="Q24" s="484"/>
      <c r="R24" s="484"/>
      <c r="S24" s="484"/>
      <c r="T24" s="484"/>
    </row>
    <row r="25" spans="1:20">
      <c r="A25" s="477" t="s">
        <v>201</v>
      </c>
      <c r="B25" s="469" t="s">
        <v>202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  <c r="N25" s="470"/>
      <c r="O25" s="470"/>
      <c r="P25" s="470"/>
      <c r="Q25" s="470"/>
      <c r="R25" s="470"/>
      <c r="S25" s="470"/>
      <c r="T25" s="470"/>
    </row>
    <row r="26" spans="1:20">
      <c r="A26" s="477" t="s">
        <v>203</v>
      </c>
      <c r="B26" s="469" t="s">
        <v>204</v>
      </c>
      <c r="C26" s="470"/>
      <c r="D26" s="470"/>
      <c r="E26" s="470"/>
      <c r="F26" s="470"/>
      <c r="G26" s="470"/>
      <c r="H26" s="470"/>
      <c r="I26" s="470"/>
      <c r="J26" s="470"/>
      <c r="K26" s="470"/>
      <c r="L26" s="470"/>
      <c r="M26" s="470"/>
      <c r="N26" s="470"/>
      <c r="O26" s="470"/>
      <c r="P26" s="470"/>
      <c r="Q26" s="470"/>
      <c r="R26" s="470"/>
      <c r="S26" s="470"/>
      <c r="T26" s="470"/>
    </row>
    <row r="27" spans="1:20">
      <c r="A27" s="477" t="s">
        <v>205</v>
      </c>
      <c r="B27" s="469" t="s">
        <v>206</v>
      </c>
      <c r="C27" s="470"/>
      <c r="D27" s="470"/>
      <c r="E27" s="470"/>
      <c r="F27" s="478"/>
      <c r="G27" s="470"/>
      <c r="H27" s="470"/>
      <c r="I27" s="470"/>
      <c r="J27" s="470"/>
      <c r="K27" s="470"/>
      <c r="L27" s="470"/>
      <c r="M27" s="470"/>
      <c r="N27" s="470"/>
      <c r="O27" s="470"/>
      <c r="P27" s="470"/>
      <c r="Q27" s="470"/>
      <c r="R27" s="470"/>
      <c r="S27" s="470"/>
      <c r="T27" s="470"/>
    </row>
    <row r="28" spans="1:20">
      <c r="A28" s="477" t="s">
        <v>207</v>
      </c>
      <c r="B28" s="469" t="s">
        <v>34</v>
      </c>
      <c r="C28" s="470"/>
      <c r="D28" s="470"/>
      <c r="E28" s="470"/>
      <c r="F28" s="470"/>
      <c r="G28" s="470"/>
      <c r="H28" s="470"/>
      <c r="I28" s="470"/>
      <c r="J28" s="470"/>
      <c r="K28" s="470"/>
      <c r="L28" s="470"/>
      <c r="M28" s="470"/>
      <c r="N28" s="470"/>
      <c r="O28" s="470"/>
      <c r="P28" s="470"/>
      <c r="Q28" s="470"/>
      <c r="R28" s="470"/>
      <c r="S28" s="470"/>
      <c r="T28" s="470"/>
    </row>
    <row r="29" spans="1:20">
      <c r="A29" s="477">
        <v>4.5999999999999996</v>
      </c>
      <c r="B29" s="469" t="s">
        <v>208</v>
      </c>
      <c r="C29" s="470"/>
      <c r="D29" s="470"/>
      <c r="E29" s="470"/>
      <c r="F29" s="478"/>
      <c r="G29" s="470"/>
      <c r="H29" s="470"/>
      <c r="I29" s="470"/>
      <c r="J29" s="470"/>
      <c r="K29" s="470"/>
      <c r="L29" s="470"/>
      <c r="M29" s="470"/>
      <c r="N29" s="470"/>
      <c r="O29" s="470"/>
      <c r="P29" s="470"/>
      <c r="Q29" s="470"/>
      <c r="R29" s="470"/>
      <c r="S29" s="470"/>
      <c r="T29" s="470"/>
    </row>
    <row r="30" spans="1:20">
      <c r="A30" s="466" t="s">
        <v>210</v>
      </c>
      <c r="B30" s="479"/>
      <c r="C30" s="615"/>
      <c r="D30" s="616"/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7"/>
    </row>
    <row r="31" spans="1:20">
      <c r="A31" s="477" t="s">
        <v>410</v>
      </c>
      <c r="B31" s="469" t="s">
        <v>411</v>
      </c>
      <c r="C31" s="470"/>
      <c r="D31" s="470"/>
      <c r="E31" s="470"/>
      <c r="F31" s="470"/>
      <c r="G31" s="470"/>
      <c r="H31" s="470"/>
      <c r="I31" s="484"/>
      <c r="J31" s="470"/>
      <c r="K31" s="470"/>
      <c r="L31" s="470"/>
      <c r="M31" s="470"/>
      <c r="N31" s="470"/>
      <c r="O31" s="470"/>
      <c r="P31" s="470"/>
      <c r="Q31" s="470"/>
      <c r="R31" s="470"/>
      <c r="S31" s="470"/>
      <c r="T31" s="470"/>
    </row>
    <row r="32" spans="1:20">
      <c r="A32" s="477" t="s">
        <v>412</v>
      </c>
      <c r="B32" s="469" t="s">
        <v>413</v>
      </c>
      <c r="C32" s="470"/>
      <c r="D32" s="470"/>
      <c r="E32" s="470"/>
      <c r="F32" s="470"/>
      <c r="G32" s="470"/>
      <c r="H32" s="470"/>
      <c r="I32" s="470"/>
      <c r="J32" s="484"/>
      <c r="K32" s="470"/>
      <c r="L32" s="470"/>
      <c r="M32" s="470"/>
      <c r="N32" s="470"/>
      <c r="O32" s="470"/>
      <c r="P32" s="470"/>
      <c r="Q32" s="470"/>
      <c r="R32" s="470"/>
      <c r="S32" s="470"/>
      <c r="T32" s="470"/>
    </row>
    <row r="33" spans="1:20">
      <c r="A33" s="477" t="s">
        <v>212</v>
      </c>
      <c r="B33" s="469" t="s">
        <v>414</v>
      </c>
      <c r="C33" s="470"/>
      <c r="D33" s="470"/>
      <c r="E33" s="470"/>
      <c r="F33" s="470"/>
      <c r="G33" s="470"/>
      <c r="H33" s="470"/>
      <c r="I33" s="484"/>
      <c r="J33" s="484"/>
      <c r="K33" s="484"/>
      <c r="L33" s="484"/>
      <c r="M33" s="484"/>
      <c r="N33" s="484"/>
      <c r="O33" s="484"/>
      <c r="P33" s="484"/>
      <c r="Q33" s="484"/>
      <c r="R33" s="484"/>
      <c r="S33" s="484"/>
      <c r="T33" s="484"/>
    </row>
    <row r="34" spans="1:20">
      <c r="A34" s="477" t="s">
        <v>214</v>
      </c>
      <c r="B34" s="469" t="s">
        <v>415</v>
      </c>
      <c r="C34" s="470"/>
      <c r="D34" s="470"/>
      <c r="E34" s="470"/>
      <c r="F34" s="470"/>
      <c r="G34" s="470"/>
      <c r="H34" s="470"/>
      <c r="I34" s="470"/>
      <c r="J34" s="470"/>
      <c r="K34" s="470"/>
      <c r="L34" s="470"/>
      <c r="M34" s="470"/>
      <c r="N34" s="470"/>
      <c r="O34" s="484"/>
      <c r="P34" s="484"/>
      <c r="Q34" s="484"/>
      <c r="R34" s="484"/>
      <c r="S34" s="484"/>
      <c r="T34" s="484"/>
    </row>
    <row r="35" spans="1:20">
      <c r="A35" s="466" t="s">
        <v>416</v>
      </c>
      <c r="B35" s="479"/>
      <c r="C35" s="480"/>
      <c r="D35" s="480"/>
      <c r="E35" s="615"/>
      <c r="F35" s="616"/>
      <c r="G35" s="616"/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  <c r="S35" s="616"/>
      <c r="T35" s="617"/>
    </row>
    <row r="36" spans="1:20">
      <c r="A36" s="477" t="s">
        <v>217</v>
      </c>
      <c r="B36" s="469" t="s">
        <v>218</v>
      </c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  <c r="O36" s="470"/>
      <c r="P36" s="470"/>
      <c r="Q36" s="470"/>
      <c r="R36" s="470"/>
      <c r="S36" s="470"/>
      <c r="T36" s="470"/>
    </row>
    <row r="37" spans="1:20">
      <c r="A37" s="477" t="s">
        <v>219</v>
      </c>
      <c r="B37" s="469" t="s">
        <v>220</v>
      </c>
      <c r="C37" s="470"/>
      <c r="D37" s="470"/>
      <c r="E37" s="470"/>
      <c r="F37" s="470"/>
      <c r="G37" s="470"/>
      <c r="H37" s="470"/>
      <c r="I37" s="470"/>
      <c r="J37" s="470"/>
      <c r="K37" s="470"/>
      <c r="L37" s="470"/>
      <c r="M37" s="470"/>
      <c r="N37" s="470"/>
      <c r="O37" s="470"/>
      <c r="P37" s="470"/>
      <c r="Q37" s="470"/>
      <c r="R37" s="470"/>
      <c r="S37" s="470"/>
      <c r="T37" s="470"/>
    </row>
    <row r="38" spans="1:20">
      <c r="A38" s="481"/>
      <c r="B38" s="481"/>
      <c r="C38" s="459"/>
      <c r="D38" s="459"/>
      <c r="E38" s="459"/>
      <c r="F38" s="459"/>
      <c r="G38" s="459"/>
      <c r="H38" s="459"/>
      <c r="I38" s="459"/>
      <c r="J38" s="459"/>
      <c r="K38" s="459"/>
      <c r="L38" s="459"/>
      <c r="M38" s="459"/>
      <c r="N38" s="459"/>
      <c r="O38" s="459"/>
      <c r="P38" s="459"/>
      <c r="Q38" s="459"/>
      <c r="R38" s="459"/>
      <c r="S38" s="459"/>
      <c r="T38" s="459"/>
    </row>
    <row r="39" spans="1:20">
      <c r="A39" s="482"/>
      <c r="B39" s="483" t="s">
        <v>418</v>
      </c>
      <c r="C39" s="459"/>
      <c r="D39" s="459"/>
      <c r="E39" s="459"/>
      <c r="F39" s="459"/>
      <c r="G39" s="459"/>
      <c r="H39" s="459"/>
      <c r="I39" s="459"/>
      <c r="J39" s="459"/>
      <c r="K39" s="459"/>
      <c r="L39" s="459"/>
      <c r="M39" s="459"/>
      <c r="N39" s="459"/>
      <c r="O39" s="459"/>
      <c r="P39" s="459"/>
      <c r="Q39" s="459"/>
      <c r="R39" s="459"/>
      <c r="S39" s="459"/>
      <c r="T39" s="459"/>
    </row>
    <row r="40" spans="1:20">
      <c r="A40" s="459"/>
      <c r="B40" s="483" t="str">
        <f>'[1]Date Generale'!D9</f>
        <v>S.C. Tehno Consulting Solution S.R.L.</v>
      </c>
      <c r="C40" s="459"/>
      <c r="D40" s="459"/>
      <c r="E40" s="459"/>
      <c r="F40" s="459"/>
      <c r="G40" s="459"/>
      <c r="H40" s="459"/>
      <c r="I40" s="459"/>
      <c r="J40" s="459"/>
      <c r="K40" s="459"/>
      <c r="L40" s="459"/>
      <c r="M40" s="459"/>
      <c r="N40" s="459"/>
      <c r="O40" s="459"/>
      <c r="P40" s="459"/>
      <c r="Q40" s="459"/>
      <c r="R40" s="459"/>
      <c r="S40" s="459"/>
      <c r="T40" s="459"/>
    </row>
    <row r="41" spans="1:20">
      <c r="A41" s="459"/>
      <c r="B41" s="459"/>
      <c r="C41" s="459"/>
      <c r="D41" s="459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</row>
    <row r="42" spans="1:20">
      <c r="A42" s="459"/>
      <c r="B42" s="459"/>
      <c r="C42" s="459"/>
      <c r="D42" s="459"/>
      <c r="E42" s="459"/>
      <c r="F42" s="459"/>
      <c r="G42" s="459"/>
      <c r="H42" s="459"/>
      <c r="I42" s="459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</row>
  </sheetData>
  <mergeCells count="26">
    <mergeCell ref="T6:T9"/>
    <mergeCell ref="C30:T30"/>
    <mergeCell ref="C23:T23"/>
    <mergeCell ref="E35:T35"/>
    <mergeCell ref="N6:N9"/>
    <mergeCell ref="O6:O9"/>
    <mergeCell ref="P6:P9"/>
    <mergeCell ref="Q6:Q9"/>
    <mergeCell ref="R6:R9"/>
    <mergeCell ref="S6:S9"/>
    <mergeCell ref="H6:H9"/>
    <mergeCell ref="I6:I9"/>
    <mergeCell ref="J6:J9"/>
    <mergeCell ref="K6:K9"/>
    <mergeCell ref="L6:L9"/>
    <mergeCell ref="M6:M9"/>
    <mergeCell ref="A1:M1"/>
    <mergeCell ref="B2:M2"/>
    <mergeCell ref="A3:M3"/>
    <mergeCell ref="A6:A9"/>
    <mergeCell ref="B6:B9"/>
    <mergeCell ref="C6:C9"/>
    <mergeCell ref="D6:D9"/>
    <mergeCell ref="E6:E9"/>
    <mergeCell ref="F6:F9"/>
    <mergeCell ref="G6:G9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0"/>
  <sheetViews>
    <sheetView view="pageBreakPreview" zoomScaleNormal="100" zoomScaleSheetLayoutView="100" workbookViewId="0">
      <selection activeCell="N51" sqref="N50:N51"/>
    </sheetView>
  </sheetViews>
  <sheetFormatPr defaultRowHeight="15"/>
  <cols>
    <col min="2" max="2" width="40.140625" bestFit="1" customWidth="1"/>
    <col min="3" max="3" width="14.42578125" customWidth="1"/>
    <col min="4" max="20" width="13.28515625" customWidth="1"/>
    <col min="21" max="21" width="14.7109375" customWidth="1"/>
  </cols>
  <sheetData>
    <row r="1" spans="1:21">
      <c r="A1" s="618"/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494"/>
      <c r="O1" s="494"/>
      <c r="P1" s="495"/>
      <c r="Q1" s="495"/>
      <c r="R1" s="495"/>
      <c r="S1" s="495"/>
      <c r="T1" s="495"/>
      <c r="U1" s="495"/>
    </row>
    <row r="2" spans="1:21">
      <c r="A2" s="623" t="s">
        <v>386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</row>
    <row r="3" spans="1:21">
      <c r="A3" s="624" t="s">
        <v>261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</row>
    <row r="4" spans="1:21">
      <c r="A4" s="495"/>
      <c r="B4" s="496"/>
      <c r="C4" s="496"/>
      <c r="D4" s="496"/>
      <c r="E4" s="496"/>
      <c r="F4" s="45"/>
      <c r="G4" s="497"/>
      <c r="H4" s="495"/>
      <c r="I4" s="496"/>
      <c r="J4" s="496"/>
      <c r="K4" s="496"/>
      <c r="L4" s="496"/>
      <c r="M4" s="496"/>
      <c r="N4" s="496"/>
      <c r="O4" s="496"/>
      <c r="P4" s="495"/>
      <c r="Q4" s="495"/>
      <c r="R4" s="495"/>
      <c r="S4" s="495"/>
      <c r="T4" s="495"/>
      <c r="U4" s="495"/>
    </row>
    <row r="5" spans="1:21" ht="15.75" thickBot="1">
      <c r="A5" s="495"/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495"/>
      <c r="N5" s="495"/>
      <c r="O5" s="495"/>
      <c r="P5" s="495"/>
      <c r="Q5" s="495"/>
      <c r="R5" s="495"/>
      <c r="S5" s="495"/>
      <c r="T5" s="496" t="s">
        <v>387</v>
      </c>
      <c r="U5" s="495"/>
    </row>
    <row r="6" spans="1:21" ht="15.75" thickBot="1">
      <c r="A6" s="619" t="s">
        <v>4</v>
      </c>
      <c r="B6" s="619" t="s">
        <v>175</v>
      </c>
      <c r="C6" s="619" t="s">
        <v>388</v>
      </c>
      <c r="D6" s="620" t="s">
        <v>389</v>
      </c>
      <c r="E6" s="620" t="s">
        <v>390</v>
      </c>
      <c r="F6" s="620" t="s">
        <v>391</v>
      </c>
      <c r="G6" s="620" t="s">
        <v>392</v>
      </c>
      <c r="H6" s="620" t="s">
        <v>393</v>
      </c>
      <c r="I6" s="620" t="s">
        <v>394</v>
      </c>
      <c r="J6" s="620" t="s">
        <v>395</v>
      </c>
      <c r="K6" s="620" t="s">
        <v>396</v>
      </c>
      <c r="L6" s="620" t="s">
        <v>397</v>
      </c>
      <c r="M6" s="620" t="s">
        <v>398</v>
      </c>
      <c r="N6" s="620" t="s">
        <v>399</v>
      </c>
      <c r="O6" s="619" t="s">
        <v>400</v>
      </c>
      <c r="P6" s="620" t="s">
        <v>401</v>
      </c>
      <c r="Q6" s="619" t="s">
        <v>402</v>
      </c>
      <c r="R6" s="619" t="s">
        <v>403</v>
      </c>
      <c r="S6" s="619" t="s">
        <v>419</v>
      </c>
      <c r="T6" s="619" t="s">
        <v>421</v>
      </c>
      <c r="U6" s="619" t="s">
        <v>404</v>
      </c>
    </row>
    <row r="7" spans="1:21" ht="15.75" thickBot="1">
      <c r="A7" s="619"/>
      <c r="B7" s="619"/>
      <c r="C7" s="619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19"/>
      <c r="P7" s="621"/>
      <c r="Q7" s="619"/>
      <c r="R7" s="619"/>
      <c r="S7" s="619"/>
      <c r="T7" s="619"/>
      <c r="U7" s="619"/>
    </row>
    <row r="8" spans="1:21" ht="15.75" thickBot="1">
      <c r="A8" s="619"/>
      <c r="B8" s="619"/>
      <c r="C8" s="619"/>
      <c r="D8" s="621"/>
      <c r="E8" s="621"/>
      <c r="F8" s="621"/>
      <c r="G8" s="621"/>
      <c r="H8" s="621"/>
      <c r="I8" s="621"/>
      <c r="J8" s="621"/>
      <c r="K8" s="621"/>
      <c r="L8" s="621"/>
      <c r="M8" s="621"/>
      <c r="N8" s="621"/>
      <c r="O8" s="619"/>
      <c r="P8" s="621"/>
      <c r="Q8" s="619"/>
      <c r="R8" s="619"/>
      <c r="S8" s="619"/>
      <c r="T8" s="619"/>
      <c r="U8" s="619"/>
    </row>
    <row r="9" spans="1:21" ht="15.75" thickBot="1">
      <c r="A9" s="619"/>
      <c r="B9" s="619"/>
      <c r="C9" s="619"/>
      <c r="D9" s="622"/>
      <c r="E9" s="622"/>
      <c r="F9" s="622"/>
      <c r="G9" s="622"/>
      <c r="H9" s="622"/>
      <c r="I9" s="622"/>
      <c r="J9" s="622"/>
      <c r="K9" s="622"/>
      <c r="L9" s="622"/>
      <c r="M9" s="622"/>
      <c r="N9" s="622"/>
      <c r="O9" s="619"/>
      <c r="P9" s="622"/>
      <c r="Q9" s="619"/>
      <c r="R9" s="619"/>
      <c r="S9" s="619"/>
      <c r="T9" s="619"/>
      <c r="U9" s="619"/>
    </row>
    <row r="10" spans="1:21" ht="15.75" thickBot="1">
      <c r="A10" s="498">
        <v>0</v>
      </c>
      <c r="B10" s="498">
        <v>1</v>
      </c>
      <c r="C10" s="498">
        <v>2</v>
      </c>
      <c r="D10" s="498">
        <v>3</v>
      </c>
      <c r="E10" s="498">
        <v>4</v>
      </c>
      <c r="F10" s="498">
        <v>5</v>
      </c>
      <c r="G10" s="498">
        <v>6</v>
      </c>
      <c r="H10" s="498">
        <v>7</v>
      </c>
      <c r="I10" s="498">
        <v>8</v>
      </c>
      <c r="J10" s="498">
        <v>9</v>
      </c>
      <c r="K10" s="498">
        <v>10</v>
      </c>
      <c r="L10" s="498">
        <v>11</v>
      </c>
      <c r="M10" s="498">
        <v>12</v>
      </c>
      <c r="N10" s="498">
        <v>13</v>
      </c>
      <c r="O10" s="498">
        <v>14</v>
      </c>
      <c r="P10" s="498">
        <v>15</v>
      </c>
      <c r="Q10" s="498">
        <v>16</v>
      </c>
      <c r="R10" s="498">
        <v>17</v>
      </c>
      <c r="S10" s="498">
        <v>18</v>
      </c>
      <c r="T10" s="498">
        <v>19</v>
      </c>
      <c r="U10" s="498">
        <v>20</v>
      </c>
    </row>
    <row r="11" spans="1:21">
      <c r="A11" s="499" t="s">
        <v>405</v>
      </c>
      <c r="B11" s="500"/>
      <c r="C11" s="500"/>
      <c r="D11" s="500"/>
      <c r="E11" s="500"/>
      <c r="F11" s="500"/>
      <c r="G11" s="500"/>
      <c r="H11" s="500"/>
      <c r="I11" s="500"/>
      <c r="J11" s="500"/>
      <c r="K11" s="500"/>
      <c r="L11" s="500"/>
      <c r="M11" s="500"/>
      <c r="N11" s="500"/>
      <c r="O11" s="500"/>
      <c r="P11" s="500"/>
      <c r="Q11" s="500"/>
      <c r="R11" s="500"/>
      <c r="S11" s="500"/>
      <c r="T11" s="500"/>
      <c r="U11" s="501"/>
    </row>
    <row r="12" spans="1:21">
      <c r="A12" s="502" t="s">
        <v>177</v>
      </c>
      <c r="B12" s="503"/>
      <c r="C12" s="503"/>
      <c r="D12" s="503"/>
      <c r="E12" s="503"/>
      <c r="F12" s="503"/>
      <c r="G12" s="503"/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4"/>
    </row>
    <row r="13" spans="1:21">
      <c r="A13" s="505" t="s">
        <v>178</v>
      </c>
      <c r="B13" s="506" t="s">
        <v>406</v>
      </c>
      <c r="C13" s="507">
        <f>'Deviz General'!F16</f>
        <v>0</v>
      </c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7"/>
      <c r="T13" s="507"/>
      <c r="U13" s="508">
        <f>SUM(C13:T13)</f>
        <v>0</v>
      </c>
    </row>
    <row r="14" spans="1:21">
      <c r="A14" s="505" t="s">
        <v>179</v>
      </c>
      <c r="B14" s="506" t="s">
        <v>180</v>
      </c>
      <c r="C14" s="507"/>
      <c r="D14" s="507"/>
      <c r="E14" s="507"/>
      <c r="F14" s="507"/>
      <c r="G14" s="507">
        <f>'[1]Deviz General'!$F$19</f>
        <v>0</v>
      </c>
      <c r="H14" s="507"/>
      <c r="I14" s="507">
        <f>'Deviz General'!F17/2</f>
        <v>0</v>
      </c>
      <c r="J14" s="507">
        <f>'Deviz General'!F17/2</f>
        <v>0</v>
      </c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8">
        <f>SUM(C14:T14)</f>
        <v>0</v>
      </c>
    </row>
    <row r="15" spans="1:21" ht="24">
      <c r="A15" s="509" t="s">
        <v>181</v>
      </c>
      <c r="B15" s="510" t="s">
        <v>407</v>
      </c>
      <c r="C15" s="511"/>
      <c r="D15" s="511"/>
      <c r="E15" s="511"/>
      <c r="F15" s="511"/>
      <c r="G15" s="507"/>
      <c r="H15" s="511"/>
      <c r="I15" s="511"/>
      <c r="J15" s="511"/>
      <c r="K15" s="511"/>
      <c r="L15" s="511">
        <f>'[1]Deviz General'!$F$20/5</f>
        <v>0</v>
      </c>
      <c r="M15" s="511">
        <f>'[1]Deviz General'!$F$20/5</f>
        <v>0</v>
      </c>
      <c r="N15" s="511"/>
      <c r="O15" s="511"/>
      <c r="P15" s="511">
        <f>'[1]Deviz General'!$F$20/5</f>
        <v>0</v>
      </c>
      <c r="Q15" s="511">
        <f>'[1]Deviz General'!$F$20/5</f>
        <v>0</v>
      </c>
      <c r="R15" s="511"/>
      <c r="S15" s="511">
        <f>'Deviz General'!F18/2</f>
        <v>0</v>
      </c>
      <c r="T15" s="511">
        <f>'Deviz General'!F18/2</f>
        <v>0</v>
      </c>
      <c r="U15" s="508">
        <f>SUM(C15:T15)</f>
        <v>0</v>
      </c>
    </row>
    <row r="16" spans="1:21">
      <c r="A16" s="512"/>
      <c r="B16" s="513" t="s">
        <v>182</v>
      </c>
      <c r="C16" s="514">
        <f t="shared" ref="C16:T16" si="0">SUM(C13:C15)</f>
        <v>0</v>
      </c>
      <c r="D16" s="514">
        <f t="shared" si="0"/>
        <v>0</v>
      </c>
      <c r="E16" s="514">
        <f t="shared" si="0"/>
        <v>0</v>
      </c>
      <c r="F16" s="514">
        <f t="shared" si="0"/>
        <v>0</v>
      </c>
      <c r="G16" s="514">
        <f t="shared" si="0"/>
        <v>0</v>
      </c>
      <c r="H16" s="514">
        <f t="shared" si="0"/>
        <v>0</v>
      </c>
      <c r="I16" s="514">
        <f t="shared" si="0"/>
        <v>0</v>
      </c>
      <c r="J16" s="514">
        <f t="shared" si="0"/>
        <v>0</v>
      </c>
      <c r="K16" s="514">
        <f t="shared" si="0"/>
        <v>0</v>
      </c>
      <c r="L16" s="514">
        <f t="shared" si="0"/>
        <v>0</v>
      </c>
      <c r="M16" s="514">
        <f t="shared" si="0"/>
        <v>0</v>
      </c>
      <c r="N16" s="514">
        <f t="shared" si="0"/>
        <v>0</v>
      </c>
      <c r="O16" s="514">
        <f t="shared" si="0"/>
        <v>0</v>
      </c>
      <c r="P16" s="514">
        <f t="shared" si="0"/>
        <v>0</v>
      </c>
      <c r="Q16" s="514">
        <f t="shared" si="0"/>
        <v>0</v>
      </c>
      <c r="R16" s="514">
        <f t="shared" si="0"/>
        <v>0</v>
      </c>
      <c r="S16" s="514">
        <f t="shared" si="0"/>
        <v>0</v>
      </c>
      <c r="T16" s="514">
        <f t="shared" si="0"/>
        <v>0</v>
      </c>
      <c r="U16" s="515">
        <f>SUM(U13:U15)</f>
        <v>0</v>
      </c>
    </row>
    <row r="17" spans="1:21">
      <c r="A17" s="502" t="s">
        <v>183</v>
      </c>
      <c r="B17" s="516"/>
      <c r="C17" s="517"/>
      <c r="D17" s="517"/>
      <c r="E17" s="517"/>
      <c r="F17" s="517"/>
      <c r="G17" s="517"/>
      <c r="H17" s="517"/>
      <c r="I17" s="517">
        <f>'Deviz General'!F21</f>
        <v>0</v>
      </c>
      <c r="J17" s="517"/>
      <c r="K17" s="517"/>
      <c r="L17" s="517"/>
      <c r="M17" s="517"/>
      <c r="N17" s="517"/>
      <c r="O17" s="517"/>
      <c r="P17" s="517"/>
      <c r="Q17" s="517"/>
      <c r="R17" s="517"/>
      <c r="S17" s="517"/>
      <c r="T17" s="517"/>
      <c r="U17" s="508">
        <f>SUM(C17:T17)</f>
        <v>0</v>
      </c>
    </row>
    <row r="18" spans="1:21">
      <c r="A18" s="518"/>
      <c r="B18" s="513" t="s">
        <v>184</v>
      </c>
      <c r="C18" s="514">
        <f>C17</f>
        <v>0</v>
      </c>
      <c r="D18" s="514"/>
      <c r="E18" s="514"/>
      <c r="F18" s="514">
        <f t="shared" ref="F18:M18" si="1">F17</f>
        <v>0</v>
      </c>
      <c r="G18" s="514">
        <f t="shared" si="1"/>
        <v>0</v>
      </c>
      <c r="H18" s="514">
        <f t="shared" si="1"/>
        <v>0</v>
      </c>
      <c r="I18" s="514">
        <f t="shared" si="1"/>
        <v>0</v>
      </c>
      <c r="J18" s="514">
        <f t="shared" si="1"/>
        <v>0</v>
      </c>
      <c r="K18" s="514">
        <f t="shared" si="1"/>
        <v>0</v>
      </c>
      <c r="L18" s="514">
        <f t="shared" si="1"/>
        <v>0</v>
      </c>
      <c r="M18" s="514">
        <f t="shared" si="1"/>
        <v>0</v>
      </c>
      <c r="N18" s="514"/>
      <c r="O18" s="514"/>
      <c r="P18" s="514">
        <f>P17</f>
        <v>0</v>
      </c>
      <c r="Q18" s="514">
        <f>Q17</f>
        <v>0</v>
      </c>
      <c r="R18" s="514"/>
      <c r="S18" s="514"/>
      <c r="T18" s="514">
        <f>T17</f>
        <v>0</v>
      </c>
      <c r="U18" s="515">
        <f>SUM(U17)</f>
        <v>0</v>
      </c>
    </row>
    <row r="19" spans="1:21">
      <c r="A19" s="502" t="s">
        <v>185</v>
      </c>
      <c r="B19" s="516"/>
      <c r="C19" s="517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7"/>
      <c r="O19" s="517"/>
      <c r="P19" s="517"/>
      <c r="Q19" s="517"/>
      <c r="R19" s="517"/>
      <c r="S19" s="517"/>
      <c r="T19" s="517"/>
      <c r="U19" s="519"/>
    </row>
    <row r="20" spans="1:21">
      <c r="A20" s="520" t="s">
        <v>186</v>
      </c>
      <c r="B20" s="506" t="s">
        <v>187</v>
      </c>
      <c r="C20" s="507">
        <f>'Deviz General'!F23/2</f>
        <v>6247.5</v>
      </c>
      <c r="D20" s="507">
        <f>'Deviz General'!F23/2</f>
        <v>6247.5</v>
      </c>
      <c r="E20" s="507"/>
      <c r="F20" s="521"/>
      <c r="G20" s="507"/>
      <c r="H20" s="507"/>
      <c r="I20" s="507"/>
      <c r="J20" s="507"/>
      <c r="K20" s="507"/>
      <c r="L20" s="507"/>
      <c r="M20" s="507"/>
      <c r="N20" s="507"/>
      <c r="O20" s="507"/>
      <c r="P20" s="507"/>
      <c r="Q20" s="507"/>
      <c r="R20" s="507"/>
      <c r="S20" s="507"/>
      <c r="T20" s="507"/>
      <c r="U20" s="508">
        <f t="shared" ref="U20:U25" si="2">SUM(C20:T20)</f>
        <v>12495</v>
      </c>
    </row>
    <row r="21" spans="1:21">
      <c r="A21" s="505" t="s">
        <v>188</v>
      </c>
      <c r="B21" s="506" t="s">
        <v>189</v>
      </c>
      <c r="C21" s="507"/>
      <c r="D21" s="507">
        <f>'Deviz General'!F24</f>
        <v>4284</v>
      </c>
      <c r="E21" s="507"/>
      <c r="F21" s="521"/>
      <c r="G21" s="507"/>
      <c r="H21" s="507"/>
      <c r="I21" s="507"/>
      <c r="J21" s="507"/>
      <c r="K21" s="507"/>
      <c r="L21" s="507"/>
      <c r="M21" s="507"/>
      <c r="N21" s="507"/>
      <c r="O21" s="507"/>
      <c r="P21" s="507"/>
      <c r="Q21" s="507"/>
      <c r="R21" s="507"/>
      <c r="S21" s="507"/>
      <c r="T21" s="507"/>
      <c r="U21" s="508">
        <f t="shared" si="2"/>
        <v>4284</v>
      </c>
    </row>
    <row r="22" spans="1:21">
      <c r="A22" s="520" t="s">
        <v>190</v>
      </c>
      <c r="B22" s="506" t="s">
        <v>191</v>
      </c>
      <c r="C22" s="507">
        <f>'Deviz General'!$F$25/4</f>
        <v>13665.9362</v>
      </c>
      <c r="D22" s="507">
        <f>'Deviz General'!$F$25/4</f>
        <v>13665.9362</v>
      </c>
      <c r="E22" s="507">
        <f>'Deviz General'!$F$25/4</f>
        <v>13665.9362</v>
      </c>
      <c r="F22" s="507">
        <f>'Deviz General'!$F$25/4</f>
        <v>13665.9362</v>
      </c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7"/>
      <c r="U22" s="508">
        <f t="shared" si="2"/>
        <v>54663.7448</v>
      </c>
    </row>
    <row r="23" spans="1:21">
      <c r="A23" s="520" t="s">
        <v>192</v>
      </c>
      <c r="B23" s="506" t="s">
        <v>193</v>
      </c>
      <c r="C23" s="507"/>
      <c r="D23" s="507"/>
      <c r="E23" s="507"/>
      <c r="F23" s="507">
        <f>'Deviz General'!$F$26/3</f>
        <v>4958.333333333333</v>
      </c>
      <c r="G23" s="507">
        <f>'Deviz General'!$F$26/3</f>
        <v>4958.333333333333</v>
      </c>
      <c r="H23" s="507">
        <f>'Deviz General'!$F$26/3</f>
        <v>4958.333333333333</v>
      </c>
      <c r="I23" s="507"/>
      <c r="J23" s="507"/>
      <c r="K23" s="507"/>
      <c r="L23" s="507"/>
      <c r="M23" s="507"/>
      <c r="N23" s="507"/>
      <c r="O23" s="507"/>
      <c r="P23" s="507"/>
      <c r="Q23" s="507"/>
      <c r="R23" s="507"/>
      <c r="S23" s="507"/>
      <c r="T23" s="507"/>
      <c r="U23" s="508">
        <f>SUM(C23:T23)</f>
        <v>14875</v>
      </c>
    </row>
    <row r="24" spans="1:21">
      <c r="A24" s="520" t="s">
        <v>194</v>
      </c>
      <c r="B24" s="506" t="s">
        <v>195</v>
      </c>
      <c r="C24" s="521">
        <f>'Deviz General'!$F$27/18</f>
        <v>3546.8611111111113</v>
      </c>
      <c r="D24" s="521">
        <f>'Deviz General'!$F$27/18</f>
        <v>3546.8611111111113</v>
      </c>
      <c r="E24" s="521">
        <f>'Deviz General'!$F$27/18</f>
        <v>3546.8611111111113</v>
      </c>
      <c r="F24" s="521">
        <f>'Deviz General'!$F$27/18</f>
        <v>3546.8611111111113</v>
      </c>
      <c r="G24" s="521">
        <f>'Deviz General'!$F$27/18</f>
        <v>3546.8611111111113</v>
      </c>
      <c r="H24" s="521">
        <f>'Deviz General'!$F$27/18</f>
        <v>3546.8611111111113</v>
      </c>
      <c r="I24" s="521">
        <f>'Deviz General'!$F$27/18</f>
        <v>3546.8611111111113</v>
      </c>
      <c r="J24" s="521">
        <f>'Deviz General'!$F$27/18</f>
        <v>3546.8611111111113</v>
      </c>
      <c r="K24" s="521">
        <f>'Deviz General'!$F$27/18</f>
        <v>3546.8611111111113</v>
      </c>
      <c r="L24" s="521">
        <f>'Deviz General'!$F$27/18</f>
        <v>3546.8611111111113</v>
      </c>
      <c r="M24" s="521">
        <f>'Deviz General'!$F$27/18</f>
        <v>3546.8611111111113</v>
      </c>
      <c r="N24" s="521">
        <f>'Deviz General'!$F$27/18</f>
        <v>3546.8611111111113</v>
      </c>
      <c r="O24" s="521">
        <f>'Deviz General'!$F$27/18</f>
        <v>3546.8611111111113</v>
      </c>
      <c r="P24" s="521">
        <f>'Deviz General'!$F$27/18</f>
        <v>3546.8611111111113</v>
      </c>
      <c r="Q24" s="521">
        <f>'Deviz General'!$F$27/18</f>
        <v>3546.8611111111113</v>
      </c>
      <c r="R24" s="521">
        <f>'Deviz General'!$F$27/18</f>
        <v>3546.8611111111113</v>
      </c>
      <c r="S24" s="521">
        <f>'Deviz General'!$F$27/18</f>
        <v>3546.8611111111113</v>
      </c>
      <c r="T24" s="521">
        <f>'Deviz General'!$F$27/18</f>
        <v>3546.8611111111113</v>
      </c>
      <c r="U24" s="508">
        <f>SUM(C24:T24)</f>
        <v>63843.499999999978</v>
      </c>
    </row>
    <row r="25" spans="1:21">
      <c r="A25" s="520" t="s">
        <v>196</v>
      </c>
      <c r="B25" s="506" t="s">
        <v>408</v>
      </c>
      <c r="C25" s="521"/>
      <c r="D25" s="521"/>
      <c r="E25" s="521"/>
      <c r="F25" s="521"/>
      <c r="G25" s="521"/>
      <c r="H25" s="521"/>
      <c r="I25" s="521">
        <f>'Deviz General'!$F$28/12</f>
        <v>5977.2351333333327</v>
      </c>
      <c r="J25" s="521">
        <f>'Deviz General'!$F$28/12</f>
        <v>5977.2351333333327</v>
      </c>
      <c r="K25" s="521">
        <f>'Deviz General'!$F$28/12</f>
        <v>5977.2351333333327</v>
      </c>
      <c r="L25" s="521">
        <f>'Deviz General'!$F$28/12</f>
        <v>5977.2351333333327</v>
      </c>
      <c r="M25" s="521">
        <f>'Deviz General'!$F$28/12</f>
        <v>5977.2351333333327</v>
      </c>
      <c r="N25" s="521">
        <f>'Deviz General'!$F$28/12</f>
        <v>5977.2351333333327</v>
      </c>
      <c r="O25" s="521">
        <f>'Deviz General'!$F$28/12</f>
        <v>5977.2351333333327</v>
      </c>
      <c r="P25" s="521">
        <f>'Deviz General'!$F$28/12</f>
        <v>5977.2351333333327</v>
      </c>
      <c r="Q25" s="521">
        <f>'Deviz General'!$F$28/12</f>
        <v>5977.2351333333327</v>
      </c>
      <c r="R25" s="521">
        <f>'Deviz General'!$F$28/12</f>
        <v>5977.2351333333327</v>
      </c>
      <c r="S25" s="521">
        <f>'Deviz General'!$F$28/12</f>
        <v>5977.2351333333327</v>
      </c>
      <c r="T25" s="521">
        <f>'Deviz General'!$F$28/12</f>
        <v>5977.2351333333327</v>
      </c>
      <c r="U25" s="508">
        <f t="shared" si="2"/>
        <v>71726.82160000001</v>
      </c>
    </row>
    <row r="26" spans="1:21">
      <c r="A26" s="518"/>
      <c r="B26" s="513" t="s">
        <v>198</v>
      </c>
      <c r="C26" s="514">
        <f>SUM(C20:C25)</f>
        <v>23460.297311111113</v>
      </c>
      <c r="D26" s="514">
        <f t="shared" ref="D26:T26" si="3">SUM(D20:D25)</f>
        <v>27744.297311111113</v>
      </c>
      <c r="E26" s="514">
        <f t="shared" si="3"/>
        <v>17212.797311111113</v>
      </c>
      <c r="F26" s="514">
        <f t="shared" si="3"/>
        <v>22171.130644444442</v>
      </c>
      <c r="G26" s="514">
        <f t="shared" si="3"/>
        <v>8505.1944444444453</v>
      </c>
      <c r="H26" s="514">
        <f t="shared" si="3"/>
        <v>8505.1944444444453</v>
      </c>
      <c r="I26" s="514">
        <f t="shared" si="3"/>
        <v>9524.0962444444449</v>
      </c>
      <c r="J26" s="514">
        <f t="shared" si="3"/>
        <v>9524.0962444444449</v>
      </c>
      <c r="K26" s="514">
        <f t="shared" si="3"/>
        <v>9524.0962444444449</v>
      </c>
      <c r="L26" s="514">
        <f t="shared" si="3"/>
        <v>9524.0962444444449</v>
      </c>
      <c r="M26" s="514">
        <f t="shared" si="3"/>
        <v>9524.0962444444449</v>
      </c>
      <c r="N26" s="514">
        <f t="shared" si="3"/>
        <v>9524.0962444444449</v>
      </c>
      <c r="O26" s="514">
        <f t="shared" si="3"/>
        <v>9524.0962444444449</v>
      </c>
      <c r="P26" s="514">
        <f t="shared" si="3"/>
        <v>9524.0962444444449</v>
      </c>
      <c r="Q26" s="514">
        <f t="shared" si="3"/>
        <v>9524.0962444444449</v>
      </c>
      <c r="R26" s="514">
        <f t="shared" si="3"/>
        <v>9524.0962444444449</v>
      </c>
      <c r="S26" s="514">
        <f t="shared" si="3"/>
        <v>9524.0962444444449</v>
      </c>
      <c r="T26" s="514">
        <f t="shared" si="3"/>
        <v>9524.0962444444449</v>
      </c>
      <c r="U26" s="515">
        <f>SUM(U20:U25)</f>
        <v>221888.06640000001</v>
      </c>
    </row>
    <row r="27" spans="1:21">
      <c r="A27" s="502" t="s">
        <v>409</v>
      </c>
      <c r="B27" s="522"/>
      <c r="C27" s="523"/>
      <c r="D27" s="523"/>
      <c r="E27" s="523"/>
      <c r="F27" s="523"/>
      <c r="G27" s="523"/>
      <c r="H27" s="523"/>
      <c r="I27" s="523"/>
      <c r="J27" s="523"/>
      <c r="K27" s="523"/>
      <c r="L27" s="523"/>
      <c r="M27" s="523"/>
      <c r="N27" s="523"/>
      <c r="O27" s="523"/>
      <c r="P27" s="523"/>
      <c r="Q27" s="523"/>
      <c r="R27" s="523"/>
      <c r="S27" s="523"/>
      <c r="T27" s="523"/>
      <c r="U27" s="524"/>
    </row>
    <row r="28" spans="1:21">
      <c r="A28" s="520" t="s">
        <v>199</v>
      </c>
      <c r="B28" s="506" t="s">
        <v>200</v>
      </c>
      <c r="C28" s="507"/>
      <c r="D28" s="507"/>
      <c r="E28" s="507"/>
      <c r="F28" s="507"/>
      <c r="G28" s="507"/>
      <c r="H28" s="507"/>
      <c r="I28" s="507">
        <f>'Deviz General'!$F$31/12</f>
        <v>356848.23235833336</v>
      </c>
      <c r="J28" s="507">
        <f>'Deviz General'!$F$31/12</f>
        <v>356848.23235833336</v>
      </c>
      <c r="K28" s="507">
        <f>'Deviz General'!$F$31/12</f>
        <v>356848.23235833336</v>
      </c>
      <c r="L28" s="507">
        <f>'Deviz General'!$F$31/12</f>
        <v>356848.23235833336</v>
      </c>
      <c r="M28" s="507">
        <f>'Deviz General'!$F$31/12</f>
        <v>356848.23235833336</v>
      </c>
      <c r="N28" s="507">
        <f>'Deviz General'!$F$31/12</f>
        <v>356848.23235833336</v>
      </c>
      <c r="O28" s="507">
        <f>'Deviz General'!$F$31/12</f>
        <v>356848.23235833336</v>
      </c>
      <c r="P28" s="507">
        <f>'Deviz General'!$F$31/12</f>
        <v>356848.23235833336</v>
      </c>
      <c r="Q28" s="507">
        <f>'Deviz General'!$F$31/12</f>
        <v>356848.23235833336</v>
      </c>
      <c r="R28" s="507">
        <f>'Deviz General'!$F$31/12</f>
        <v>356848.23235833336</v>
      </c>
      <c r="S28" s="507">
        <f>'Deviz General'!$F$31/12</f>
        <v>356848.23235833336</v>
      </c>
      <c r="T28" s="507">
        <f>'Deviz General'!$F$31/12</f>
        <v>356848.23235833336</v>
      </c>
      <c r="U28" s="508">
        <f t="shared" ref="U28:U33" si="4">SUM(C28:T28)</f>
        <v>4282178.7882999992</v>
      </c>
    </row>
    <row r="29" spans="1:21">
      <c r="A29" s="520" t="s">
        <v>201</v>
      </c>
      <c r="B29" s="506" t="s">
        <v>202</v>
      </c>
      <c r="C29" s="507"/>
      <c r="D29" s="507"/>
      <c r="E29" s="507"/>
      <c r="F29" s="507"/>
      <c r="G29" s="507"/>
      <c r="H29" s="507"/>
      <c r="I29" s="507"/>
      <c r="J29" s="507"/>
      <c r="K29" s="507"/>
      <c r="L29" s="507"/>
      <c r="M29" s="507"/>
      <c r="N29" s="507"/>
      <c r="O29" s="507"/>
      <c r="P29" s="507"/>
      <c r="Q29" s="507"/>
      <c r="R29" s="507"/>
      <c r="S29" s="507"/>
      <c r="T29" s="507"/>
      <c r="U29" s="508">
        <f t="shared" si="4"/>
        <v>0</v>
      </c>
    </row>
    <row r="30" spans="1:21">
      <c r="A30" s="520" t="s">
        <v>203</v>
      </c>
      <c r="B30" s="506" t="s">
        <v>204</v>
      </c>
      <c r="C30" s="507"/>
      <c r="D30" s="507"/>
      <c r="E30" s="507"/>
      <c r="F30" s="507"/>
      <c r="G30" s="507"/>
      <c r="H30" s="507"/>
      <c r="I30" s="507"/>
      <c r="J30" s="507"/>
      <c r="K30" s="507"/>
      <c r="L30" s="507"/>
      <c r="M30" s="507"/>
      <c r="N30" s="507"/>
      <c r="O30" s="507"/>
      <c r="P30" s="507"/>
      <c r="Q30" s="507"/>
      <c r="R30" s="507"/>
      <c r="S30" s="507"/>
      <c r="T30" s="507"/>
      <c r="U30" s="508">
        <f t="shared" si="4"/>
        <v>0</v>
      </c>
    </row>
    <row r="31" spans="1:21">
      <c r="A31" s="520" t="s">
        <v>205</v>
      </c>
      <c r="B31" s="506" t="s">
        <v>206</v>
      </c>
      <c r="C31" s="507"/>
      <c r="D31" s="507"/>
      <c r="E31" s="507"/>
      <c r="F31" s="521"/>
      <c r="G31" s="507"/>
      <c r="H31" s="507"/>
      <c r="I31" s="507"/>
      <c r="J31" s="507"/>
      <c r="K31" s="507"/>
      <c r="L31" s="507"/>
      <c r="M31" s="507"/>
      <c r="N31" s="507"/>
      <c r="O31" s="507"/>
      <c r="P31" s="507"/>
      <c r="Q31" s="507"/>
      <c r="R31" s="507"/>
      <c r="S31" s="507"/>
      <c r="T31" s="507"/>
      <c r="U31" s="508">
        <f t="shared" si="4"/>
        <v>0</v>
      </c>
    </row>
    <row r="32" spans="1:21">
      <c r="A32" s="520" t="s">
        <v>207</v>
      </c>
      <c r="B32" s="506" t="s">
        <v>34</v>
      </c>
      <c r="C32" s="507"/>
      <c r="D32" s="507"/>
      <c r="E32" s="507"/>
      <c r="F32" s="507"/>
      <c r="G32" s="507"/>
      <c r="H32" s="507"/>
      <c r="I32" s="507"/>
      <c r="J32" s="507"/>
      <c r="K32" s="507"/>
      <c r="L32" s="507"/>
      <c r="M32" s="507"/>
      <c r="N32" s="507"/>
      <c r="O32" s="507"/>
      <c r="P32" s="507"/>
      <c r="Q32" s="507"/>
      <c r="R32" s="507"/>
      <c r="S32" s="507"/>
      <c r="T32" s="507"/>
      <c r="U32" s="508">
        <f t="shared" si="4"/>
        <v>0</v>
      </c>
    </row>
    <row r="33" spans="1:21">
      <c r="A33" s="520">
        <v>4.5999999999999996</v>
      </c>
      <c r="B33" s="506" t="s">
        <v>208</v>
      </c>
      <c r="C33" s="507"/>
      <c r="D33" s="507"/>
      <c r="E33" s="507"/>
      <c r="F33" s="521"/>
      <c r="G33" s="507"/>
      <c r="H33" s="507"/>
      <c r="I33" s="507"/>
      <c r="J33" s="507"/>
      <c r="K33" s="507"/>
      <c r="L33" s="507"/>
      <c r="M33" s="507"/>
      <c r="N33" s="507"/>
      <c r="O33" s="507"/>
      <c r="P33" s="507"/>
      <c r="Q33" s="507"/>
      <c r="R33" s="507"/>
      <c r="S33" s="507"/>
      <c r="T33" s="507"/>
      <c r="U33" s="508">
        <f t="shared" si="4"/>
        <v>0</v>
      </c>
    </row>
    <row r="34" spans="1:21">
      <c r="A34" s="518"/>
      <c r="B34" s="513" t="s">
        <v>209</v>
      </c>
      <c r="C34" s="514">
        <f>SUM(C28:C33)</f>
        <v>0</v>
      </c>
      <c r="D34" s="514"/>
      <c r="E34" s="514"/>
      <c r="F34" s="514">
        <f t="shared" ref="F34:U34" si="5">SUM(F28:F33)</f>
        <v>0</v>
      </c>
      <c r="G34" s="514">
        <f t="shared" si="5"/>
        <v>0</v>
      </c>
      <c r="H34" s="514">
        <f t="shared" si="5"/>
        <v>0</v>
      </c>
      <c r="I34" s="514">
        <f t="shared" si="5"/>
        <v>356848.23235833336</v>
      </c>
      <c r="J34" s="514">
        <f t="shared" si="5"/>
        <v>356848.23235833336</v>
      </c>
      <c r="K34" s="514">
        <f t="shared" si="5"/>
        <v>356848.23235833336</v>
      </c>
      <c r="L34" s="514">
        <f t="shared" si="5"/>
        <v>356848.23235833336</v>
      </c>
      <c r="M34" s="514">
        <f t="shared" si="5"/>
        <v>356848.23235833336</v>
      </c>
      <c r="N34" s="514">
        <f t="shared" si="5"/>
        <v>356848.23235833336</v>
      </c>
      <c r="O34" s="514">
        <f t="shared" si="5"/>
        <v>356848.23235833336</v>
      </c>
      <c r="P34" s="514">
        <f t="shared" si="5"/>
        <v>356848.23235833336</v>
      </c>
      <c r="Q34" s="514">
        <f t="shared" si="5"/>
        <v>356848.23235833336</v>
      </c>
      <c r="R34" s="514">
        <f t="shared" si="5"/>
        <v>356848.23235833336</v>
      </c>
      <c r="S34" s="514">
        <f t="shared" si="5"/>
        <v>356848.23235833336</v>
      </c>
      <c r="T34" s="514">
        <f t="shared" si="5"/>
        <v>356848.23235833336</v>
      </c>
      <c r="U34" s="525">
        <f t="shared" si="5"/>
        <v>4282178.7882999992</v>
      </c>
    </row>
    <row r="35" spans="1:21">
      <c r="A35" s="502" t="s">
        <v>210</v>
      </c>
      <c r="B35" s="522"/>
      <c r="C35" s="523"/>
      <c r="D35" s="523"/>
      <c r="E35" s="523"/>
      <c r="F35" s="523"/>
      <c r="G35" s="523"/>
      <c r="H35" s="523"/>
      <c r="I35" s="523"/>
      <c r="J35" s="523"/>
      <c r="K35" s="523"/>
      <c r="L35" s="523"/>
      <c r="M35" s="523"/>
      <c r="N35" s="523"/>
      <c r="O35" s="523"/>
      <c r="P35" s="523"/>
      <c r="Q35" s="523"/>
      <c r="R35" s="523"/>
      <c r="S35" s="523"/>
      <c r="T35" s="523"/>
      <c r="U35" s="524"/>
    </row>
    <row r="36" spans="1:21">
      <c r="A36" s="520" t="s">
        <v>410</v>
      </c>
      <c r="B36" s="506" t="s">
        <v>411</v>
      </c>
      <c r="C36" s="507"/>
      <c r="D36" s="507"/>
      <c r="E36" s="507"/>
      <c r="F36" s="507"/>
      <c r="G36" s="507"/>
      <c r="H36" s="507"/>
      <c r="I36" s="507">
        <f>'Deviz General'!F40</f>
        <v>287299.32</v>
      </c>
      <c r="J36" s="507"/>
      <c r="K36" s="507"/>
      <c r="L36" s="507"/>
      <c r="M36" s="507"/>
      <c r="N36" s="507"/>
      <c r="O36" s="507"/>
      <c r="P36" s="507"/>
      <c r="Q36" s="507"/>
      <c r="R36" s="507"/>
      <c r="S36" s="507"/>
      <c r="T36" s="507"/>
      <c r="U36" s="508">
        <f>SUM(C36:T36)</f>
        <v>287299.32</v>
      </c>
    </row>
    <row r="37" spans="1:21">
      <c r="A37" s="520" t="s">
        <v>412</v>
      </c>
      <c r="B37" s="506" t="s">
        <v>413</v>
      </c>
      <c r="C37" s="507"/>
      <c r="D37" s="507"/>
      <c r="E37" s="507"/>
      <c r="F37" s="507"/>
      <c r="G37" s="507"/>
      <c r="H37" s="507"/>
      <c r="I37" s="507"/>
      <c r="J37" s="507">
        <f>'Deviz General'!F41</f>
        <v>31921.75</v>
      </c>
      <c r="K37" s="507"/>
      <c r="L37" s="507"/>
      <c r="M37" s="507"/>
      <c r="N37" s="507"/>
      <c r="O37" s="507"/>
      <c r="P37" s="507"/>
      <c r="Q37" s="507"/>
      <c r="R37" s="507"/>
      <c r="S37" s="507"/>
      <c r="T37" s="507"/>
      <c r="U37" s="508">
        <f>SUM(C37:T37)</f>
        <v>31921.75</v>
      </c>
    </row>
    <row r="38" spans="1:21">
      <c r="A38" s="520" t="s">
        <v>212</v>
      </c>
      <c r="B38" s="506" t="s">
        <v>414</v>
      </c>
      <c r="C38" s="507"/>
      <c r="D38" s="507"/>
      <c r="E38" s="507"/>
      <c r="F38" s="507"/>
      <c r="G38" s="507"/>
      <c r="H38" s="507"/>
      <c r="I38" s="507">
        <f>'Deviz General'!$F$42/12</f>
        <v>4206.8271116666665</v>
      </c>
      <c r="J38" s="507">
        <f>'Deviz General'!$F$42/12</f>
        <v>4206.8271116666665</v>
      </c>
      <c r="K38" s="507">
        <f>'Deviz General'!$F$42/12</f>
        <v>4206.8271116666665</v>
      </c>
      <c r="L38" s="507">
        <f>'Deviz General'!$F$42/12</f>
        <v>4206.8271116666665</v>
      </c>
      <c r="M38" s="507">
        <f>'Deviz General'!$F$42/12</f>
        <v>4206.8271116666665</v>
      </c>
      <c r="N38" s="507">
        <f>'Deviz General'!$F$42/12</f>
        <v>4206.8271116666665</v>
      </c>
      <c r="O38" s="507">
        <f>'Deviz General'!$F$42/12</f>
        <v>4206.8271116666665</v>
      </c>
      <c r="P38" s="507">
        <f>'Deviz General'!$F$42/12</f>
        <v>4206.8271116666665</v>
      </c>
      <c r="Q38" s="507">
        <f>'Deviz General'!$F$42/12</f>
        <v>4206.8271116666665</v>
      </c>
      <c r="R38" s="507">
        <f>'Deviz General'!$F$42/12</f>
        <v>4206.8271116666665</v>
      </c>
      <c r="S38" s="507">
        <f>'Deviz General'!$F$42/12</f>
        <v>4206.8271116666665</v>
      </c>
      <c r="T38" s="507">
        <f>'Deviz General'!$F$42/12</f>
        <v>4206.8271116666665</v>
      </c>
      <c r="U38" s="508">
        <f>SUM(C38:T38)</f>
        <v>50481.925339999994</v>
      </c>
    </row>
    <row r="39" spans="1:21">
      <c r="A39" s="520" t="s">
        <v>214</v>
      </c>
      <c r="B39" s="506" t="s">
        <v>415</v>
      </c>
      <c r="C39" s="507"/>
      <c r="D39" s="507"/>
      <c r="E39" s="507"/>
      <c r="F39" s="507"/>
      <c r="G39" s="507"/>
      <c r="H39" s="507"/>
      <c r="I39" s="507"/>
      <c r="J39" s="507"/>
      <c r="K39" s="507"/>
      <c r="L39" s="507"/>
      <c r="M39" s="507"/>
      <c r="N39" s="507"/>
      <c r="O39" s="507">
        <f>'Deviz General'!$F$43/6</f>
        <v>153571.82288000002</v>
      </c>
      <c r="P39" s="507">
        <f>'Deviz General'!$F$43/6</f>
        <v>153571.82288000002</v>
      </c>
      <c r="Q39" s="507">
        <f>'Deviz General'!$F$43/6</f>
        <v>153571.82288000002</v>
      </c>
      <c r="R39" s="507">
        <f>'Deviz General'!$F$43/6</f>
        <v>153571.82288000002</v>
      </c>
      <c r="S39" s="507">
        <f>'Deviz General'!$F$43/6</f>
        <v>153571.82288000002</v>
      </c>
      <c r="T39" s="507">
        <f>'Deviz General'!$F$43/6</f>
        <v>153571.82288000002</v>
      </c>
      <c r="U39" s="508">
        <f>SUM(C39:T39)</f>
        <v>921430.93728000007</v>
      </c>
    </row>
    <row r="40" spans="1:21">
      <c r="A40" s="518"/>
      <c r="B40" s="513" t="s">
        <v>216</v>
      </c>
      <c r="C40" s="514">
        <f>SUM(C36:C39)</f>
        <v>0</v>
      </c>
      <c r="D40" s="514"/>
      <c r="E40" s="514"/>
      <c r="F40" s="514">
        <f>SUM(F36:F39)</f>
        <v>0</v>
      </c>
      <c r="G40" s="514">
        <f>SUM(G36:G39)</f>
        <v>0</v>
      </c>
      <c r="H40" s="514">
        <f>SUM(H36:H39)</f>
        <v>0</v>
      </c>
      <c r="I40" s="514">
        <f t="shared" ref="I40:T40" si="6">SUM(I36:I39)</f>
        <v>291506.14711166668</v>
      </c>
      <c r="J40" s="514">
        <f t="shared" si="6"/>
        <v>36128.577111666666</v>
      </c>
      <c r="K40" s="514">
        <f t="shared" si="6"/>
        <v>4206.8271116666665</v>
      </c>
      <c r="L40" s="514">
        <f t="shared" si="6"/>
        <v>4206.8271116666665</v>
      </c>
      <c r="M40" s="514">
        <f t="shared" si="6"/>
        <v>4206.8271116666665</v>
      </c>
      <c r="N40" s="514">
        <f t="shared" si="6"/>
        <v>4206.8271116666665</v>
      </c>
      <c r="O40" s="514">
        <f t="shared" si="6"/>
        <v>157778.64999166669</v>
      </c>
      <c r="P40" s="514">
        <f t="shared" si="6"/>
        <v>157778.64999166669</v>
      </c>
      <c r="Q40" s="514">
        <f t="shared" si="6"/>
        <v>157778.64999166669</v>
      </c>
      <c r="R40" s="514">
        <f t="shared" si="6"/>
        <v>157778.64999166669</v>
      </c>
      <c r="S40" s="514">
        <f t="shared" si="6"/>
        <v>157778.64999166669</v>
      </c>
      <c r="T40" s="514">
        <f t="shared" si="6"/>
        <v>157778.64999166669</v>
      </c>
      <c r="U40" s="525">
        <f>SUM(U36:U39)</f>
        <v>1291133.9326200001</v>
      </c>
    </row>
    <row r="41" spans="1:21">
      <c r="A41" s="502" t="s">
        <v>416</v>
      </c>
      <c r="B41" s="522"/>
      <c r="C41" s="523"/>
      <c r="D41" s="523"/>
      <c r="E41" s="523"/>
      <c r="F41" s="523"/>
      <c r="G41" s="523"/>
      <c r="H41" s="523"/>
      <c r="I41" s="523"/>
      <c r="J41" s="523"/>
      <c r="K41" s="523"/>
      <c r="L41" s="523"/>
      <c r="M41" s="523"/>
      <c r="N41" s="523"/>
      <c r="O41" s="523"/>
      <c r="P41" s="523"/>
      <c r="Q41" s="523"/>
      <c r="R41" s="523"/>
      <c r="S41" s="523"/>
      <c r="T41" s="523"/>
      <c r="U41" s="524"/>
    </row>
    <row r="42" spans="1:21">
      <c r="A42" s="520" t="s">
        <v>217</v>
      </c>
      <c r="B42" s="506" t="s">
        <v>218</v>
      </c>
      <c r="C42" s="507"/>
      <c r="D42" s="507"/>
      <c r="E42" s="507"/>
      <c r="F42" s="507"/>
      <c r="G42" s="507"/>
      <c r="H42" s="507"/>
      <c r="I42" s="507"/>
      <c r="J42" s="507"/>
      <c r="K42" s="507"/>
      <c r="L42" s="507"/>
      <c r="M42" s="507"/>
      <c r="N42" s="507"/>
      <c r="O42" s="507"/>
      <c r="P42" s="507"/>
      <c r="Q42" s="507"/>
      <c r="R42" s="507"/>
      <c r="S42" s="507"/>
      <c r="T42" s="507"/>
      <c r="U42" s="508">
        <f>SUM(C42:T42)</f>
        <v>0</v>
      </c>
    </row>
    <row r="43" spans="1:21">
      <c r="A43" s="520" t="s">
        <v>219</v>
      </c>
      <c r="B43" s="506" t="s">
        <v>220</v>
      </c>
      <c r="C43" s="507"/>
      <c r="D43" s="507"/>
      <c r="E43" s="507"/>
      <c r="F43" s="507"/>
      <c r="G43" s="507"/>
      <c r="H43" s="507"/>
      <c r="I43" s="507"/>
      <c r="J43" s="507"/>
      <c r="K43" s="507"/>
      <c r="L43" s="507"/>
      <c r="M43" s="507"/>
      <c r="N43" s="507"/>
      <c r="O43" s="507"/>
      <c r="P43" s="507"/>
      <c r="Q43" s="507"/>
      <c r="R43" s="507"/>
      <c r="S43" s="507"/>
      <c r="T43" s="507"/>
      <c r="U43" s="508">
        <f>SUM(C43:T43)</f>
        <v>0</v>
      </c>
    </row>
    <row r="44" spans="1:21" ht="15.75" thickBot="1">
      <c r="A44" s="526"/>
      <c r="B44" s="527" t="s">
        <v>221</v>
      </c>
      <c r="C44" s="528">
        <f>SUM(C42:C43)</f>
        <v>0</v>
      </c>
      <c r="D44" s="528"/>
      <c r="E44" s="528"/>
      <c r="F44" s="528">
        <f t="shared" ref="F44:M44" si="7">SUM(F42:F43)</f>
        <v>0</v>
      </c>
      <c r="G44" s="528">
        <f t="shared" si="7"/>
        <v>0</v>
      </c>
      <c r="H44" s="528">
        <f t="shared" si="7"/>
        <v>0</v>
      </c>
      <c r="I44" s="528">
        <f t="shared" si="7"/>
        <v>0</v>
      </c>
      <c r="J44" s="528">
        <f t="shared" si="7"/>
        <v>0</v>
      </c>
      <c r="K44" s="528">
        <f t="shared" si="7"/>
        <v>0</v>
      </c>
      <c r="L44" s="528">
        <f t="shared" si="7"/>
        <v>0</v>
      </c>
      <c r="M44" s="528">
        <f t="shared" si="7"/>
        <v>0</v>
      </c>
      <c r="N44" s="528"/>
      <c r="O44" s="528"/>
      <c r="P44" s="528">
        <f>SUM(P42:P43)</f>
        <v>0</v>
      </c>
      <c r="Q44" s="528">
        <f>SUM(Q42:Q43)</f>
        <v>0</v>
      </c>
      <c r="R44" s="528"/>
      <c r="S44" s="528"/>
      <c r="T44" s="528">
        <f>SUM(T42:T43)</f>
        <v>0</v>
      </c>
      <c r="U44" s="529">
        <f>SUM(U42:U43)</f>
        <v>0</v>
      </c>
    </row>
    <row r="45" spans="1:21" ht="15.75" thickBot="1">
      <c r="A45" s="530" t="s">
        <v>417</v>
      </c>
      <c r="B45" s="531"/>
      <c r="C45" s="532">
        <f t="shared" ref="C45:Q45" si="8">C44+C40+C34+C26+C18+C16</f>
        <v>23460.297311111113</v>
      </c>
      <c r="D45" s="532">
        <f t="shared" si="8"/>
        <v>27744.297311111113</v>
      </c>
      <c r="E45" s="532">
        <f t="shared" si="8"/>
        <v>17212.797311111113</v>
      </c>
      <c r="F45" s="532">
        <f t="shared" si="8"/>
        <v>22171.130644444442</v>
      </c>
      <c r="G45" s="532">
        <f t="shared" si="8"/>
        <v>8505.1944444444453</v>
      </c>
      <c r="H45" s="532">
        <f t="shared" si="8"/>
        <v>8505.1944444444453</v>
      </c>
      <c r="I45" s="532">
        <f t="shared" si="8"/>
        <v>657878.47571444453</v>
      </c>
      <c r="J45" s="532">
        <f t="shared" si="8"/>
        <v>402500.90571444447</v>
      </c>
      <c r="K45" s="532">
        <f t="shared" si="8"/>
        <v>370579.15571444447</v>
      </c>
      <c r="L45" s="532">
        <f t="shared" si="8"/>
        <v>370579.15571444447</v>
      </c>
      <c r="M45" s="532">
        <f t="shared" si="8"/>
        <v>370579.15571444447</v>
      </c>
      <c r="N45" s="532">
        <f t="shared" si="8"/>
        <v>370579.15571444447</v>
      </c>
      <c r="O45" s="532">
        <f t="shared" si="8"/>
        <v>524150.97859444452</v>
      </c>
      <c r="P45" s="532">
        <f t="shared" si="8"/>
        <v>524150.97859444452</v>
      </c>
      <c r="Q45" s="532">
        <f t="shared" si="8"/>
        <v>524150.97859444452</v>
      </c>
      <c r="R45" s="532">
        <f t="shared" ref="R45:S45" si="9">R44+R40+R34+R26+R18+R16</f>
        <v>524150.97859444452</v>
      </c>
      <c r="S45" s="532">
        <f t="shared" si="9"/>
        <v>524150.97859444452</v>
      </c>
      <c r="T45" s="532">
        <f>T44+T40+T34+T26+T18+T16</f>
        <v>524150.97859444452</v>
      </c>
      <c r="U45" s="533">
        <f>U44+U40+U34+U26+U18+U16</f>
        <v>5795200.7873199992</v>
      </c>
    </row>
    <row r="46" spans="1:21">
      <c r="A46" s="534"/>
      <c r="B46" s="534"/>
      <c r="C46" s="495"/>
      <c r="D46" s="495"/>
      <c r="E46" s="495"/>
      <c r="F46" s="495"/>
      <c r="G46" s="495"/>
      <c r="H46" s="495"/>
      <c r="I46" s="495"/>
      <c r="J46" s="495"/>
      <c r="K46" s="495"/>
      <c r="L46" s="495"/>
      <c r="M46" s="495"/>
      <c r="N46" s="495"/>
      <c r="O46" s="495"/>
      <c r="P46" s="495"/>
      <c r="Q46" s="495"/>
      <c r="R46" s="495"/>
      <c r="S46" s="495"/>
      <c r="T46" s="495"/>
      <c r="U46" s="495"/>
    </row>
    <row r="47" spans="1:21">
      <c r="A47" s="534"/>
      <c r="B47" s="483" t="s">
        <v>418</v>
      </c>
      <c r="C47" s="537">
        <f>C45+D45+E45+F45+G45+H45+I45+J45+K45+L45+M45+N45</f>
        <v>2650294.9157533329</v>
      </c>
      <c r="D47" s="495"/>
      <c r="E47" s="538">
        <f>C47/4.5226</f>
        <v>586011.34651601582</v>
      </c>
      <c r="F47" s="495"/>
      <c r="G47" s="495"/>
      <c r="H47" s="495"/>
      <c r="I47" s="495"/>
      <c r="J47" s="495"/>
      <c r="K47" s="495"/>
      <c r="L47" s="495"/>
      <c r="M47" s="495"/>
      <c r="N47" s="495"/>
      <c r="O47" s="538"/>
      <c r="P47" s="495"/>
      <c r="Q47" s="538"/>
      <c r="R47" s="495"/>
      <c r="S47" s="495"/>
      <c r="T47" s="495"/>
      <c r="U47" s="495"/>
    </row>
    <row r="48" spans="1:21">
      <c r="A48" s="495"/>
      <c r="B48" s="483" t="str">
        <f>'[1]Date Generale'!D9</f>
        <v>S.C. Tehno Consulting Solution S.R.L.</v>
      </c>
      <c r="C48" s="495"/>
      <c r="D48" s="495"/>
      <c r="E48" s="495"/>
      <c r="F48" s="495"/>
      <c r="G48" s="495"/>
      <c r="H48" s="495"/>
      <c r="I48" s="495"/>
      <c r="J48" s="495"/>
      <c r="K48" s="495"/>
      <c r="L48" s="495"/>
      <c r="M48" s="495"/>
      <c r="N48" s="495"/>
      <c r="O48" s="495"/>
      <c r="P48" s="495"/>
      <c r="Q48" s="495"/>
      <c r="R48" s="495"/>
      <c r="S48" s="495"/>
      <c r="T48" s="495"/>
      <c r="U48" s="495"/>
    </row>
    <row r="49" spans="1:21">
      <c r="A49" s="459"/>
      <c r="B49" s="459"/>
      <c r="C49" s="459"/>
      <c r="D49" s="459"/>
      <c r="E49" s="459"/>
      <c r="F49" s="459"/>
      <c r="G49" s="459"/>
      <c r="H49" s="459"/>
      <c r="I49" s="459"/>
      <c r="J49" s="459"/>
      <c r="K49" s="459"/>
      <c r="L49" s="459"/>
      <c r="M49" s="459"/>
      <c r="N49" s="459"/>
      <c r="O49" s="459"/>
      <c r="P49" s="459"/>
      <c r="Q49" s="459"/>
      <c r="R49" s="459"/>
      <c r="S49" s="459"/>
      <c r="T49" s="459"/>
      <c r="U49" s="459"/>
    </row>
    <row r="50" spans="1:21">
      <c r="A50" s="459"/>
      <c r="B50" s="459"/>
      <c r="C50" s="459"/>
      <c r="D50" s="459"/>
      <c r="E50" s="459"/>
      <c r="F50" s="459"/>
      <c r="G50" s="459"/>
      <c r="H50" s="459"/>
      <c r="I50" s="459"/>
      <c r="J50" s="459"/>
      <c r="K50" s="459"/>
      <c r="L50" s="459"/>
      <c r="M50" s="459"/>
      <c r="N50" s="459"/>
      <c r="O50" s="459"/>
      <c r="P50" s="459"/>
      <c r="Q50" s="459"/>
      <c r="R50" s="459"/>
      <c r="S50" s="459"/>
      <c r="T50" s="459"/>
      <c r="U50" s="459"/>
    </row>
  </sheetData>
  <mergeCells count="24">
    <mergeCell ref="S6:S9"/>
    <mergeCell ref="R6:R9"/>
    <mergeCell ref="H6:H9"/>
    <mergeCell ref="I6:I9"/>
    <mergeCell ref="J6:J9"/>
    <mergeCell ref="K6:K9"/>
    <mergeCell ref="L6:L9"/>
    <mergeCell ref="M6:M9"/>
    <mergeCell ref="A1:M1"/>
    <mergeCell ref="A6:A9"/>
    <mergeCell ref="B6:B9"/>
    <mergeCell ref="C6:C9"/>
    <mergeCell ref="D6:D9"/>
    <mergeCell ref="E6:E9"/>
    <mergeCell ref="F6:F9"/>
    <mergeCell ref="G6:G9"/>
    <mergeCell ref="A2:U2"/>
    <mergeCell ref="A3:U3"/>
    <mergeCell ref="N6:N9"/>
    <mergeCell ref="O6:O9"/>
    <mergeCell ref="P6:P9"/>
    <mergeCell ref="Q6:Q9"/>
    <mergeCell ref="T6:T9"/>
    <mergeCell ref="U6:U9"/>
  </mergeCells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6"/>
  <sheetViews>
    <sheetView tabSelected="1" view="pageBreakPreview" topLeftCell="A22" zoomScaleNormal="100" zoomScaleSheetLayoutView="100" workbookViewId="0">
      <selection activeCell="A4" sqref="A4:G4"/>
    </sheetView>
  </sheetViews>
  <sheetFormatPr defaultRowHeight="15"/>
  <cols>
    <col min="1" max="1" width="6.85546875" style="185" customWidth="1"/>
    <col min="2" max="2" width="42.42578125" style="185" customWidth="1"/>
    <col min="3" max="3" width="16.7109375" style="562" customWidth="1"/>
    <col min="4" max="4" width="14.140625" style="562" customWidth="1"/>
    <col min="5" max="5" width="15.7109375" style="562" customWidth="1"/>
    <col min="6" max="6" width="16.42578125" style="562" customWidth="1"/>
    <col min="7" max="7" width="15.5703125" style="562" customWidth="1"/>
    <col min="8" max="8" width="7.85546875" style="185" customWidth="1"/>
    <col min="9" max="9" width="39.7109375" style="185" hidden="1" customWidth="1"/>
    <col min="10" max="10" width="9" style="185" hidden="1" customWidth="1"/>
    <col min="11" max="11" width="39.140625" style="185" hidden="1" customWidth="1"/>
    <col min="12" max="12" width="21.7109375" style="185" hidden="1" customWidth="1"/>
    <col min="13" max="13" width="14.42578125" style="185" hidden="1" customWidth="1"/>
    <col min="14" max="20" width="0" style="185" hidden="1" customWidth="1"/>
    <col min="21" max="16384" width="9.140625" style="185"/>
  </cols>
  <sheetData>
    <row r="1" spans="1:7">
      <c r="A1" s="183"/>
      <c r="B1" s="183"/>
      <c r="C1" s="560"/>
      <c r="D1" s="560"/>
      <c r="E1" s="560"/>
      <c r="F1" s="560"/>
      <c r="G1" s="560"/>
    </row>
    <row r="2" spans="1:7" ht="15.75">
      <c r="A2" s="235" t="str">
        <f>"Beneficiar: " &amp;'Date Generale'!$C$6</f>
        <v xml:space="preserve">Beneficiar: Judetul Arges </v>
      </c>
      <c r="B2" s="187"/>
      <c r="C2" s="561"/>
      <c r="D2" s="561"/>
      <c r="E2" s="561"/>
      <c r="F2" s="561"/>
      <c r="G2" s="561"/>
    </row>
    <row r="3" spans="1:7" ht="15.75" thickBot="1"/>
    <row r="4" spans="1:7" ht="16.5" thickBot="1">
      <c r="A4" s="633" t="str">
        <f>'Date Generale'!$C$3</f>
        <v>Modernizare DJ 703B Serbanesti (DJ659) - Silistea, km 70+410 - 77+826, 7.416km, in comunele Rociu si Cateasca</v>
      </c>
      <c r="B4" s="634"/>
      <c r="C4" s="634"/>
      <c r="D4" s="634"/>
      <c r="E4" s="634"/>
      <c r="F4" s="634"/>
      <c r="G4" s="635"/>
    </row>
    <row r="5" spans="1:7" s="590" customFormat="1" ht="15.75">
      <c r="A5" s="641" t="str">
        <f>'Date Generale'!C4</f>
        <v>Deviz actualizat 21.06.2019</v>
      </c>
      <c r="B5" s="641"/>
      <c r="C5" s="641"/>
      <c r="D5" s="641"/>
      <c r="E5" s="641"/>
      <c r="F5" s="641"/>
      <c r="G5" s="641"/>
    </row>
    <row r="6" spans="1:7" ht="15.75">
      <c r="A6" s="401"/>
      <c r="B6" s="401"/>
      <c r="C6" s="563"/>
      <c r="D6" s="563"/>
      <c r="E6" s="563"/>
      <c r="F6" s="563"/>
      <c r="G6" s="563"/>
    </row>
    <row r="7" spans="1:7" ht="30.75" customHeight="1">
      <c r="A7" s="636" t="s">
        <v>229</v>
      </c>
      <c r="B7" s="636"/>
      <c r="C7" s="636"/>
      <c r="D7" s="636"/>
      <c r="E7" s="636"/>
      <c r="F7" s="636"/>
      <c r="G7" s="636"/>
    </row>
    <row r="8" spans="1:7">
      <c r="A8" s="541"/>
      <c r="B8" s="541"/>
      <c r="C8" s="564"/>
      <c r="D8" s="564"/>
      <c r="E8" s="564"/>
      <c r="F8" s="564"/>
      <c r="G8" s="564"/>
    </row>
    <row r="9" spans="1:7" ht="15.75" thickBot="1">
      <c r="A9" s="312"/>
      <c r="B9" s="312"/>
      <c r="C9" s="565"/>
      <c r="D9" s="566" t="s">
        <v>2</v>
      </c>
      <c r="E9" s="591">
        <f>'Date Generale'!$C$54</f>
        <v>4.7233000000000001</v>
      </c>
      <c r="F9" s="567" t="s">
        <v>3</v>
      </c>
      <c r="G9" s="568" t="str">
        <f>'Date Generale'!$D$54</f>
        <v>21,06,2019</v>
      </c>
    </row>
    <row r="10" spans="1:7" ht="15.75" thickBot="1">
      <c r="A10" s="637" t="s">
        <v>4</v>
      </c>
      <c r="B10" s="638" t="s">
        <v>175</v>
      </c>
      <c r="C10" s="639" t="s">
        <v>176</v>
      </c>
      <c r="D10" s="639"/>
      <c r="E10" s="639"/>
      <c r="F10" s="639"/>
      <c r="G10" s="639"/>
    </row>
    <row r="11" spans="1:7" ht="15.75" thickBot="1">
      <c r="A11" s="637"/>
      <c r="B11" s="638"/>
      <c r="C11" s="640" t="s">
        <v>230</v>
      </c>
      <c r="D11" s="640"/>
      <c r="E11" s="640" t="s">
        <v>7</v>
      </c>
      <c r="F11" s="640" t="s">
        <v>159</v>
      </c>
      <c r="G11" s="640"/>
    </row>
    <row r="12" spans="1:7" ht="15.75" thickBot="1">
      <c r="A12" s="637"/>
      <c r="B12" s="638"/>
      <c r="C12" s="640"/>
      <c r="D12" s="640"/>
      <c r="E12" s="640"/>
      <c r="F12" s="640"/>
      <c r="G12" s="640"/>
    </row>
    <row r="13" spans="1:7" ht="15.75" thickBot="1">
      <c r="A13" s="637"/>
      <c r="B13" s="638"/>
      <c r="C13" s="569" t="s">
        <v>239</v>
      </c>
      <c r="D13" s="569" t="s">
        <v>240</v>
      </c>
      <c r="E13" s="569" t="s">
        <v>239</v>
      </c>
      <c r="F13" s="569" t="s">
        <v>239</v>
      </c>
      <c r="G13" s="569" t="s">
        <v>240</v>
      </c>
    </row>
    <row r="14" spans="1:7" ht="15.75" thickBot="1">
      <c r="A14" s="543">
        <v>1</v>
      </c>
      <c r="B14" s="542">
        <v>2</v>
      </c>
      <c r="C14" s="592">
        <v>3</v>
      </c>
      <c r="D14" s="592">
        <v>4</v>
      </c>
      <c r="E14" s="592">
        <v>5</v>
      </c>
      <c r="F14" s="592">
        <v>6</v>
      </c>
      <c r="G14" s="592">
        <v>7</v>
      </c>
    </row>
    <row r="15" spans="1:7">
      <c r="A15" s="544" t="s">
        <v>177</v>
      </c>
      <c r="B15" s="545"/>
      <c r="C15" s="570"/>
      <c r="D15" s="570"/>
      <c r="E15" s="570"/>
      <c r="F15" s="570"/>
      <c r="G15" s="571"/>
    </row>
    <row r="16" spans="1:7">
      <c r="A16" s="546" t="s">
        <v>178</v>
      </c>
      <c r="B16" s="547" t="s">
        <v>231</v>
      </c>
      <c r="C16" s="572">
        <f>Cap.1!F12/1000</f>
        <v>0</v>
      </c>
      <c r="D16" s="572">
        <f>Cap.1!G12/1000</f>
        <v>0</v>
      </c>
      <c r="E16" s="572">
        <f>Cap.1!H12/1000</f>
        <v>0</v>
      </c>
      <c r="F16" s="572">
        <f>Cap.1!I12/1000</f>
        <v>0</v>
      </c>
      <c r="G16" s="573">
        <f>Cap.1!J12/1000</f>
        <v>0</v>
      </c>
    </row>
    <row r="17" spans="1:15">
      <c r="A17" s="546" t="s">
        <v>179</v>
      </c>
      <c r="B17" s="547" t="s">
        <v>180</v>
      </c>
      <c r="C17" s="572">
        <f>Cap.1!F15/1000</f>
        <v>0</v>
      </c>
      <c r="D17" s="572">
        <f>Cap.1!G15/1000</f>
        <v>0</v>
      </c>
      <c r="E17" s="572">
        <f>Cap.1!H15/1000</f>
        <v>0</v>
      </c>
      <c r="F17" s="572">
        <f>Cap.1!I15/1000</f>
        <v>0</v>
      </c>
      <c r="G17" s="573">
        <f>Cap.1!J15/1000</f>
        <v>0</v>
      </c>
    </row>
    <row r="18" spans="1:15" ht="30">
      <c r="A18" s="548" t="s">
        <v>181</v>
      </c>
      <c r="B18" s="549" t="s">
        <v>232</v>
      </c>
      <c r="C18" s="572">
        <v>0</v>
      </c>
      <c r="D18" s="572">
        <v>0</v>
      </c>
      <c r="E18" s="572">
        <v>0</v>
      </c>
      <c r="F18" s="572">
        <v>0</v>
      </c>
      <c r="G18" s="573">
        <v>0</v>
      </c>
    </row>
    <row r="19" spans="1:15">
      <c r="A19" s="628" t="s">
        <v>182</v>
      </c>
      <c r="B19" s="629"/>
      <c r="C19" s="574">
        <f>SUM(C16:C18)</f>
        <v>0</v>
      </c>
      <c r="D19" s="574">
        <f t="shared" ref="D19:G19" si="0">SUM(D16:D18)</f>
        <v>0</v>
      </c>
      <c r="E19" s="574">
        <f t="shared" si="0"/>
        <v>0</v>
      </c>
      <c r="F19" s="574">
        <f t="shared" si="0"/>
        <v>0</v>
      </c>
      <c r="G19" s="575">
        <f t="shared" si="0"/>
        <v>0</v>
      </c>
    </row>
    <row r="20" spans="1:15">
      <c r="A20" s="550" t="s">
        <v>183</v>
      </c>
      <c r="B20" s="551"/>
      <c r="C20" s="576"/>
      <c r="D20" s="576"/>
      <c r="E20" s="576"/>
      <c r="F20" s="576"/>
      <c r="G20" s="577"/>
    </row>
    <row r="21" spans="1:15">
      <c r="A21" s="628" t="s">
        <v>184</v>
      </c>
      <c r="B21" s="629"/>
      <c r="C21" s="574">
        <f>Cap.2!C23/1000</f>
        <v>0</v>
      </c>
      <c r="D21" s="574">
        <f>Cap.2!D23/1000</f>
        <v>0</v>
      </c>
      <c r="E21" s="574">
        <f>Cap.2!E23/1000</f>
        <v>0</v>
      </c>
      <c r="F21" s="574">
        <f>Cap.2!F23/1000</f>
        <v>0</v>
      </c>
      <c r="G21" s="575">
        <f>Cap.2!G23/1000</f>
        <v>0</v>
      </c>
      <c r="I21" s="597" t="s">
        <v>441</v>
      </c>
    </row>
    <row r="22" spans="1:15">
      <c r="A22" s="552" t="s">
        <v>185</v>
      </c>
      <c r="B22" s="551"/>
      <c r="C22" s="578"/>
      <c r="D22" s="578"/>
      <c r="E22" s="578"/>
      <c r="F22" s="578"/>
      <c r="G22" s="579"/>
      <c r="I22" s="598" t="s">
        <v>442</v>
      </c>
    </row>
    <row r="23" spans="1:15">
      <c r="A23" s="553" t="s">
        <v>186</v>
      </c>
      <c r="B23" s="547" t="s">
        <v>187</v>
      </c>
      <c r="C23" s="572">
        <f>Cap.3!C12/1000</f>
        <v>10.5</v>
      </c>
      <c r="D23" s="572">
        <f>C23/4.7233</f>
        <v>2.2230220396756506</v>
      </c>
      <c r="E23" s="572">
        <f>C23*0.19</f>
        <v>1.9950000000000001</v>
      </c>
      <c r="F23" s="572">
        <f>SUM(C23,E23)</f>
        <v>12.495000000000001</v>
      </c>
      <c r="G23" s="573">
        <f>F23/4.7233</f>
        <v>2.6453962272140243</v>
      </c>
    </row>
    <row r="24" spans="1:15">
      <c r="A24" s="546" t="s">
        <v>188</v>
      </c>
      <c r="B24" s="547" t="s">
        <v>427</v>
      </c>
      <c r="C24" s="572">
        <f>Cap.3!C14/1000</f>
        <v>3.6</v>
      </c>
      <c r="D24" s="572">
        <f t="shared" ref="D24:D29" si="1">C24/4.7233</f>
        <v>0.7621789850316516</v>
      </c>
      <c r="E24" s="572">
        <f t="shared" ref="E24:E29" si="2">C24*0.19</f>
        <v>0.68400000000000005</v>
      </c>
      <c r="F24" s="572">
        <f t="shared" ref="F24:F29" si="3">SUM(C24,E24)</f>
        <v>4.2839999999999998</v>
      </c>
      <c r="G24" s="573">
        <f t="shared" ref="G24:G29" si="4">F24/4.7233</f>
        <v>0.90699299218766538</v>
      </c>
    </row>
    <row r="25" spans="1:15">
      <c r="A25" s="553" t="s">
        <v>190</v>
      </c>
      <c r="B25" s="547" t="s">
        <v>191</v>
      </c>
      <c r="C25" s="599">
        <v>83.630840000000006</v>
      </c>
      <c r="D25" s="572">
        <f t="shared" si="1"/>
        <v>17.706019096817904</v>
      </c>
      <c r="E25" s="572">
        <f t="shared" si="2"/>
        <v>15.889859600000001</v>
      </c>
      <c r="F25" s="572">
        <f t="shared" si="3"/>
        <v>99.5206996</v>
      </c>
      <c r="G25" s="573">
        <f t="shared" si="4"/>
        <v>21.070162725213304</v>
      </c>
      <c r="I25" s="562" t="s">
        <v>448</v>
      </c>
      <c r="J25" s="185" t="s">
        <v>447</v>
      </c>
      <c r="K25" s="185" t="s">
        <v>445</v>
      </c>
      <c r="L25" s="631" t="s">
        <v>446</v>
      </c>
      <c r="M25" s="631"/>
      <c r="N25" s="631"/>
      <c r="O25" s="631"/>
    </row>
    <row r="26" spans="1:15">
      <c r="A26" s="553" t="s">
        <v>192</v>
      </c>
      <c r="B26" s="547" t="s">
        <v>193</v>
      </c>
      <c r="C26" s="596">
        <f>Cap.3!C35/1000</f>
        <v>12.5</v>
      </c>
      <c r="D26" s="572">
        <f t="shared" si="1"/>
        <v>2.6464548091376789</v>
      </c>
      <c r="E26" s="572">
        <f t="shared" si="2"/>
        <v>2.375</v>
      </c>
      <c r="F26" s="572">
        <f t="shared" si="3"/>
        <v>14.875</v>
      </c>
      <c r="G26" s="573">
        <f t="shared" si="4"/>
        <v>3.1492812228738383</v>
      </c>
    </row>
    <row r="27" spans="1:15">
      <c r="A27" s="553" t="s">
        <v>194</v>
      </c>
      <c r="B27" s="547" t="s">
        <v>195</v>
      </c>
      <c r="C27" s="596">
        <v>0</v>
      </c>
      <c r="D27" s="572">
        <f t="shared" si="1"/>
        <v>0</v>
      </c>
      <c r="E27" s="572">
        <f t="shared" si="2"/>
        <v>0</v>
      </c>
      <c r="F27" s="572">
        <f t="shared" si="3"/>
        <v>0</v>
      </c>
      <c r="G27" s="573">
        <f t="shared" si="4"/>
        <v>0</v>
      </c>
      <c r="I27" s="597" t="s">
        <v>450</v>
      </c>
    </row>
    <row r="28" spans="1:15">
      <c r="A28" s="553" t="s">
        <v>440</v>
      </c>
      <c r="B28" s="547" t="s">
        <v>197</v>
      </c>
      <c r="C28" s="600">
        <v>3.9426399999999999</v>
      </c>
      <c r="D28" s="572">
        <f t="shared" ref="D28" si="5">C28/4.7233</f>
        <v>0.83472148709588634</v>
      </c>
      <c r="E28" s="572">
        <f t="shared" ref="E28" si="6">C28*0.19</f>
        <v>0.74910160000000003</v>
      </c>
      <c r="F28" s="572">
        <f t="shared" ref="F28" si="7">SUM(C28,E28)</f>
        <v>4.6917416000000003</v>
      </c>
      <c r="G28" s="573">
        <f t="shared" ref="G28" si="8">F28/4.7233</f>
        <v>0.99331856964410481</v>
      </c>
      <c r="J28" s="562"/>
    </row>
    <row r="29" spans="1:15">
      <c r="A29" s="553" t="s">
        <v>443</v>
      </c>
      <c r="B29" s="547" t="s">
        <v>444</v>
      </c>
      <c r="C29" s="599">
        <v>54</v>
      </c>
      <c r="D29" s="572">
        <f t="shared" si="1"/>
        <v>11.432684775474774</v>
      </c>
      <c r="E29" s="572">
        <f t="shared" si="2"/>
        <v>10.26</v>
      </c>
      <c r="F29" s="572">
        <f t="shared" si="3"/>
        <v>64.260000000000005</v>
      </c>
      <c r="G29" s="573">
        <f t="shared" si="4"/>
        <v>13.604894882814982</v>
      </c>
      <c r="M29" s="233"/>
    </row>
    <row r="30" spans="1:15">
      <c r="A30" s="628" t="s">
        <v>198</v>
      </c>
      <c r="B30" s="629"/>
      <c r="C30" s="601">
        <f>SUM(C23:C29)</f>
        <v>168.17347999999998</v>
      </c>
      <c r="D30" s="580">
        <f t="shared" ref="D30:G30" si="9">SUM(D23:D29)</f>
        <v>35.605081193233545</v>
      </c>
      <c r="E30" s="580">
        <f t="shared" si="9"/>
        <v>31.952961200000004</v>
      </c>
      <c r="F30" s="580">
        <f t="shared" si="9"/>
        <v>200.12644119999999</v>
      </c>
      <c r="G30" s="581">
        <f t="shared" si="9"/>
        <v>42.370046619947921</v>
      </c>
      <c r="H30" s="361"/>
    </row>
    <row r="31" spans="1:15">
      <c r="A31" s="552" t="s">
        <v>233</v>
      </c>
      <c r="B31" s="554"/>
      <c r="C31" s="602"/>
      <c r="D31" s="582"/>
      <c r="E31" s="582"/>
      <c r="F31" s="582"/>
      <c r="G31" s="583"/>
    </row>
    <row r="32" spans="1:15">
      <c r="A32" s="553" t="s">
        <v>199</v>
      </c>
      <c r="B32" s="547" t="s">
        <v>200</v>
      </c>
      <c r="C32" s="596">
        <v>9511.6155799999997</v>
      </c>
      <c r="D32" s="572">
        <f>C32/4.7233</f>
        <v>2013.7648635487899</v>
      </c>
      <c r="E32" s="572">
        <f>C32*0.19</f>
        <v>1807.2069601999999</v>
      </c>
      <c r="F32" s="572">
        <f>SUM(C32,E32)</f>
        <v>11318.822540199999</v>
      </c>
      <c r="G32" s="573">
        <f>F32/4.7233</f>
        <v>2396.38018762306</v>
      </c>
      <c r="H32" s="337"/>
      <c r="I32" s="338"/>
    </row>
    <row r="33" spans="1:11">
      <c r="A33" s="553" t="s">
        <v>201</v>
      </c>
      <c r="B33" s="547" t="s">
        <v>202</v>
      </c>
      <c r="C33" s="596">
        <v>0</v>
      </c>
      <c r="D33" s="572">
        <f>C33/'Date Generale'!C54</f>
        <v>0</v>
      </c>
      <c r="E33" s="572">
        <v>0</v>
      </c>
      <c r="F33" s="572">
        <v>0</v>
      </c>
      <c r="G33" s="573">
        <v>0</v>
      </c>
    </row>
    <row r="34" spans="1:11">
      <c r="A34" s="553" t="s">
        <v>203</v>
      </c>
      <c r="B34" s="547" t="s">
        <v>204</v>
      </c>
      <c r="C34" s="596">
        <v>0</v>
      </c>
      <c r="D34" s="572">
        <v>0</v>
      </c>
      <c r="E34" s="572">
        <v>0</v>
      </c>
      <c r="F34" s="572">
        <v>0</v>
      </c>
      <c r="G34" s="573">
        <v>0</v>
      </c>
    </row>
    <row r="35" spans="1:11">
      <c r="A35" s="553" t="s">
        <v>205</v>
      </c>
      <c r="B35" s="547" t="s">
        <v>206</v>
      </c>
      <c r="C35" s="596">
        <f>'Cap.4 Centraliz Obiecte'!C28/1000</f>
        <v>0</v>
      </c>
      <c r="D35" s="572">
        <f>'Cap.4 Centraliz Obiecte'!D28/1000</f>
        <v>0</v>
      </c>
      <c r="E35" s="572">
        <f>'Cap.4 Centraliz Obiecte'!E28/1000</f>
        <v>0</v>
      </c>
      <c r="F35" s="572">
        <f>'Cap.4 Centraliz Obiecte'!F28/1000</f>
        <v>0</v>
      </c>
      <c r="G35" s="573">
        <f>'Cap.4 Centraliz Obiecte'!G28/1000</f>
        <v>0</v>
      </c>
    </row>
    <row r="36" spans="1:11">
      <c r="A36" s="553" t="s">
        <v>207</v>
      </c>
      <c r="B36" s="547" t="s">
        <v>234</v>
      </c>
      <c r="C36" s="596">
        <f>'Cap.4 Centraliz Obiecte'!C29/1000</f>
        <v>0</v>
      </c>
      <c r="D36" s="572">
        <f>'Cap.4 Centraliz Obiecte'!D29/1000</f>
        <v>0</v>
      </c>
      <c r="E36" s="572">
        <f>'Cap.4 Centraliz Obiecte'!E29/1000</f>
        <v>0</v>
      </c>
      <c r="F36" s="572">
        <f>'Cap.4 Centraliz Obiecte'!F29/1000</f>
        <v>0</v>
      </c>
      <c r="G36" s="573">
        <f>'Cap.4 Centraliz Obiecte'!G29/1000</f>
        <v>0</v>
      </c>
    </row>
    <row r="37" spans="1:11">
      <c r="A37" s="553">
        <v>4.5999999999999996</v>
      </c>
      <c r="B37" s="547" t="s">
        <v>208</v>
      </c>
      <c r="C37" s="596">
        <f>0/1000</f>
        <v>0</v>
      </c>
      <c r="D37" s="572">
        <f t="shared" ref="D37" si="10">C37/$E$9</f>
        <v>0</v>
      </c>
      <c r="E37" s="572">
        <f>C37*'Date Generale'!$D$58</f>
        <v>0</v>
      </c>
      <c r="F37" s="572">
        <f t="shared" ref="F37" si="11">C37+E37</f>
        <v>0</v>
      </c>
      <c r="G37" s="573">
        <f t="shared" ref="G37" si="12">F37/$E$9</f>
        <v>0</v>
      </c>
    </row>
    <row r="38" spans="1:11">
      <c r="A38" s="628" t="s">
        <v>209</v>
      </c>
      <c r="B38" s="629"/>
      <c r="C38" s="601">
        <f>SUM(C32:C37)</f>
        <v>9511.6155799999997</v>
      </c>
      <c r="D38" s="580">
        <f t="shared" ref="D38:G38" si="13">SUM(D32:D37)</f>
        <v>2013.7648635487899</v>
      </c>
      <c r="E38" s="580">
        <f t="shared" si="13"/>
        <v>1807.2069601999999</v>
      </c>
      <c r="F38" s="580">
        <f t="shared" si="13"/>
        <v>11318.822540199999</v>
      </c>
      <c r="G38" s="581">
        <f t="shared" si="13"/>
        <v>2396.38018762306</v>
      </c>
      <c r="H38" s="361"/>
    </row>
    <row r="39" spans="1:11">
      <c r="A39" s="552" t="s">
        <v>210</v>
      </c>
      <c r="B39" s="554"/>
      <c r="C39" s="602"/>
      <c r="D39" s="582"/>
      <c r="E39" s="582"/>
      <c r="F39" s="582"/>
      <c r="G39" s="583"/>
    </row>
    <row r="40" spans="1:11">
      <c r="A40" s="630">
        <v>5.0999999999999996</v>
      </c>
      <c r="B40" s="547" t="s">
        <v>211</v>
      </c>
      <c r="C40" s="596">
        <f>C41+C42</f>
        <v>61.474999999999994</v>
      </c>
      <c r="D40" s="572">
        <f>D41+D42</f>
        <v>13.015264751339107</v>
      </c>
      <c r="E40" s="572">
        <f>C40*0.19</f>
        <v>11.680249999999999</v>
      </c>
      <c r="F40" s="572">
        <f>F41+F42</f>
        <v>180.96980930000001</v>
      </c>
      <c r="G40" s="573">
        <f>F40/4.7233</f>
        <v>38.314273770457099</v>
      </c>
      <c r="H40" s="337"/>
      <c r="I40" s="204"/>
    </row>
    <row r="41" spans="1:11">
      <c r="A41" s="630"/>
      <c r="B41" s="547" t="s">
        <v>235</v>
      </c>
      <c r="C41" s="596">
        <v>34.65</v>
      </c>
      <c r="D41" s="572">
        <f>C41/4.7233</f>
        <v>7.3359727309296465</v>
      </c>
      <c r="E41" s="572">
        <f t="shared" ref="E41:E44" si="14">C41*0.19</f>
        <v>6.5834999999999999</v>
      </c>
      <c r="F41" s="572">
        <f>Cap.5!F14/1000</f>
        <v>149.04805930000001</v>
      </c>
      <c r="G41" s="573">
        <f t="shared" ref="G41:G44" si="15">F41/4.7233</f>
        <v>31.555916266169838</v>
      </c>
      <c r="H41" s="337"/>
    </row>
    <row r="42" spans="1:11">
      <c r="A42" s="630"/>
      <c r="B42" s="547" t="s">
        <v>236</v>
      </c>
      <c r="C42" s="596">
        <f>Cap.5!C15/1000</f>
        <v>26.824999999999999</v>
      </c>
      <c r="D42" s="572">
        <f t="shared" ref="D42:D44" si="16">C42/4.7233</f>
        <v>5.6792920204094592</v>
      </c>
      <c r="E42" s="572">
        <f t="shared" si="14"/>
        <v>5.0967500000000001</v>
      </c>
      <c r="F42" s="572">
        <f>Cap.5!F15/1000</f>
        <v>31.921749999999999</v>
      </c>
      <c r="G42" s="573">
        <f t="shared" si="15"/>
        <v>6.7583575042872566</v>
      </c>
      <c r="H42" s="337"/>
    </row>
    <row r="43" spans="1:11">
      <c r="A43" s="555" t="s">
        <v>212</v>
      </c>
      <c r="B43" s="547" t="s">
        <v>213</v>
      </c>
      <c r="C43" s="599">
        <v>118.42694</v>
      </c>
      <c r="D43" s="572">
        <f t="shared" si="16"/>
        <v>25.072923591556751</v>
      </c>
      <c r="E43" s="572">
        <v>0</v>
      </c>
      <c r="F43" s="572">
        <f>C43</f>
        <v>118.42694</v>
      </c>
      <c r="G43" s="573">
        <f t="shared" si="15"/>
        <v>25.072923591556751</v>
      </c>
      <c r="H43" s="337"/>
      <c r="I43" s="632" t="s">
        <v>449</v>
      </c>
      <c r="J43" s="632"/>
      <c r="K43" s="632"/>
    </row>
    <row r="44" spans="1:11">
      <c r="A44" s="555" t="s">
        <v>214</v>
      </c>
      <c r="B44" s="547" t="s">
        <v>215</v>
      </c>
      <c r="C44" s="596">
        <v>756.98599999999999</v>
      </c>
      <c r="D44" s="572">
        <f t="shared" si="16"/>
        <v>160.26633921199161</v>
      </c>
      <c r="E44" s="572">
        <f t="shared" si="14"/>
        <v>143.82733999999999</v>
      </c>
      <c r="F44" s="572">
        <f>Cap.5!F23/1000</f>
        <v>921.43093728000008</v>
      </c>
      <c r="G44" s="573">
        <f t="shared" si="15"/>
        <v>195.08202682023162</v>
      </c>
      <c r="H44" s="337"/>
    </row>
    <row r="45" spans="1:11">
      <c r="A45" s="628" t="s">
        <v>216</v>
      </c>
      <c r="B45" s="629"/>
      <c r="C45" s="580">
        <f>SUM(C40,C43,C44)</f>
        <v>936.88793999999996</v>
      </c>
      <c r="D45" s="580">
        <f t="shared" ref="D45:G45" si="17">SUM(D40,D43,D44)</f>
        <v>198.35452755488745</v>
      </c>
      <c r="E45" s="580">
        <f t="shared" si="17"/>
        <v>155.50758999999999</v>
      </c>
      <c r="F45" s="580">
        <f>SUM(C45,E45)</f>
        <v>1092.39553</v>
      </c>
      <c r="G45" s="581">
        <f t="shared" si="17"/>
        <v>258.46922418224545</v>
      </c>
      <c r="H45" s="361"/>
    </row>
    <row r="46" spans="1:11">
      <c r="A46" s="552" t="s">
        <v>237</v>
      </c>
      <c r="B46" s="554"/>
      <c r="C46" s="582"/>
      <c r="D46" s="582"/>
      <c r="E46" s="582"/>
      <c r="F46" s="582"/>
      <c r="G46" s="583"/>
    </row>
    <row r="47" spans="1:11">
      <c r="A47" s="555" t="s">
        <v>217</v>
      </c>
      <c r="B47" s="547" t="s">
        <v>218</v>
      </c>
      <c r="C47" s="572">
        <v>0</v>
      </c>
      <c r="D47" s="572">
        <f>C47/$E$9</f>
        <v>0</v>
      </c>
      <c r="E47" s="572">
        <f>C47*'Date Generale'!$D$58</f>
        <v>0</v>
      </c>
      <c r="F47" s="572">
        <f t="shared" ref="F47:F48" si="18">C47+E47</f>
        <v>0</v>
      </c>
      <c r="G47" s="573">
        <f t="shared" ref="G47:G48" si="19">F47/$E$9</f>
        <v>0</v>
      </c>
    </row>
    <row r="48" spans="1:11">
      <c r="A48" s="555" t="s">
        <v>219</v>
      </c>
      <c r="B48" s="547" t="s">
        <v>220</v>
      </c>
      <c r="C48" s="572">
        <v>0</v>
      </c>
      <c r="D48" s="572">
        <f t="shared" ref="D48" si="20">C48/$E$9</f>
        <v>0</v>
      </c>
      <c r="E48" s="572">
        <f>C48*'Date Generale'!$D$58</f>
        <v>0</v>
      </c>
      <c r="F48" s="572">
        <f t="shared" si="18"/>
        <v>0</v>
      </c>
      <c r="G48" s="573">
        <f t="shared" si="19"/>
        <v>0</v>
      </c>
    </row>
    <row r="49" spans="1:10" ht="15.75" thickBot="1">
      <c r="A49" s="625" t="s">
        <v>221</v>
      </c>
      <c r="B49" s="626"/>
      <c r="C49" s="584">
        <f>SUM(C47:C48)</f>
        <v>0</v>
      </c>
      <c r="D49" s="584">
        <f t="shared" ref="D49:G49" si="21">SUM(D47:D48)</f>
        <v>0</v>
      </c>
      <c r="E49" s="584">
        <f t="shared" si="21"/>
        <v>0</v>
      </c>
      <c r="F49" s="584">
        <f t="shared" si="21"/>
        <v>0</v>
      </c>
      <c r="G49" s="585">
        <f t="shared" si="21"/>
        <v>0</v>
      </c>
    </row>
    <row r="50" spans="1:10" ht="15.75" thickBot="1">
      <c r="A50" s="627" t="s">
        <v>36</v>
      </c>
      <c r="B50" s="627"/>
      <c r="C50" s="559">
        <f>SUM(C19,C21,C30,C38,C45,C49)</f>
        <v>10616.677</v>
      </c>
      <c r="D50" s="559">
        <f t="shared" ref="D50:F50" si="22">SUM(D19,D21,D30,D38,D45,D49)</f>
        <v>2247.7244722969108</v>
      </c>
      <c r="E50" s="559">
        <f t="shared" si="22"/>
        <v>1994.6675113999997</v>
      </c>
      <c r="F50" s="559">
        <f t="shared" si="22"/>
        <v>12611.344511399999</v>
      </c>
      <c r="G50" s="559">
        <f>F50/4.7233</f>
        <v>2670.028266550928</v>
      </c>
      <c r="J50" s="233"/>
    </row>
    <row r="51" spans="1:10" ht="15.75" thickBot="1">
      <c r="A51" s="627" t="s">
        <v>238</v>
      </c>
      <c r="B51" s="627"/>
      <c r="C51" s="559">
        <f>C17+C18+C21+C32+C33+C41</f>
        <v>9546.2655799999993</v>
      </c>
      <c r="D51" s="559">
        <f t="shared" ref="D51:E51" si="23">D17+D18+D21+D32+D33+D41</f>
        <v>2021.1008362797195</v>
      </c>
      <c r="E51" s="559">
        <f t="shared" si="23"/>
        <v>1813.7904601999999</v>
      </c>
      <c r="F51" s="559">
        <f>SUM(C51,E51)</f>
        <v>11360.056040199999</v>
      </c>
      <c r="G51" s="559">
        <f>F51/4.7233</f>
        <v>2405.1099951728661</v>
      </c>
    </row>
    <row r="52" spans="1:10">
      <c r="A52" s="556"/>
      <c r="B52" s="556"/>
      <c r="C52" s="586"/>
      <c r="D52" s="586"/>
      <c r="E52" s="586"/>
      <c r="F52" s="586"/>
      <c r="G52" s="586"/>
    </row>
    <row r="53" spans="1:10">
      <c r="A53" s="556"/>
      <c r="B53" s="556"/>
      <c r="C53" s="587"/>
      <c r="D53" s="587"/>
      <c r="E53" s="587"/>
      <c r="F53" s="587"/>
      <c r="G53" s="588"/>
    </row>
    <row r="54" spans="1:10">
      <c r="A54" s="556"/>
      <c r="B54" s="256" t="s">
        <v>37</v>
      </c>
      <c r="C54" s="593"/>
      <c r="D54" s="594"/>
      <c r="E54" s="587"/>
      <c r="F54" s="589"/>
      <c r="G54" s="588"/>
    </row>
    <row r="55" spans="1:10">
      <c r="A55" s="558"/>
      <c r="B55" s="256" t="str">
        <f>'Date Generale'!$C$7</f>
        <v>S.C. Tehno Consoulting Solutions S.R.L.</v>
      </c>
      <c r="C55" s="587"/>
      <c r="D55" s="589"/>
      <c r="E55" s="587"/>
      <c r="F55" s="589"/>
      <c r="G55" s="588"/>
    </row>
    <row r="56" spans="1:10">
      <c r="A56" s="557"/>
      <c r="B56" s="595" t="s">
        <v>438</v>
      </c>
      <c r="C56" s="588"/>
      <c r="D56" s="588"/>
      <c r="E56" s="588"/>
      <c r="F56" s="588"/>
      <c r="G56" s="588"/>
    </row>
  </sheetData>
  <mergeCells count="20">
    <mergeCell ref="L25:O25"/>
    <mergeCell ref="I43:K43"/>
    <mergeCell ref="A4:G4"/>
    <mergeCell ref="A7:G7"/>
    <mergeCell ref="A10:A13"/>
    <mergeCell ref="B10:B13"/>
    <mergeCell ref="C10:G10"/>
    <mergeCell ref="C11:D12"/>
    <mergeCell ref="E11:E12"/>
    <mergeCell ref="F11:G12"/>
    <mergeCell ref="A5:G5"/>
    <mergeCell ref="A49:B49"/>
    <mergeCell ref="A50:B50"/>
    <mergeCell ref="A51:B51"/>
    <mergeCell ref="A19:B19"/>
    <mergeCell ref="A21:B21"/>
    <mergeCell ref="A30:B30"/>
    <mergeCell ref="A38:B38"/>
    <mergeCell ref="A40:A42"/>
    <mergeCell ref="A45:B45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N65"/>
  <sheetViews>
    <sheetView view="pageBreakPreview" zoomScaleNormal="100" zoomScaleSheetLayoutView="100" workbookViewId="0">
      <selection activeCell="A7" sqref="A7:G7"/>
    </sheetView>
  </sheetViews>
  <sheetFormatPr defaultRowHeight="15"/>
  <cols>
    <col min="1" max="1" width="6.85546875" style="185" customWidth="1"/>
    <col min="2" max="2" width="55.5703125" style="185" customWidth="1"/>
    <col min="3" max="7" width="15.7109375" style="185" customWidth="1"/>
    <col min="8" max="8" width="18.28515625" style="185" customWidth="1"/>
    <col min="9" max="13" width="15" style="185" bestFit="1" customWidth="1"/>
    <col min="14" max="14" width="21.42578125" style="185" bestFit="1" customWidth="1"/>
    <col min="15" max="16384" width="9.140625" style="185"/>
  </cols>
  <sheetData>
    <row r="1" spans="1:7">
      <c r="A1" s="183"/>
      <c r="B1" s="183"/>
      <c r="C1" s="183"/>
      <c r="D1" s="183"/>
      <c r="E1" s="183"/>
      <c r="F1" s="183"/>
      <c r="G1" s="183"/>
    </row>
    <row r="2" spans="1:7" ht="32.25" customHeight="1">
      <c r="A2" s="235" t="str">
        <f>"Beneficiar: " &amp;'Date Generale'!$C$6</f>
        <v xml:space="preserve">Beneficiar: Judetul Arges </v>
      </c>
      <c r="B2" s="187"/>
      <c r="C2" s="188"/>
      <c r="D2" s="188"/>
      <c r="E2" s="188"/>
      <c r="F2" s="188"/>
      <c r="G2" s="188"/>
    </row>
    <row r="3" spans="1:7" ht="15.75" thickBot="1"/>
    <row r="4" spans="1:7" ht="30" customHeight="1" thickBot="1">
      <c r="A4" s="648" t="str">
        <f>'Date Generale'!$C$3</f>
        <v>Modernizare DJ 703B Serbanesti (DJ659) - Silistea, km 70+410 - 77+826, 7.416km, in comunele Rociu si Cateasca</v>
      </c>
      <c r="B4" s="649"/>
      <c r="C4" s="649"/>
      <c r="D4" s="649"/>
      <c r="E4" s="649"/>
      <c r="F4" s="649"/>
      <c r="G4" s="650"/>
    </row>
    <row r="5" spans="1:7" ht="15.75">
      <c r="A5" s="655"/>
      <c r="B5" s="655"/>
      <c r="C5" s="655"/>
      <c r="D5" s="655"/>
      <c r="E5" s="655"/>
      <c r="F5" s="655"/>
      <c r="G5" s="655"/>
    </row>
    <row r="6" spans="1:7" ht="15.75">
      <c r="A6" s="334"/>
      <c r="B6" s="398"/>
      <c r="C6" s="398"/>
      <c r="D6" s="398"/>
      <c r="E6" s="398"/>
      <c r="F6" s="398"/>
      <c r="G6" s="398"/>
    </row>
    <row r="7" spans="1:7" ht="30.75" customHeight="1">
      <c r="A7" s="651" t="s">
        <v>229</v>
      </c>
      <c r="B7" s="651"/>
      <c r="C7" s="651"/>
      <c r="D7" s="651"/>
      <c r="E7" s="651"/>
      <c r="F7" s="651"/>
      <c r="G7" s="651"/>
    </row>
    <row r="8" spans="1:7">
      <c r="A8" s="313"/>
      <c r="B8" s="313"/>
      <c r="C8" s="313"/>
      <c r="D8" s="313"/>
      <c r="E8" s="313"/>
      <c r="F8" s="313"/>
      <c r="G8" s="313"/>
    </row>
    <row r="9" spans="1:7" ht="15.75" thickBot="1">
      <c r="A9" s="335"/>
      <c r="B9" s="335"/>
      <c r="C9" s="336"/>
      <c r="D9" s="242" t="s">
        <v>2</v>
      </c>
      <c r="E9" s="194">
        <f>'Date Generale'!$C$54</f>
        <v>4.7233000000000001</v>
      </c>
      <c r="F9" s="195" t="s">
        <v>3</v>
      </c>
      <c r="G9" s="196" t="str">
        <f>'Date Generale'!$D$54</f>
        <v>21,06,2019</v>
      </c>
    </row>
    <row r="10" spans="1:7" ht="15.75" thickBot="1">
      <c r="A10" s="652" t="s">
        <v>4</v>
      </c>
      <c r="B10" s="653" t="s">
        <v>175</v>
      </c>
      <c r="C10" s="654" t="s">
        <v>176</v>
      </c>
      <c r="D10" s="654"/>
      <c r="E10" s="654"/>
      <c r="F10" s="654"/>
      <c r="G10" s="654"/>
    </row>
    <row r="11" spans="1:7" ht="15.75" thickBot="1">
      <c r="A11" s="652"/>
      <c r="B11" s="653"/>
      <c r="C11" s="653" t="s">
        <v>230</v>
      </c>
      <c r="D11" s="653"/>
      <c r="E11" s="653" t="s">
        <v>7</v>
      </c>
      <c r="F11" s="653" t="s">
        <v>159</v>
      </c>
      <c r="G11" s="653"/>
    </row>
    <row r="12" spans="1:7" ht="15.75" thickBot="1">
      <c r="A12" s="652"/>
      <c r="B12" s="653"/>
      <c r="C12" s="653"/>
      <c r="D12" s="653"/>
      <c r="E12" s="653"/>
      <c r="F12" s="653"/>
      <c r="G12" s="653"/>
    </row>
    <row r="13" spans="1:7" ht="15.75" thickBot="1">
      <c r="A13" s="652"/>
      <c r="B13" s="653"/>
      <c r="C13" s="345" t="s">
        <v>9</v>
      </c>
      <c r="D13" s="345" t="s">
        <v>10</v>
      </c>
      <c r="E13" s="345" t="s">
        <v>9</v>
      </c>
      <c r="F13" s="345" t="s">
        <v>9</v>
      </c>
      <c r="G13" s="345" t="s">
        <v>10</v>
      </c>
    </row>
    <row r="14" spans="1:7" ht="15.75" thickBot="1">
      <c r="A14" s="346">
        <v>1</v>
      </c>
      <c r="B14" s="345">
        <v>2</v>
      </c>
      <c r="C14" s="345">
        <v>3</v>
      </c>
      <c r="D14" s="345">
        <v>4</v>
      </c>
      <c r="E14" s="345">
        <v>5</v>
      </c>
      <c r="F14" s="345">
        <v>6</v>
      </c>
      <c r="G14" s="345">
        <v>7</v>
      </c>
    </row>
    <row r="15" spans="1:7">
      <c r="A15" s="362" t="s">
        <v>177</v>
      </c>
      <c r="B15" s="363"/>
      <c r="C15" s="363"/>
      <c r="D15" s="363"/>
      <c r="E15" s="363"/>
      <c r="F15" s="363"/>
      <c r="G15" s="364"/>
    </row>
    <row r="16" spans="1:7">
      <c r="A16" s="351" t="s">
        <v>178</v>
      </c>
      <c r="B16" s="365" t="s">
        <v>231</v>
      </c>
      <c r="C16" s="176">
        <f>Cap.1!F12</f>
        <v>0</v>
      </c>
      <c r="D16" s="176">
        <f>Cap.1!G12</f>
        <v>0</v>
      </c>
      <c r="E16" s="176">
        <f>Cap.1!H12</f>
        <v>0</v>
      </c>
      <c r="F16" s="176">
        <f>Cap.1!I12</f>
        <v>0</v>
      </c>
      <c r="G16" s="245">
        <f>Cap.1!J12</f>
        <v>0</v>
      </c>
    </row>
    <row r="17" spans="1:13">
      <c r="A17" s="351" t="s">
        <v>179</v>
      </c>
      <c r="B17" s="365" t="s">
        <v>180</v>
      </c>
      <c r="C17" s="176">
        <v>0</v>
      </c>
      <c r="D17" s="176">
        <f>C17/E9</f>
        <v>0</v>
      </c>
      <c r="E17" s="176">
        <f>C17*'Date Generale'!D58</f>
        <v>0</v>
      </c>
      <c r="F17" s="176">
        <f>E17+C17</f>
        <v>0</v>
      </c>
      <c r="G17" s="245">
        <f>F17/E9</f>
        <v>0</v>
      </c>
    </row>
    <row r="18" spans="1:13">
      <c r="A18" s="352" t="s">
        <v>181</v>
      </c>
      <c r="B18" s="366" t="s">
        <v>232</v>
      </c>
      <c r="C18" s="176">
        <v>0</v>
      </c>
      <c r="D18" s="176">
        <f>C18/E9</f>
        <v>0</v>
      </c>
      <c r="E18" s="176">
        <f>C18*'Date Generale'!D58</f>
        <v>0</v>
      </c>
      <c r="F18" s="176">
        <f>E18+C18</f>
        <v>0</v>
      </c>
      <c r="G18" s="245">
        <f>F18/E9</f>
        <v>0</v>
      </c>
    </row>
    <row r="19" spans="1:13">
      <c r="A19" s="645" t="s">
        <v>182</v>
      </c>
      <c r="B19" s="646"/>
      <c r="C19" s="349">
        <f>SUM(C16:C18)</f>
        <v>0</v>
      </c>
      <c r="D19" s="349">
        <f t="shared" ref="D19:G19" si="0">SUM(D16:D18)</f>
        <v>0</v>
      </c>
      <c r="E19" s="349">
        <f t="shared" si="0"/>
        <v>0</v>
      </c>
      <c r="F19" s="349">
        <f t="shared" si="0"/>
        <v>0</v>
      </c>
      <c r="G19" s="349">
        <f t="shared" si="0"/>
        <v>0</v>
      </c>
    </row>
    <row r="20" spans="1:13">
      <c r="A20" s="367" t="s">
        <v>183</v>
      </c>
      <c r="B20" s="368"/>
      <c r="C20" s="353"/>
      <c r="D20" s="353"/>
      <c r="E20" s="353"/>
      <c r="F20" s="353"/>
      <c r="G20" s="354"/>
    </row>
    <row r="21" spans="1:13">
      <c r="A21" s="645" t="s">
        <v>184</v>
      </c>
      <c r="B21" s="646"/>
      <c r="C21" s="349">
        <v>0</v>
      </c>
      <c r="D21" s="349">
        <f>C21/E9</f>
        <v>0</v>
      </c>
      <c r="E21" s="349">
        <f>C21*'Date Generale'!D58</f>
        <v>0</v>
      </c>
      <c r="F21" s="349">
        <f>E21+C21</f>
        <v>0</v>
      </c>
      <c r="G21" s="350">
        <f>F21/E9</f>
        <v>0</v>
      </c>
    </row>
    <row r="22" spans="1:13">
      <c r="A22" s="347" t="s">
        <v>185</v>
      </c>
      <c r="B22" s="368"/>
      <c r="C22" s="355"/>
      <c r="D22" s="355"/>
      <c r="E22" s="355"/>
      <c r="F22" s="355"/>
      <c r="G22" s="356"/>
    </row>
    <row r="23" spans="1:13">
      <c r="A23" s="357" t="s">
        <v>186</v>
      </c>
      <c r="B23" s="365" t="s">
        <v>187</v>
      </c>
      <c r="C23" s="176">
        <f>Cap.3!C12</f>
        <v>10500</v>
      </c>
      <c r="D23" s="176">
        <f>Cap.3!D12</f>
        <v>2223.0220396756504</v>
      </c>
      <c r="E23" s="176">
        <f>Cap.3!E12</f>
        <v>1995</v>
      </c>
      <c r="F23" s="176">
        <f>Cap.3!F12</f>
        <v>12495</v>
      </c>
      <c r="G23" s="245">
        <f>Cap.3!G12</f>
        <v>2645.3962272140238</v>
      </c>
    </row>
    <row r="24" spans="1:13">
      <c r="A24" s="351" t="s">
        <v>188</v>
      </c>
      <c r="B24" s="365" t="s">
        <v>189</v>
      </c>
      <c r="C24" s="176">
        <f>Cap.3!C14</f>
        <v>3600</v>
      </c>
      <c r="D24" s="176">
        <f>Cap.3!D14</f>
        <v>762.17898503165156</v>
      </c>
      <c r="E24" s="274" t="s">
        <v>420</v>
      </c>
      <c r="F24" s="176">
        <f>Cap.3!F14</f>
        <v>4284</v>
      </c>
      <c r="G24" s="245">
        <f>Cap.3!G14</f>
        <v>906.99299218766544</v>
      </c>
    </row>
    <row r="25" spans="1:13">
      <c r="A25" s="357" t="s">
        <v>190</v>
      </c>
      <c r="B25" s="365" t="s">
        <v>191</v>
      </c>
      <c r="C25" s="176">
        <f>Cap.3!C24</f>
        <v>45935.92</v>
      </c>
      <c r="D25" s="176">
        <f>Cap.3!D24</f>
        <v>9725.3869116930946</v>
      </c>
      <c r="E25" s="176">
        <f>Cap.3!E24</f>
        <v>8727.8247999999985</v>
      </c>
      <c r="F25" s="176">
        <f>Cap.3!F24</f>
        <v>54663.7448</v>
      </c>
      <c r="G25" s="245">
        <f>Cap.3!G24</f>
        <v>11573.210424914785</v>
      </c>
    </row>
    <row r="26" spans="1:13">
      <c r="A26" s="357" t="s">
        <v>192</v>
      </c>
      <c r="B26" s="365" t="s">
        <v>193</v>
      </c>
      <c r="C26" s="176">
        <f>Cap.3!C35</f>
        <v>12500</v>
      </c>
      <c r="D26" s="176">
        <f>Cap.3!D35</f>
        <v>2646.4548091376791</v>
      </c>
      <c r="E26" s="176">
        <f>Cap.3!E35</f>
        <v>2375</v>
      </c>
      <c r="F26" s="176">
        <f>Cap.3!F35</f>
        <v>14875</v>
      </c>
      <c r="G26" s="245">
        <f>Cap.3!G35</f>
        <v>3149.281222873838</v>
      </c>
    </row>
    <row r="27" spans="1:13">
      <c r="A27" s="357" t="s">
        <v>194</v>
      </c>
      <c r="B27" s="365" t="s">
        <v>195</v>
      </c>
      <c r="C27" s="176">
        <f>Cap.3!C37</f>
        <v>53650</v>
      </c>
      <c r="D27" s="176">
        <f>Cap.3!D37</f>
        <v>11358.58404081892</v>
      </c>
      <c r="E27" s="176">
        <f>Cap.3!E37</f>
        <v>10193.5</v>
      </c>
      <c r="F27" s="176">
        <f>Cap.3!F37</f>
        <v>63843.5</v>
      </c>
      <c r="G27" s="245">
        <f>Cap.3!G37</f>
        <v>13516.715008574514</v>
      </c>
    </row>
    <row r="28" spans="1:13">
      <c r="A28" s="357" t="s">
        <v>196</v>
      </c>
      <c r="B28" s="365" t="s">
        <v>197</v>
      </c>
      <c r="C28" s="176">
        <f>Cap.3!C40</f>
        <v>60274.64</v>
      </c>
      <c r="D28" s="176">
        <f>Cap.3!D40</f>
        <v>12761.128871763387</v>
      </c>
      <c r="E28" s="176">
        <f>Cap.3!E40</f>
        <v>11452.1816</v>
      </c>
      <c r="F28" s="176">
        <f>Cap.3!F40</f>
        <v>71726.821599999996</v>
      </c>
      <c r="G28" s="245">
        <f>Cap.3!G40</f>
        <v>15185.743357398429</v>
      </c>
      <c r="M28" s="233"/>
    </row>
    <row r="29" spans="1:13">
      <c r="A29" s="645" t="s">
        <v>198</v>
      </c>
      <c r="B29" s="646"/>
      <c r="C29" s="287">
        <f>SUM(C23:C28)</f>
        <v>186460.56</v>
      </c>
      <c r="D29" s="287">
        <f t="shared" ref="D29:G29" si="1">SUM(D23:D28)</f>
        <v>39476.755658120383</v>
      </c>
      <c r="E29" s="287">
        <f t="shared" si="1"/>
        <v>34743.506399999998</v>
      </c>
      <c r="F29" s="287">
        <f t="shared" si="1"/>
        <v>221888.06639999998</v>
      </c>
      <c r="G29" s="287">
        <f t="shared" si="1"/>
        <v>46977.339233163257</v>
      </c>
      <c r="H29" s="361"/>
    </row>
    <row r="30" spans="1:13">
      <c r="A30" s="347" t="s">
        <v>233</v>
      </c>
      <c r="B30" s="369"/>
      <c r="C30" s="358"/>
      <c r="D30" s="358"/>
      <c r="E30" s="358"/>
      <c r="F30" s="358"/>
      <c r="G30" s="359"/>
    </row>
    <row r="31" spans="1:13">
      <c r="A31" s="357" t="s">
        <v>199</v>
      </c>
      <c r="B31" s="365" t="s">
        <v>200</v>
      </c>
      <c r="C31" s="176">
        <v>3598469.57</v>
      </c>
      <c r="D31" s="176">
        <f>C31/E9</f>
        <v>761854.96792496764</v>
      </c>
      <c r="E31" s="176">
        <f>C31*'Date Generale'!D58</f>
        <v>683709.21829999995</v>
      </c>
      <c r="F31" s="176">
        <f>E31+C31</f>
        <v>4282178.7883000001</v>
      </c>
      <c r="G31" s="245">
        <f>F31/E9</f>
        <v>906607.41183071164</v>
      </c>
      <c r="H31" s="337"/>
      <c r="I31" s="338"/>
    </row>
    <row r="32" spans="1:13">
      <c r="A32" s="357" t="s">
        <v>201</v>
      </c>
      <c r="B32" s="365" t="s">
        <v>202</v>
      </c>
      <c r="C32" s="176">
        <f>'Cap.4 Centraliz Obiecte'!C25</f>
        <v>16628.43</v>
      </c>
      <c r="D32" s="176">
        <f>'Cap.4 Centraliz Obiecte'!D25</f>
        <v>3520.5110833527406</v>
      </c>
      <c r="E32" s="176">
        <f>'Cap.4 Centraliz Obiecte'!E25</f>
        <v>3159.4016999999999</v>
      </c>
      <c r="F32" s="176">
        <f>'Cap.4 Centraliz Obiecte'!F25</f>
        <v>19787.831699999999</v>
      </c>
      <c r="G32" s="245">
        <f>'Cap.4 Centraliz Obiecte'!G25</f>
        <v>4189.4081891897613</v>
      </c>
    </row>
    <row r="33" spans="1:14">
      <c r="A33" s="357" t="s">
        <v>203</v>
      </c>
      <c r="B33" s="365" t="s">
        <v>204</v>
      </c>
      <c r="C33" s="176">
        <f>'Cap.4 Centraliz Obiecte'!C27</f>
        <v>70000</v>
      </c>
      <c r="D33" s="176">
        <f>'Cap.4 Centraliz Obiecte'!D27</f>
        <v>14820.146931171003</v>
      </c>
      <c r="E33" s="176">
        <f>'Cap.4 Centraliz Obiecte'!E27</f>
        <v>13300</v>
      </c>
      <c r="F33" s="176">
        <f>'Cap.4 Centraliz Obiecte'!F27</f>
        <v>84820.14693117101</v>
      </c>
      <c r="G33" s="245">
        <f>'Cap.4 Centraliz Obiecte'!G27</f>
        <v>17957.814860620965</v>
      </c>
    </row>
    <row r="34" spans="1:14">
      <c r="A34" s="357" t="s">
        <v>205</v>
      </c>
      <c r="B34" s="365" t="s">
        <v>206</v>
      </c>
      <c r="C34" s="176">
        <f>'Cap.4 Centraliz Obiecte'!C28</f>
        <v>0</v>
      </c>
      <c r="D34" s="176">
        <f>'Cap.4 Centraliz Obiecte'!D28</f>
        <v>0</v>
      </c>
      <c r="E34" s="176">
        <f>'Cap.4 Centraliz Obiecte'!E28</f>
        <v>0</v>
      </c>
      <c r="F34" s="176">
        <f>'Cap.4 Centraliz Obiecte'!F28</f>
        <v>0</v>
      </c>
      <c r="G34" s="245">
        <f>'Cap.4 Centraliz Obiecte'!G28</f>
        <v>0</v>
      </c>
    </row>
    <row r="35" spans="1:14">
      <c r="A35" s="357" t="s">
        <v>207</v>
      </c>
      <c r="B35" s="365" t="s">
        <v>234</v>
      </c>
      <c r="C35" s="176">
        <f>'Cap.4 Centraliz Obiecte'!C29</f>
        <v>0</v>
      </c>
      <c r="D35" s="176">
        <f>'Cap.4 Centraliz Obiecte'!D29</f>
        <v>0</v>
      </c>
      <c r="E35" s="176">
        <f>'Cap.4 Centraliz Obiecte'!E29</f>
        <v>0</v>
      </c>
      <c r="F35" s="176">
        <f>'Cap.4 Centraliz Obiecte'!F29</f>
        <v>0</v>
      </c>
      <c r="G35" s="245">
        <f>'Cap.4 Centraliz Obiecte'!G29</f>
        <v>0</v>
      </c>
    </row>
    <row r="36" spans="1:14">
      <c r="A36" s="357">
        <v>4.5999999999999996</v>
      </c>
      <c r="B36" s="365" t="s">
        <v>208</v>
      </c>
      <c r="C36" s="176">
        <v>0</v>
      </c>
      <c r="D36" s="176">
        <f>C36/$E$9</f>
        <v>0</v>
      </c>
      <c r="E36" s="176">
        <f>C36*'Date Generale'!$D$58</f>
        <v>0</v>
      </c>
      <c r="F36" s="176">
        <f>C36+E36</f>
        <v>0</v>
      </c>
      <c r="G36" s="245">
        <f>F36/$E$9</f>
        <v>0</v>
      </c>
    </row>
    <row r="37" spans="1:14">
      <c r="A37" s="645" t="s">
        <v>209</v>
      </c>
      <c r="B37" s="646"/>
      <c r="C37" s="287">
        <f>SUM(C31:C36)</f>
        <v>3685098</v>
      </c>
      <c r="D37" s="287">
        <f t="shared" ref="D37:G37" si="2">SUM(D31:D36)</f>
        <v>780195.62593949132</v>
      </c>
      <c r="E37" s="287">
        <f t="shared" si="2"/>
        <v>700168.62</v>
      </c>
      <c r="F37" s="287">
        <f t="shared" si="2"/>
        <v>4386786.7669311715</v>
      </c>
      <c r="G37" s="288">
        <f t="shared" si="2"/>
        <v>928754.63488052238</v>
      </c>
      <c r="H37" s="361"/>
    </row>
    <row r="38" spans="1:14">
      <c r="A38" s="347" t="s">
        <v>210</v>
      </c>
      <c r="B38" s="369"/>
      <c r="C38" s="358"/>
      <c r="D38" s="358"/>
      <c r="E38" s="358"/>
      <c r="F38" s="358"/>
      <c r="G38" s="359"/>
    </row>
    <row r="39" spans="1:14">
      <c r="A39" s="647">
        <v>5.0999999999999996</v>
      </c>
      <c r="B39" s="365" t="s">
        <v>211</v>
      </c>
      <c r="C39" s="176">
        <f>C40+C41</f>
        <v>268253</v>
      </c>
      <c r="D39" s="176">
        <f>D40+D41</f>
        <v>56793.55535324879</v>
      </c>
      <c r="E39" s="176">
        <f>E40+E41</f>
        <v>50968.07</v>
      </c>
      <c r="F39" s="176">
        <f>F40+F41</f>
        <v>319221.07</v>
      </c>
      <c r="G39" s="245">
        <f>G40+G41</f>
        <v>67584.330870366059</v>
      </c>
      <c r="H39" s="337"/>
    </row>
    <row r="40" spans="1:14">
      <c r="A40" s="647"/>
      <c r="B40" s="365" t="s">
        <v>235</v>
      </c>
      <c r="C40" s="176">
        <v>241428</v>
      </c>
      <c r="D40" s="176">
        <f>C40/E9</f>
        <v>51114.263332839328</v>
      </c>
      <c r="E40" s="176">
        <f>C40*'Date Generale'!D58</f>
        <v>45871.32</v>
      </c>
      <c r="F40" s="176">
        <f>E40+C40</f>
        <v>287299.32</v>
      </c>
      <c r="G40" s="245">
        <f>F40/E9</f>
        <v>60825.973366078804</v>
      </c>
      <c r="H40" s="337"/>
    </row>
    <row r="41" spans="1:14">
      <c r="A41" s="647"/>
      <c r="B41" s="365" t="s">
        <v>236</v>
      </c>
      <c r="C41" s="176">
        <v>26825</v>
      </c>
      <c r="D41" s="176">
        <f>Cap.5!D15</f>
        <v>5679.2920204094598</v>
      </c>
      <c r="E41" s="176">
        <f>Cap.5!E15</f>
        <v>5096.75</v>
      </c>
      <c r="F41" s="176">
        <f>Cap.5!F15</f>
        <v>31921.75</v>
      </c>
      <c r="G41" s="245">
        <f>Cap.5!G15</f>
        <v>6758.3575042872571</v>
      </c>
      <c r="H41" s="337"/>
    </row>
    <row r="42" spans="1:14">
      <c r="A42" s="399" t="s">
        <v>212</v>
      </c>
      <c r="B42" s="365" t="s">
        <v>213</v>
      </c>
      <c r="C42" s="176">
        <v>65829</v>
      </c>
      <c r="D42" s="176">
        <f>Cap.5!D16</f>
        <v>8981.3871657527579</v>
      </c>
      <c r="E42" s="176">
        <f>Cap.5!E16</f>
        <v>8060.1393400000006</v>
      </c>
      <c r="F42" s="176">
        <f>Cap.5!F16</f>
        <v>50481.925340000002</v>
      </c>
      <c r="G42" s="245">
        <f>Cap.5!G16</f>
        <v>10687.850727245783</v>
      </c>
      <c r="H42" s="337"/>
    </row>
    <row r="43" spans="1:14">
      <c r="A43" s="399" t="s">
        <v>214</v>
      </c>
      <c r="B43" s="365" t="s">
        <v>215</v>
      </c>
      <c r="C43" s="176">
        <v>1099626</v>
      </c>
      <c r="D43" s="176">
        <f>Cap.5!D23</f>
        <v>163934.47631952236</v>
      </c>
      <c r="E43" s="176">
        <f>Cap.5!E23</f>
        <v>147119.22528000001</v>
      </c>
      <c r="F43" s="176">
        <f>Cap.5!F23</f>
        <v>921430.93728000007</v>
      </c>
      <c r="G43" s="245">
        <f>Cap.5!G23</f>
        <v>195082.02682023164</v>
      </c>
      <c r="H43" s="337"/>
    </row>
    <row r="44" spans="1:14">
      <c r="A44" s="645" t="s">
        <v>216</v>
      </c>
      <c r="B44" s="646"/>
      <c r="C44" s="287">
        <f>SUM(C39,C42,C43)</f>
        <v>1433708</v>
      </c>
      <c r="D44" s="287">
        <f t="shared" ref="D44:G44" si="3">SUM(D39,D42,D43)</f>
        <v>229709.41883852391</v>
      </c>
      <c r="E44" s="287">
        <f t="shared" si="3"/>
        <v>206147.43462000001</v>
      </c>
      <c r="F44" s="287">
        <f t="shared" si="3"/>
        <v>1291133.9326200001</v>
      </c>
      <c r="G44" s="288">
        <f t="shared" si="3"/>
        <v>273354.20841784345</v>
      </c>
      <c r="H44" s="361"/>
    </row>
    <row r="45" spans="1:14">
      <c r="A45" s="347" t="s">
        <v>237</v>
      </c>
      <c r="B45" s="369"/>
      <c r="C45" s="358"/>
      <c r="D45" s="358"/>
      <c r="E45" s="358"/>
      <c r="F45" s="358"/>
      <c r="G45" s="359"/>
    </row>
    <row r="46" spans="1:14">
      <c r="A46" s="360" t="s">
        <v>217</v>
      </c>
      <c r="B46" s="365" t="s">
        <v>218</v>
      </c>
      <c r="C46" s="176">
        <v>0</v>
      </c>
      <c r="D46" s="176">
        <f t="shared" ref="D46:D47" si="4">C46/$E$9</f>
        <v>0</v>
      </c>
      <c r="E46" s="176">
        <f>C46*'Date Generale'!$D$58</f>
        <v>0</v>
      </c>
      <c r="F46" s="176">
        <f t="shared" ref="F46:F47" si="5">C46+E46</f>
        <v>0</v>
      </c>
      <c r="G46" s="245">
        <f t="shared" ref="G46:G47" si="6">F46/$E$9</f>
        <v>0</v>
      </c>
    </row>
    <row r="47" spans="1:14">
      <c r="A47" s="360" t="s">
        <v>219</v>
      </c>
      <c r="B47" s="365" t="s">
        <v>220</v>
      </c>
      <c r="C47" s="176">
        <v>0</v>
      </c>
      <c r="D47" s="176">
        <f t="shared" si="4"/>
        <v>0</v>
      </c>
      <c r="E47" s="176">
        <f>C47*'Date Generale'!$D$58</f>
        <v>0</v>
      </c>
      <c r="F47" s="176">
        <f t="shared" si="5"/>
        <v>0</v>
      </c>
      <c r="G47" s="245">
        <f t="shared" si="6"/>
        <v>0</v>
      </c>
    </row>
    <row r="48" spans="1:14" ht="15.75" thickBot="1">
      <c r="A48" s="642" t="s">
        <v>221</v>
      </c>
      <c r="B48" s="643"/>
      <c r="C48" s="370">
        <f>SUM(C46:C47)</f>
        <v>0</v>
      </c>
      <c r="D48" s="370">
        <f t="shared" ref="D48:G48" si="7">SUM(D46:D47)</f>
        <v>0</v>
      </c>
      <c r="E48" s="370">
        <f t="shared" si="7"/>
        <v>0</v>
      </c>
      <c r="F48" s="370">
        <f t="shared" si="7"/>
        <v>0</v>
      </c>
      <c r="G48" s="370">
        <f t="shared" si="7"/>
        <v>0</v>
      </c>
      <c r="I48" s="490"/>
      <c r="J48" s="490"/>
      <c r="K48" s="490"/>
      <c r="L48" s="490"/>
      <c r="M48" s="490"/>
      <c r="N48" s="490"/>
    </row>
    <row r="49" spans="1:14" ht="15.75" thickBot="1">
      <c r="A49" s="644" t="s">
        <v>36</v>
      </c>
      <c r="B49" s="644"/>
      <c r="C49" s="348">
        <f>SUM(C19,C21,C29,C37,C44,C48)</f>
        <v>5305266.5600000005</v>
      </c>
      <c r="D49" s="348">
        <f t="shared" ref="D49:G49" si="8">SUM(D19,D21,D29,D37,D44,D48)</f>
        <v>1049381.8004361356</v>
      </c>
      <c r="E49" s="348">
        <f t="shared" si="8"/>
        <v>941059.56101999991</v>
      </c>
      <c r="F49" s="348">
        <f t="shared" si="8"/>
        <v>5899808.7659511715</v>
      </c>
      <c r="G49" s="348">
        <f t="shared" si="8"/>
        <v>1249086.1825315291</v>
      </c>
      <c r="I49" s="490"/>
      <c r="J49" s="491"/>
      <c r="K49" s="490"/>
      <c r="L49" s="490"/>
      <c r="M49" s="490"/>
      <c r="N49" s="490"/>
    </row>
    <row r="50" spans="1:14" ht="15.75" thickBot="1">
      <c r="A50" s="644" t="s">
        <v>238</v>
      </c>
      <c r="B50" s="644"/>
      <c r="C50" s="348">
        <f>C17+C18+C21+C31+C32+C40</f>
        <v>3856526</v>
      </c>
      <c r="D50" s="348">
        <f t="shared" ref="D50:G50" si="9">D17+D18+D21+D31+D32+D40</f>
        <v>816489.74234115973</v>
      </c>
      <c r="E50" s="348">
        <f t="shared" si="9"/>
        <v>732739.94</v>
      </c>
      <c r="F50" s="348">
        <f t="shared" si="9"/>
        <v>4589265.9400000004</v>
      </c>
      <c r="G50" s="348">
        <f t="shared" si="9"/>
        <v>971622.79338598019</v>
      </c>
      <c r="I50" s="490"/>
      <c r="J50" s="490"/>
      <c r="K50" s="490"/>
      <c r="L50" s="490"/>
      <c r="M50" s="490"/>
      <c r="N50" s="490"/>
    </row>
    <row r="51" spans="1:14">
      <c r="A51" s="339"/>
      <c r="B51" s="339"/>
      <c r="C51" s="339"/>
      <c r="D51" s="339"/>
      <c r="E51" s="339"/>
      <c r="F51" s="339"/>
      <c r="G51" s="339"/>
      <c r="I51" s="490"/>
      <c r="J51" s="490"/>
      <c r="K51" s="490"/>
      <c r="L51" s="490"/>
      <c r="M51" s="490"/>
      <c r="N51" s="490"/>
    </row>
    <row r="52" spans="1:14">
      <c r="A52" s="339"/>
      <c r="B52" s="339"/>
      <c r="I52" s="492"/>
      <c r="J52" s="492"/>
      <c r="K52" s="492"/>
      <c r="L52" s="492"/>
      <c r="M52" s="492"/>
      <c r="N52" s="490"/>
    </row>
    <row r="53" spans="1:14">
      <c r="A53" s="341"/>
      <c r="B53" s="256" t="s">
        <v>37</v>
      </c>
      <c r="I53" s="492"/>
      <c r="J53" s="492"/>
      <c r="K53" s="492"/>
      <c r="L53" s="492"/>
      <c r="M53" s="492"/>
      <c r="N53" s="490"/>
    </row>
    <row r="54" spans="1:14">
      <c r="A54" s="344"/>
      <c r="B54" s="256" t="str">
        <f>'Date Generale'!$C$7</f>
        <v>S.C. Tehno Consoulting Solutions S.R.L.</v>
      </c>
      <c r="C54" s="340"/>
      <c r="D54" s="342"/>
      <c r="E54" s="343"/>
      <c r="F54" s="342"/>
      <c r="G54" s="183"/>
      <c r="I54" s="490"/>
      <c r="J54" s="490"/>
      <c r="K54" s="490"/>
      <c r="L54" s="490"/>
      <c r="M54" s="490"/>
      <c r="N54" s="490"/>
    </row>
    <row r="55" spans="1:14">
      <c r="A55" s="183"/>
      <c r="B55" s="183"/>
      <c r="C55" s="183"/>
      <c r="D55" s="183"/>
      <c r="E55" s="183"/>
      <c r="F55" s="183"/>
      <c r="G55" s="183"/>
      <c r="I55" s="490"/>
      <c r="J55" s="490"/>
      <c r="K55" s="490"/>
      <c r="L55" s="490"/>
      <c r="M55" s="490"/>
      <c r="N55" s="490"/>
    </row>
    <row r="56" spans="1:14">
      <c r="I56" s="493"/>
      <c r="J56" s="493"/>
      <c r="K56" s="493"/>
      <c r="L56" s="493"/>
      <c r="M56" s="493"/>
      <c r="N56" s="490"/>
    </row>
    <row r="57" spans="1:14">
      <c r="C57" s="204"/>
      <c r="D57" s="204"/>
      <c r="E57" s="204"/>
      <c r="F57" s="204"/>
      <c r="G57" s="204"/>
      <c r="I57" s="493"/>
      <c r="J57" s="493"/>
      <c r="K57" s="493"/>
      <c r="L57" s="493"/>
      <c r="M57" s="493"/>
      <c r="N57" s="490"/>
    </row>
    <row r="59" spans="1:14">
      <c r="J59" s="204"/>
    </row>
    <row r="60" spans="1:14">
      <c r="C60" s="204"/>
      <c r="D60" s="204"/>
      <c r="E60" s="204"/>
      <c r="F60" s="204"/>
      <c r="G60" s="204"/>
      <c r="I60" s="204"/>
      <c r="J60" s="204"/>
      <c r="K60" s="204"/>
      <c r="L60" s="204"/>
      <c r="M60" s="204"/>
    </row>
    <row r="61" spans="1:14">
      <c r="C61" s="204"/>
      <c r="D61" s="204"/>
      <c r="E61" s="204"/>
      <c r="F61" s="204"/>
      <c r="G61" s="204"/>
      <c r="I61" s="204"/>
      <c r="J61" s="204"/>
      <c r="K61" s="204"/>
      <c r="L61" s="204"/>
      <c r="M61" s="204"/>
    </row>
    <row r="62" spans="1:14">
      <c r="C62" s="204"/>
      <c r="D62" s="204"/>
      <c r="E62" s="204"/>
      <c r="F62" s="204"/>
      <c r="G62" s="204"/>
      <c r="H62" s="204"/>
    </row>
    <row r="63" spans="1:14">
      <c r="C63" s="204"/>
      <c r="D63" s="204"/>
      <c r="E63" s="204"/>
      <c r="F63" s="204"/>
      <c r="G63" s="204"/>
    </row>
    <row r="64" spans="1:14">
      <c r="C64" s="204"/>
      <c r="D64" s="204"/>
      <c r="E64" s="204"/>
      <c r="F64" s="204"/>
      <c r="G64" s="204"/>
    </row>
    <row r="65" spans="3:7">
      <c r="C65" s="204"/>
      <c r="D65" s="204"/>
      <c r="E65" s="204"/>
      <c r="F65" s="204"/>
      <c r="G65" s="204"/>
    </row>
  </sheetData>
  <mergeCells count="18">
    <mergeCell ref="A4:G4"/>
    <mergeCell ref="A7:G7"/>
    <mergeCell ref="A10:A13"/>
    <mergeCell ref="B10:B13"/>
    <mergeCell ref="C10:G10"/>
    <mergeCell ref="C11:D12"/>
    <mergeCell ref="E11:E12"/>
    <mergeCell ref="F11:G12"/>
    <mergeCell ref="A5:G5"/>
    <mergeCell ref="A48:B48"/>
    <mergeCell ref="A49:B49"/>
    <mergeCell ref="A50:B50"/>
    <mergeCell ref="A19:B19"/>
    <mergeCell ref="A21:B21"/>
    <mergeCell ref="A29:B29"/>
    <mergeCell ref="A37:B37"/>
    <mergeCell ref="A44:B44"/>
    <mergeCell ref="A39:A41"/>
  </mergeCells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zoomScaleNormal="100" zoomScaleSheetLayoutView="85" workbookViewId="0">
      <selection activeCell="F23" sqref="F23"/>
    </sheetView>
  </sheetViews>
  <sheetFormatPr defaultRowHeight="15"/>
  <cols>
    <col min="1" max="1" width="9.140625" style="185"/>
    <col min="2" max="2" width="63.42578125" style="185" customWidth="1"/>
    <col min="3" max="3" width="5.28515625" style="185" customWidth="1"/>
    <col min="4" max="4" width="12.28515625" style="185" bestFit="1" customWidth="1"/>
    <col min="5" max="5" width="15.42578125" style="185" customWidth="1"/>
    <col min="6" max="10" width="15.7109375" style="185" customWidth="1"/>
    <col min="11" max="16384" width="9.140625" style="185"/>
  </cols>
  <sheetData>
    <row r="1" spans="1:10">
      <c r="A1" s="234"/>
      <c r="B1" s="183"/>
      <c r="C1" s="183"/>
      <c r="D1" s="183"/>
      <c r="E1" s="183"/>
      <c r="F1" s="183"/>
      <c r="G1" s="183"/>
      <c r="H1" s="183"/>
      <c r="I1" s="183"/>
      <c r="J1" s="183"/>
    </row>
    <row r="2" spans="1:10" ht="15.75">
      <c r="A2" s="235" t="str">
        <f>"Beneficiar: " &amp;'Date Generale'!$C$6</f>
        <v xml:space="preserve">Beneficiar: Judetul Arges </v>
      </c>
      <c r="B2" s="187"/>
      <c r="C2" s="188"/>
      <c r="D2" s="188"/>
      <c r="E2" s="312"/>
      <c r="F2" s="188"/>
      <c r="G2" s="188"/>
      <c r="H2" s="188"/>
      <c r="I2" s="188"/>
      <c r="J2" s="188"/>
    </row>
    <row r="3" spans="1:10" ht="15.75">
      <c r="A3" s="235" t="str">
        <f>"Denumire proiect: " &amp; 'Date Generale'!$C$3</f>
        <v>Denumire proiect: Modernizare DJ 703B Serbanesti (DJ659) - Silistea, km 70+410 - 77+826, 7.416km, in comunele Rociu si Cateasca</v>
      </c>
      <c r="B3" s="187"/>
      <c r="C3" s="189"/>
      <c r="D3" s="189"/>
      <c r="E3" s="189"/>
      <c r="F3" s="189"/>
      <c r="G3" s="189"/>
      <c r="H3" s="189"/>
      <c r="I3" s="189"/>
      <c r="J3" s="189"/>
    </row>
    <row r="4" spans="1:10" ht="15.75">
      <c r="A4" s="235"/>
      <c r="B4" s="189"/>
      <c r="C4" s="189"/>
      <c r="D4" s="189"/>
      <c r="E4" s="189"/>
      <c r="F4" s="189"/>
      <c r="G4" s="189"/>
      <c r="H4" s="189"/>
      <c r="I4" s="189"/>
      <c r="J4" s="189"/>
    </row>
    <row r="5" spans="1:10" ht="15.75">
      <c r="A5" s="235"/>
      <c r="B5" s="189"/>
      <c r="C5" s="189"/>
      <c r="D5" s="189"/>
      <c r="E5" s="189"/>
      <c r="F5" s="189"/>
      <c r="G5" s="189"/>
      <c r="H5" s="189"/>
      <c r="I5" s="189"/>
      <c r="J5" s="189"/>
    </row>
    <row r="6" spans="1:10">
      <c r="A6" s="662" t="s">
        <v>222</v>
      </c>
      <c r="B6" s="662"/>
      <c r="C6" s="662"/>
      <c r="D6" s="662"/>
      <c r="E6" s="662"/>
      <c r="F6" s="662"/>
      <c r="G6" s="662"/>
      <c r="H6" s="662"/>
      <c r="I6" s="662"/>
      <c r="J6" s="662"/>
    </row>
    <row r="7" spans="1:10">
      <c r="A7" s="313"/>
      <c r="B7" s="313"/>
      <c r="C7" s="313"/>
      <c r="D7" s="313"/>
      <c r="E7" s="313"/>
      <c r="F7" s="313"/>
      <c r="G7" s="313"/>
      <c r="H7" s="313"/>
      <c r="I7" s="313"/>
      <c r="J7" s="313"/>
    </row>
    <row r="8" spans="1:10" ht="15.75" thickBot="1">
      <c r="A8" s="190"/>
      <c r="B8" s="191"/>
      <c r="C8" s="314"/>
      <c r="D8" s="314"/>
      <c r="E8" s="314"/>
      <c r="F8" s="192"/>
      <c r="G8" s="242" t="s">
        <v>2</v>
      </c>
      <c r="H8" s="194">
        <f>'Date Generale'!$C$54</f>
        <v>4.7233000000000001</v>
      </c>
      <c r="I8" s="195" t="s">
        <v>3</v>
      </c>
      <c r="J8" s="196" t="str">
        <f>'Date Generale'!$D$54</f>
        <v>21,06,2019</v>
      </c>
    </row>
    <row r="9" spans="1:10" ht="15.75" thickBot="1">
      <c r="A9" s="663" t="s">
        <v>4</v>
      </c>
      <c r="B9" s="663" t="s">
        <v>5</v>
      </c>
      <c r="C9" s="663" t="s">
        <v>39</v>
      </c>
      <c r="D9" s="663" t="s">
        <v>40</v>
      </c>
      <c r="E9" s="663" t="s">
        <v>227</v>
      </c>
      <c r="F9" s="653" t="s">
        <v>6</v>
      </c>
      <c r="G9" s="653"/>
      <c r="H9" s="373" t="s">
        <v>7</v>
      </c>
      <c r="I9" s="653" t="s">
        <v>8</v>
      </c>
      <c r="J9" s="653"/>
    </row>
    <row r="10" spans="1:10" ht="15.75" thickBot="1">
      <c r="A10" s="663"/>
      <c r="B10" s="663"/>
      <c r="C10" s="663"/>
      <c r="D10" s="663"/>
      <c r="E10" s="663"/>
      <c r="F10" s="197" t="s">
        <v>9</v>
      </c>
      <c r="G10" s="197" t="s">
        <v>10</v>
      </c>
      <c r="H10" s="197" t="s">
        <v>9</v>
      </c>
      <c r="I10" s="197" t="s">
        <v>9</v>
      </c>
      <c r="J10" s="197" t="s">
        <v>10</v>
      </c>
    </row>
    <row r="11" spans="1:10" ht="15.75" thickBot="1">
      <c r="A11" s="392">
        <v>1</v>
      </c>
      <c r="B11" s="392">
        <v>2</v>
      </c>
      <c r="C11" s="392">
        <v>3</v>
      </c>
      <c r="D11" s="392">
        <v>4</v>
      </c>
      <c r="E11" s="392">
        <v>5</v>
      </c>
      <c r="F11" s="392">
        <v>6</v>
      </c>
      <c r="G11" s="392">
        <v>7</v>
      </c>
      <c r="H11" s="392">
        <v>8</v>
      </c>
      <c r="I11" s="392">
        <v>9</v>
      </c>
      <c r="J11" s="392">
        <v>10</v>
      </c>
    </row>
    <row r="12" spans="1:10">
      <c r="A12" s="656" t="s">
        <v>224</v>
      </c>
      <c r="B12" s="657"/>
      <c r="C12" s="657"/>
      <c r="D12" s="657"/>
      <c r="E12" s="657"/>
      <c r="F12" s="315">
        <f>SUM(F13:F14)</f>
        <v>0</v>
      </c>
      <c r="G12" s="315">
        <f>SUM(G13:G14)</f>
        <v>0</v>
      </c>
      <c r="H12" s="315">
        <f>SUM(H13:H14)</f>
        <v>0</v>
      </c>
      <c r="I12" s="315">
        <f>SUM(I13:I14)</f>
        <v>0</v>
      </c>
      <c r="J12" s="316">
        <f>SUM(J13:J14)</f>
        <v>0</v>
      </c>
    </row>
    <row r="13" spans="1:10">
      <c r="A13" s="317">
        <v>1</v>
      </c>
      <c r="B13" s="318" t="s">
        <v>380</v>
      </c>
      <c r="C13" s="319" t="s">
        <v>379</v>
      </c>
      <c r="D13" s="320">
        <v>1</v>
      </c>
      <c r="E13" s="321">
        <v>0</v>
      </c>
      <c r="F13" s="320">
        <f>D13*E13</f>
        <v>0</v>
      </c>
      <c r="G13" s="320">
        <f>F13/$H$8</f>
        <v>0</v>
      </c>
      <c r="H13" s="320">
        <v>0</v>
      </c>
      <c r="I13" s="320">
        <f>H13+F13</f>
        <v>0</v>
      </c>
      <c r="J13" s="322">
        <f>I13/$H$8</f>
        <v>0</v>
      </c>
    </row>
    <row r="14" spans="1:10">
      <c r="A14" s="317">
        <v>2</v>
      </c>
      <c r="B14" s="318" t="s">
        <v>424</v>
      </c>
      <c r="C14" s="319" t="s">
        <v>379</v>
      </c>
      <c r="D14" s="320">
        <v>1</v>
      </c>
      <c r="E14" s="321">
        <v>0</v>
      </c>
      <c r="F14" s="320">
        <f>D14*E14</f>
        <v>0</v>
      </c>
      <c r="G14" s="320">
        <f>F14/$H$8</f>
        <v>0</v>
      </c>
      <c r="H14" s="320">
        <v>0</v>
      </c>
      <c r="I14" s="320">
        <f>H14+F14</f>
        <v>0</v>
      </c>
      <c r="J14" s="322">
        <f>I14/$H$8</f>
        <v>0</v>
      </c>
    </row>
    <row r="15" spans="1:10">
      <c r="A15" s="658" t="s">
        <v>225</v>
      </c>
      <c r="B15" s="659"/>
      <c r="C15" s="659"/>
      <c r="D15" s="659"/>
      <c r="E15" s="659"/>
      <c r="F15" s="323">
        <f>SUM(F16:F20)</f>
        <v>0</v>
      </c>
      <c r="G15" s="323">
        <f t="shared" ref="G15:J15" si="0">SUM(G16:G20)</f>
        <v>0</v>
      </c>
      <c r="H15" s="323">
        <f t="shared" si="0"/>
        <v>0</v>
      </c>
      <c r="I15" s="323">
        <f t="shared" si="0"/>
        <v>0</v>
      </c>
      <c r="J15" s="323">
        <f t="shared" si="0"/>
        <v>0</v>
      </c>
    </row>
    <row r="16" spans="1:10">
      <c r="A16" s="317">
        <v>1</v>
      </c>
      <c r="B16" s="325" t="s">
        <v>381</v>
      </c>
      <c r="C16" s="319" t="s">
        <v>379</v>
      </c>
      <c r="D16" s="320">
        <v>1</v>
      </c>
      <c r="E16" s="321">
        <v>0</v>
      </c>
      <c r="F16" s="320">
        <f>D16*E16</f>
        <v>0</v>
      </c>
      <c r="G16" s="320">
        <f>F16/$H$8</f>
        <v>0</v>
      </c>
      <c r="H16" s="320">
        <f>F16*'Date Generale'!$D$58</f>
        <v>0</v>
      </c>
      <c r="I16" s="320">
        <f>H16+F16</f>
        <v>0</v>
      </c>
      <c r="J16" s="322">
        <f>I16/$H$8</f>
        <v>0</v>
      </c>
    </row>
    <row r="17" spans="1:10">
      <c r="A17" s="317">
        <v>2</v>
      </c>
      <c r="B17" s="325" t="s">
        <v>382</v>
      </c>
      <c r="C17" s="319" t="s">
        <v>55</v>
      </c>
      <c r="D17" s="320">
        <v>1</v>
      </c>
      <c r="E17" s="321">
        <v>0</v>
      </c>
      <c r="F17" s="320">
        <f t="shared" ref="F17:F19" si="1">D17*E17</f>
        <v>0</v>
      </c>
      <c r="G17" s="320">
        <f t="shared" ref="G17:G19" si="2">F17/$H$8</f>
        <v>0</v>
      </c>
      <c r="H17" s="320">
        <f>F17*'Date Generale'!$D$58</f>
        <v>0</v>
      </c>
      <c r="I17" s="320">
        <f t="shared" ref="I17:I19" si="3">H17+F17</f>
        <v>0</v>
      </c>
      <c r="J17" s="322">
        <f t="shared" ref="J17:J19" si="4">I17/$H$8</f>
        <v>0</v>
      </c>
    </row>
    <row r="18" spans="1:10">
      <c r="A18" s="317">
        <v>3</v>
      </c>
      <c r="B18" s="325" t="s">
        <v>383</v>
      </c>
      <c r="C18" s="319" t="s">
        <v>55</v>
      </c>
      <c r="D18" s="320">
        <v>1</v>
      </c>
      <c r="E18" s="321">
        <v>0</v>
      </c>
      <c r="F18" s="320">
        <f t="shared" si="1"/>
        <v>0</v>
      </c>
      <c r="G18" s="320">
        <f t="shared" si="2"/>
        <v>0</v>
      </c>
      <c r="H18" s="320">
        <f>F18*'Date Generale'!$D$58</f>
        <v>0</v>
      </c>
      <c r="I18" s="320">
        <f t="shared" si="3"/>
        <v>0</v>
      </c>
      <c r="J18" s="322">
        <f t="shared" si="4"/>
        <v>0</v>
      </c>
    </row>
    <row r="19" spans="1:10">
      <c r="A19" s="317">
        <v>4</v>
      </c>
      <c r="B19" s="325" t="s">
        <v>384</v>
      </c>
      <c r="C19" s="319" t="s">
        <v>55</v>
      </c>
      <c r="D19" s="320">
        <v>1</v>
      </c>
      <c r="E19" s="321">
        <v>0</v>
      </c>
      <c r="F19" s="320">
        <f t="shared" si="1"/>
        <v>0</v>
      </c>
      <c r="G19" s="320">
        <f t="shared" si="2"/>
        <v>0</v>
      </c>
      <c r="H19" s="320">
        <f>F19*'Date Generale'!$D$58</f>
        <v>0</v>
      </c>
      <c r="I19" s="320">
        <f t="shared" si="3"/>
        <v>0</v>
      </c>
      <c r="J19" s="322">
        <f t="shared" si="4"/>
        <v>0</v>
      </c>
    </row>
    <row r="20" spans="1:10">
      <c r="A20" s="317">
        <v>5</v>
      </c>
      <c r="B20" s="325" t="s">
        <v>423</v>
      </c>
      <c r="C20" s="319" t="s">
        <v>55</v>
      </c>
      <c r="D20" s="320">
        <v>1</v>
      </c>
      <c r="E20" s="321">
        <v>0</v>
      </c>
      <c r="F20" s="320">
        <f t="shared" ref="F20" si="5">D20*E20</f>
        <v>0</v>
      </c>
      <c r="G20" s="320">
        <f t="shared" ref="G20" si="6">F20/$H$8</f>
        <v>0</v>
      </c>
      <c r="H20" s="320">
        <f>F20*'Date Generale'!$D$58</f>
        <v>0</v>
      </c>
      <c r="I20" s="320">
        <f t="shared" ref="I20" si="7">H20+F20</f>
        <v>0</v>
      </c>
      <c r="J20" s="322">
        <f t="shared" ref="J20" si="8">I20/$H$8</f>
        <v>0</v>
      </c>
    </row>
    <row r="21" spans="1:10">
      <c r="A21" s="658" t="s">
        <v>226</v>
      </c>
      <c r="B21" s="659"/>
      <c r="C21" s="659"/>
      <c r="D21" s="659"/>
      <c r="E21" s="659"/>
      <c r="F21" s="323">
        <f>SUM(F22:F23)</f>
        <v>11090.99</v>
      </c>
      <c r="G21" s="323">
        <f>SUM(G22:G23)</f>
        <v>2348.1443058878326</v>
      </c>
      <c r="H21" s="323">
        <f>SUM(H22:H23)</f>
        <v>2107.2880999999998</v>
      </c>
      <c r="I21" s="323">
        <f>SUM(I22:I23)</f>
        <v>13198.2781</v>
      </c>
      <c r="J21" s="324">
        <f>SUM(J22:J23)</f>
        <v>2794.2917240065208</v>
      </c>
    </row>
    <row r="22" spans="1:10">
      <c r="A22" s="317">
        <v>1</v>
      </c>
      <c r="B22" s="318" t="s">
        <v>385</v>
      </c>
      <c r="C22" s="319" t="s">
        <v>285</v>
      </c>
      <c r="D22" s="320">
        <v>4800</v>
      </c>
      <c r="E22" s="321">
        <v>0</v>
      </c>
      <c r="F22" s="320">
        <v>11090.99</v>
      </c>
      <c r="G22" s="320">
        <f>F22/$H$8</f>
        <v>2348.1443058878326</v>
      </c>
      <c r="H22" s="320">
        <f>F22*'Date Generale'!$D$58</f>
        <v>2107.2880999999998</v>
      </c>
      <c r="I22" s="320">
        <f>H22+F22</f>
        <v>13198.2781</v>
      </c>
      <c r="J22" s="322">
        <f>I22/$H$8</f>
        <v>2794.2917240065208</v>
      </c>
    </row>
    <row r="23" spans="1:10" ht="15.75" thickBot="1">
      <c r="A23" s="326">
        <v>2</v>
      </c>
      <c r="B23" s="327"/>
      <c r="C23" s="328" t="str">
        <f>IF(B23="","",VLOOKUP(B23,'Lista articole'!$D$4:$E$2265,2,FALSE))</f>
        <v/>
      </c>
      <c r="D23" s="329"/>
      <c r="E23" s="330">
        <f>IF(B23="",0,VLOOKUP(B23,'Lista articole'!$D$4:$F$2173,3,FALSE))</f>
        <v>0</v>
      </c>
      <c r="F23" s="329">
        <f>D23*E23</f>
        <v>0</v>
      </c>
      <c r="G23" s="329">
        <f>F23/$H$8</f>
        <v>0</v>
      </c>
      <c r="H23" s="329">
        <f>F23*'Date Generale'!$D$58</f>
        <v>0</v>
      </c>
      <c r="I23" s="329">
        <f>H23+F23</f>
        <v>0</v>
      </c>
      <c r="J23" s="331">
        <f>I23/$H$8</f>
        <v>0</v>
      </c>
    </row>
    <row r="24" spans="1:10" ht="15.75" customHeight="1" thickBot="1">
      <c r="A24" s="660" t="s">
        <v>36</v>
      </c>
      <c r="B24" s="661"/>
      <c r="C24" s="661"/>
      <c r="D24" s="661"/>
      <c r="E24" s="661"/>
      <c r="F24" s="211">
        <f>F12+F15+F21</f>
        <v>11090.99</v>
      </c>
      <c r="G24" s="211">
        <f>G12+G15+G21</f>
        <v>2348.1443058878326</v>
      </c>
      <c r="H24" s="211">
        <f>H12+H15+H21</f>
        <v>2107.2880999999998</v>
      </c>
      <c r="I24" s="211">
        <f>I12+I15+I21</f>
        <v>13198.2781</v>
      </c>
      <c r="J24" s="212">
        <f>J12+J15+J21</f>
        <v>2794.2917240065208</v>
      </c>
    </row>
    <row r="25" spans="1:10">
      <c r="D25" s="332"/>
      <c r="E25" s="183"/>
      <c r="F25" s="183"/>
      <c r="G25" s="183"/>
      <c r="H25" s="183"/>
      <c r="I25" s="183"/>
      <c r="J25" s="183"/>
    </row>
    <row r="26" spans="1:10">
      <c r="D26" s="333"/>
    </row>
    <row r="27" spans="1:10">
      <c r="B27" s="256" t="s">
        <v>37</v>
      </c>
      <c r="D27" s="333"/>
    </row>
    <row r="28" spans="1:10">
      <c r="B28" s="256" t="str">
        <f>'Date Generale'!$C$7</f>
        <v>S.C. Tehno Consoulting Solutions S.R.L.</v>
      </c>
      <c r="D28" s="333"/>
    </row>
    <row r="29" spans="1:10">
      <c r="D29" s="333"/>
    </row>
    <row r="34" spans="4:4">
      <c r="D34" s="333"/>
    </row>
    <row r="36" spans="4:4">
      <c r="D36" s="333"/>
    </row>
    <row r="37" spans="4:4">
      <c r="D37" s="333"/>
    </row>
  </sheetData>
  <mergeCells count="12">
    <mergeCell ref="A12:E12"/>
    <mergeCell ref="A15:E15"/>
    <mergeCell ref="A21:E21"/>
    <mergeCell ref="A24:E24"/>
    <mergeCell ref="A6:J6"/>
    <mergeCell ref="A9:A10"/>
    <mergeCell ref="B9:B10"/>
    <mergeCell ref="C9:C10"/>
    <mergeCell ref="D9:D10"/>
    <mergeCell ref="E9:E10"/>
    <mergeCell ref="F9:G9"/>
    <mergeCell ref="I9:J9"/>
  </mergeCells>
  <pageMargins left="0.7" right="0.7" top="0.75" bottom="0.75" header="0.3" footer="0.3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view="pageBreakPreview" zoomScale="85" zoomScaleNormal="100" zoomScaleSheetLayoutView="85" workbookViewId="0">
      <selection activeCell="C18" sqref="C18"/>
    </sheetView>
  </sheetViews>
  <sheetFormatPr defaultColWidth="9.140625" defaultRowHeight="15"/>
  <cols>
    <col min="1" max="1" width="6.5703125" style="237" customWidth="1"/>
    <col min="2" max="2" width="47.28515625" style="237" customWidth="1"/>
    <col min="3" max="6" width="13.5703125" style="237" bestFit="1" customWidth="1"/>
    <col min="7" max="7" width="16.140625" style="237" customWidth="1"/>
    <col min="8" max="16384" width="9.140625" style="237"/>
  </cols>
  <sheetData>
    <row r="1" spans="1:7" ht="15.75">
      <c r="A1" s="234"/>
      <c r="B1" s="235"/>
      <c r="C1" s="236"/>
      <c r="D1" s="236"/>
      <c r="E1" s="236"/>
      <c r="F1" s="236"/>
      <c r="G1" s="236"/>
    </row>
    <row r="2" spans="1:7" ht="15.75">
      <c r="A2" s="235" t="str">
        <f>"Beneficiar: " &amp;'Date Generale'!$C$6</f>
        <v xml:space="preserve">Beneficiar: Judetul Arges </v>
      </c>
      <c r="B2" s="235"/>
      <c r="C2" s="238"/>
      <c r="D2" s="238"/>
      <c r="E2" s="238"/>
      <c r="F2" s="238"/>
      <c r="G2" s="238"/>
    </row>
    <row r="3" spans="1:7" ht="33.75" customHeight="1">
      <c r="A3" s="664" t="str">
        <f>"Denumire proiect: " &amp; 'Date Generale'!$C$3</f>
        <v>Denumire proiect: Modernizare DJ 703B Serbanesti (DJ659) - Silistea, km 70+410 - 77+826, 7.416km, in comunele Rociu si Cateasca</v>
      </c>
      <c r="B3" s="664"/>
      <c r="C3" s="664"/>
      <c r="D3" s="664"/>
      <c r="E3" s="664"/>
      <c r="F3" s="664"/>
      <c r="G3" s="664"/>
    </row>
    <row r="4" spans="1:7" ht="15.75">
      <c r="A4" s="235"/>
      <c r="B4" s="234"/>
      <c r="C4" s="240"/>
      <c r="D4" s="240"/>
      <c r="E4" s="240"/>
      <c r="F4" s="240"/>
      <c r="G4" s="240"/>
    </row>
    <row r="5" spans="1:7" ht="15.75">
      <c r="A5" s="239"/>
      <c r="B5" s="234"/>
      <c r="C5" s="240"/>
      <c r="D5" s="240"/>
      <c r="E5" s="240"/>
      <c r="F5" s="240"/>
      <c r="G5" s="240"/>
    </row>
    <row r="6" spans="1:7">
      <c r="A6" s="665" t="s">
        <v>148</v>
      </c>
      <c r="B6" s="665"/>
      <c r="C6" s="665"/>
      <c r="D6" s="665"/>
      <c r="E6" s="665"/>
      <c r="F6" s="665"/>
      <c r="G6" s="665"/>
    </row>
    <row r="7" spans="1:7">
      <c r="A7" s="241"/>
      <c r="B7" s="241"/>
      <c r="C7" s="241"/>
      <c r="D7" s="241"/>
      <c r="E7" s="241"/>
      <c r="F7" s="241"/>
      <c r="G7" s="241"/>
    </row>
    <row r="8" spans="1:7" ht="15.75" thickBot="1">
      <c r="A8" s="241"/>
      <c r="B8" s="241"/>
      <c r="C8" s="241"/>
      <c r="D8" s="242" t="s">
        <v>2</v>
      </c>
      <c r="E8" s="194">
        <f>'Date Generale'!$C$54</f>
        <v>4.7233000000000001</v>
      </c>
      <c r="F8" s="195" t="s">
        <v>3</v>
      </c>
      <c r="G8" s="196" t="str">
        <f>'Date Generale'!$D$54</f>
        <v>21,06,2019</v>
      </c>
    </row>
    <row r="9" spans="1:7" ht="15.75" thickBot="1">
      <c r="A9" s="666" t="s">
        <v>136</v>
      </c>
      <c r="B9" s="670" t="s">
        <v>116</v>
      </c>
      <c r="C9" s="666" t="s">
        <v>160</v>
      </c>
      <c r="D9" s="666"/>
      <c r="E9" s="374" t="s">
        <v>7</v>
      </c>
      <c r="F9" s="666" t="s">
        <v>159</v>
      </c>
      <c r="G9" s="666"/>
    </row>
    <row r="10" spans="1:7" ht="15.75" thickBot="1">
      <c r="A10" s="666"/>
      <c r="B10" s="670"/>
      <c r="C10" s="375" t="s">
        <v>9</v>
      </c>
      <c r="D10" s="375" t="s">
        <v>10</v>
      </c>
      <c r="E10" s="375" t="s">
        <v>9</v>
      </c>
      <c r="F10" s="375" t="s">
        <v>9</v>
      </c>
      <c r="G10" s="375" t="s">
        <v>10</v>
      </c>
    </row>
    <row r="11" spans="1:7" ht="15.75" thickBot="1">
      <c r="A11" s="180">
        <v>1</v>
      </c>
      <c r="B11" s="181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</row>
    <row r="12" spans="1:7" ht="25.5">
      <c r="A12" s="667">
        <v>1</v>
      </c>
      <c r="B12" s="300" t="s">
        <v>149</v>
      </c>
      <c r="C12" s="301"/>
      <c r="D12" s="301"/>
      <c r="E12" s="301"/>
      <c r="F12" s="301"/>
      <c r="G12" s="302"/>
    </row>
    <row r="13" spans="1:7">
      <c r="A13" s="668"/>
      <c r="B13" s="273" t="s">
        <v>150</v>
      </c>
      <c r="C13" s="176">
        <v>0</v>
      </c>
      <c r="D13" s="176">
        <f>C13/$E$8</f>
        <v>0</v>
      </c>
      <c r="E13" s="303">
        <f>C13*'Date Generale'!$D$58</f>
        <v>0</v>
      </c>
      <c r="F13" s="303">
        <f>E13+C13</f>
        <v>0</v>
      </c>
      <c r="G13" s="245">
        <f>F13/$E$8</f>
        <v>0</v>
      </c>
    </row>
    <row r="14" spans="1:7">
      <c r="A14" s="668"/>
      <c r="B14" s="273" t="s">
        <v>151</v>
      </c>
      <c r="C14" s="176">
        <v>0</v>
      </c>
      <c r="D14" s="176">
        <f t="shared" ref="D14:D22" si="0">C14/$E$8</f>
        <v>0</v>
      </c>
      <c r="E14" s="303">
        <f>C14*'Date Generale'!$D$58</f>
        <v>0</v>
      </c>
      <c r="F14" s="303">
        <f t="shared" ref="F14:F22" si="1">E14+C14</f>
        <v>0</v>
      </c>
      <c r="G14" s="245">
        <f t="shared" ref="G14:G22" si="2">F14/$E$8</f>
        <v>0</v>
      </c>
    </row>
    <row r="15" spans="1:7">
      <c r="A15" s="668"/>
      <c r="B15" s="273" t="s">
        <v>152</v>
      </c>
      <c r="C15" s="176">
        <v>0</v>
      </c>
      <c r="D15" s="176">
        <f t="shared" si="0"/>
        <v>0</v>
      </c>
      <c r="E15" s="303">
        <f>C15*'Date Generale'!$D$58</f>
        <v>0</v>
      </c>
      <c r="F15" s="303">
        <f t="shared" si="1"/>
        <v>0</v>
      </c>
      <c r="G15" s="245">
        <f t="shared" si="2"/>
        <v>0</v>
      </c>
    </row>
    <row r="16" spans="1:7">
      <c r="A16" s="668"/>
      <c r="B16" s="273" t="s">
        <v>153</v>
      </c>
      <c r="C16" s="176">
        <v>0</v>
      </c>
      <c r="D16" s="176">
        <f t="shared" si="0"/>
        <v>0</v>
      </c>
      <c r="E16" s="303">
        <f>C16*'Date Generale'!$D$58</f>
        <v>0</v>
      </c>
      <c r="F16" s="303">
        <f t="shared" si="1"/>
        <v>0</v>
      </c>
      <c r="G16" s="245">
        <f t="shared" si="2"/>
        <v>0</v>
      </c>
    </row>
    <row r="17" spans="1:7">
      <c r="A17" s="668"/>
      <c r="B17" s="273" t="s">
        <v>174</v>
      </c>
      <c r="C17" s="176">
        <v>0</v>
      </c>
      <c r="D17" s="176">
        <f>C17/$E$8</f>
        <v>0</v>
      </c>
      <c r="E17" s="303">
        <f>C17*'Date Generale'!$D$58</f>
        <v>0</v>
      </c>
      <c r="F17" s="303">
        <f>E17+C17</f>
        <v>0</v>
      </c>
      <c r="G17" s="245">
        <f>F17/$E$8</f>
        <v>0</v>
      </c>
    </row>
    <row r="18" spans="1:7">
      <c r="A18" s="668"/>
      <c r="B18" s="273" t="s">
        <v>154</v>
      </c>
      <c r="C18" s="176">
        <v>0</v>
      </c>
      <c r="D18" s="176">
        <f t="shared" si="0"/>
        <v>0</v>
      </c>
      <c r="E18" s="303">
        <f>C18*'Date Generale'!$D$58</f>
        <v>0</v>
      </c>
      <c r="F18" s="303">
        <f t="shared" si="1"/>
        <v>0</v>
      </c>
      <c r="G18" s="245">
        <f t="shared" si="2"/>
        <v>0</v>
      </c>
    </row>
    <row r="19" spans="1:7">
      <c r="A19" s="668"/>
      <c r="B19" s="273" t="s">
        <v>155</v>
      </c>
      <c r="C19" s="176">
        <v>0</v>
      </c>
      <c r="D19" s="176">
        <f t="shared" si="0"/>
        <v>0</v>
      </c>
      <c r="E19" s="303">
        <f>C19*'Date Generale'!$D$58</f>
        <v>0</v>
      </c>
      <c r="F19" s="303">
        <f t="shared" si="1"/>
        <v>0</v>
      </c>
      <c r="G19" s="245">
        <f t="shared" si="2"/>
        <v>0</v>
      </c>
    </row>
    <row r="20" spans="1:7">
      <c r="A20" s="668"/>
      <c r="B20" s="273" t="s">
        <v>156</v>
      </c>
      <c r="C20" s="176">
        <v>0</v>
      </c>
      <c r="D20" s="176">
        <f t="shared" si="0"/>
        <v>0</v>
      </c>
      <c r="E20" s="303">
        <f>C20*'Date Generale'!$D$58</f>
        <v>0</v>
      </c>
      <c r="F20" s="303">
        <f t="shared" si="1"/>
        <v>0</v>
      </c>
      <c r="G20" s="245">
        <f t="shared" si="2"/>
        <v>0</v>
      </c>
    </row>
    <row r="21" spans="1:7">
      <c r="A21" s="668"/>
      <c r="B21" s="273" t="s">
        <v>157</v>
      </c>
      <c r="C21" s="176">
        <v>0</v>
      </c>
      <c r="D21" s="176">
        <f t="shared" si="0"/>
        <v>0</v>
      </c>
      <c r="E21" s="303">
        <f>C21*'Date Generale'!$D$58</f>
        <v>0</v>
      </c>
      <c r="F21" s="303">
        <f t="shared" si="1"/>
        <v>0</v>
      </c>
      <c r="G21" s="245">
        <f t="shared" si="2"/>
        <v>0</v>
      </c>
    </row>
    <row r="22" spans="1:7" ht="15.75" thickBot="1">
      <c r="A22" s="669"/>
      <c r="B22" s="304" t="s">
        <v>158</v>
      </c>
      <c r="C22" s="305">
        <v>0</v>
      </c>
      <c r="D22" s="305">
        <f t="shared" si="0"/>
        <v>0</v>
      </c>
      <c r="E22" s="306">
        <f>C22*'Date Generale'!$D$58</f>
        <v>0</v>
      </c>
      <c r="F22" s="306">
        <f t="shared" si="1"/>
        <v>0</v>
      </c>
      <c r="G22" s="307">
        <f t="shared" si="2"/>
        <v>0</v>
      </c>
    </row>
    <row r="23" spans="1:7" ht="15.75" thickBot="1">
      <c r="A23" s="308"/>
      <c r="B23" s="309" t="s">
        <v>36</v>
      </c>
      <c r="C23" s="310">
        <f>SUM(C13:C22)</f>
        <v>0</v>
      </c>
      <c r="D23" s="310">
        <f>SUM(D13:D22)</f>
        <v>0</v>
      </c>
      <c r="E23" s="310">
        <f>SUM(E13:E22)</f>
        <v>0</v>
      </c>
      <c r="F23" s="310">
        <f>SUM(F13:F22)</f>
        <v>0</v>
      </c>
      <c r="G23" s="311">
        <f>SUM(G13:G22)</f>
        <v>0</v>
      </c>
    </row>
    <row r="24" spans="1:7">
      <c r="A24" s="241"/>
      <c r="B24" s="241"/>
      <c r="C24" s="241"/>
      <c r="D24" s="241"/>
      <c r="E24" s="241"/>
      <c r="F24" s="241"/>
      <c r="G24" s="241"/>
    </row>
    <row r="25" spans="1:7">
      <c r="A25" s="241"/>
      <c r="B25" s="241"/>
      <c r="C25" s="241"/>
      <c r="D25" s="241"/>
      <c r="E25" s="241"/>
      <c r="F25" s="241"/>
      <c r="G25" s="241"/>
    </row>
    <row r="26" spans="1:7">
      <c r="A26" s="241"/>
      <c r="B26" s="256" t="s">
        <v>37</v>
      </c>
      <c r="C26" s="241"/>
      <c r="D26" s="241"/>
      <c r="E26" s="241"/>
      <c r="F26" s="241"/>
      <c r="G26" s="241"/>
    </row>
    <row r="27" spans="1:7">
      <c r="A27" s="241"/>
      <c r="B27" s="256" t="str">
        <f>'Date Generale'!$C$7</f>
        <v>S.C. Tehno Consoulting Solutions S.R.L.</v>
      </c>
      <c r="C27" s="241"/>
      <c r="D27" s="241"/>
      <c r="E27" s="241"/>
      <c r="F27" s="241"/>
      <c r="G27" s="241"/>
    </row>
    <row r="28" spans="1:7">
      <c r="A28" s="241"/>
      <c r="B28" s="241"/>
      <c r="C28" s="241"/>
      <c r="D28" s="241"/>
      <c r="E28" s="241"/>
      <c r="F28" s="241"/>
      <c r="G28" s="241"/>
    </row>
    <row r="29" spans="1:7">
      <c r="A29" s="241"/>
      <c r="B29" s="241"/>
      <c r="C29" s="241"/>
      <c r="D29" s="241"/>
      <c r="E29" s="241"/>
      <c r="F29" s="241"/>
      <c r="G29" s="241"/>
    </row>
    <row r="30" spans="1:7">
      <c r="A30" s="241"/>
      <c r="B30" s="241"/>
      <c r="C30" s="241"/>
      <c r="D30" s="241"/>
      <c r="E30" s="241"/>
      <c r="F30" s="241"/>
      <c r="G30" s="241"/>
    </row>
    <row r="31" spans="1:7">
      <c r="A31" s="241"/>
      <c r="B31" s="241"/>
      <c r="C31" s="241"/>
      <c r="D31" s="241"/>
      <c r="E31" s="241"/>
      <c r="F31" s="241"/>
      <c r="G31" s="241"/>
    </row>
    <row r="32" spans="1:7">
      <c r="A32" s="241"/>
      <c r="B32" s="241"/>
      <c r="C32" s="241"/>
      <c r="D32" s="241"/>
      <c r="E32" s="241"/>
      <c r="F32" s="241"/>
      <c r="G32" s="241"/>
    </row>
    <row r="33" spans="3:3">
      <c r="C33" s="258"/>
    </row>
  </sheetData>
  <mergeCells count="7">
    <mergeCell ref="A3:G3"/>
    <mergeCell ref="A6:G6"/>
    <mergeCell ref="C9:D9"/>
    <mergeCell ref="F9:G9"/>
    <mergeCell ref="A12:A22"/>
    <mergeCell ref="A9:A10"/>
    <mergeCell ref="B9:B1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8"/>
  <sheetViews>
    <sheetView view="pageBreakPreview" topLeftCell="A4" zoomScale="85" zoomScaleNormal="100" zoomScaleSheetLayoutView="85" workbookViewId="0">
      <selection activeCell="E13" sqref="E13"/>
    </sheetView>
  </sheetViews>
  <sheetFormatPr defaultRowHeight="15"/>
  <cols>
    <col min="1" max="1" width="6" style="237" customWidth="1"/>
    <col min="2" max="2" width="56" style="237" customWidth="1"/>
    <col min="3" max="7" width="15.7109375" style="237" customWidth="1"/>
    <col min="8" max="8" width="9.140625" style="237"/>
    <col min="9" max="9" width="10.5703125" style="237" bestFit="1" customWidth="1"/>
    <col min="10" max="10" width="11.5703125" style="237" bestFit="1" customWidth="1"/>
    <col min="11" max="12" width="10.5703125" style="237" bestFit="1" customWidth="1"/>
    <col min="13" max="13" width="22.5703125" style="237" customWidth="1"/>
    <col min="14" max="14" width="16.42578125" style="237" customWidth="1"/>
    <col min="15" max="15" width="18.5703125" style="237" customWidth="1"/>
    <col min="16" max="16" width="20.5703125" style="237" customWidth="1"/>
    <col min="17" max="17" width="14.42578125" style="237" bestFit="1" customWidth="1"/>
    <col min="18" max="16384" width="9.140625" style="237"/>
  </cols>
  <sheetData>
    <row r="1" spans="1:17">
      <c r="A1" s="234"/>
    </row>
    <row r="2" spans="1:17" ht="15.75">
      <c r="A2" s="235" t="str">
        <f>"Beneficiar: " &amp;'Date Generale'!$C$6</f>
        <v xml:space="preserve">Beneficiar: Judetul Arges </v>
      </c>
    </row>
    <row r="3" spans="1:17" ht="15.75">
      <c r="A3" s="235" t="str">
        <f>"Denumire proiect: " &amp; 'Date Generale'!$C$3</f>
        <v>Denumire proiect: Modernizare DJ 703B Serbanesti (DJ659) - Silistea, km 70+410 - 77+826, 7.416km, in comunele Rociu si Cateasca</v>
      </c>
    </row>
    <row r="4" spans="1:17" ht="15.75">
      <c r="A4" s="235"/>
    </row>
    <row r="6" spans="1:17">
      <c r="A6" s="665" t="s">
        <v>147</v>
      </c>
      <c r="B6" s="665"/>
      <c r="C6" s="665"/>
      <c r="D6" s="665"/>
      <c r="E6" s="665"/>
      <c r="F6" s="665"/>
      <c r="G6" s="665"/>
    </row>
    <row r="7" spans="1:17">
      <c r="A7" s="259"/>
      <c r="B7" s="259"/>
      <c r="C7" s="259"/>
      <c r="D7" s="259"/>
      <c r="E7" s="259"/>
      <c r="F7" s="260"/>
      <c r="G7" s="260"/>
    </row>
    <row r="8" spans="1:17" ht="15.75" thickBot="1">
      <c r="A8" s="261"/>
      <c r="B8" s="262"/>
      <c r="C8" s="263"/>
      <c r="D8" s="242" t="s">
        <v>2</v>
      </c>
      <c r="E8" s="194">
        <f>'Date Generale'!$C$54</f>
        <v>4.7233000000000001</v>
      </c>
      <c r="F8" s="195" t="s">
        <v>3</v>
      </c>
      <c r="G8" s="196" t="str">
        <f>'Date Generale'!$D$54</f>
        <v>21,06,2019</v>
      </c>
      <c r="K8" s="264"/>
      <c r="L8" s="264"/>
      <c r="M8" s="264"/>
      <c r="N8" s="264"/>
      <c r="O8" s="264"/>
      <c r="P8" s="264"/>
      <c r="Q8" s="264"/>
    </row>
    <row r="9" spans="1:17" ht="15.75" customHeight="1" thickBot="1">
      <c r="A9" s="666" t="s">
        <v>136</v>
      </c>
      <c r="B9" s="666" t="s">
        <v>116</v>
      </c>
      <c r="C9" s="666" t="s">
        <v>160</v>
      </c>
      <c r="D9" s="666"/>
      <c r="E9" s="374" t="s">
        <v>7</v>
      </c>
      <c r="F9" s="666" t="s">
        <v>159</v>
      </c>
      <c r="G9" s="666"/>
      <c r="K9" s="264"/>
      <c r="L9" s="264"/>
      <c r="M9" s="264"/>
      <c r="N9" s="264"/>
      <c r="O9" s="264"/>
      <c r="P9" s="264"/>
      <c r="Q9" s="264"/>
    </row>
    <row r="10" spans="1:17" ht="15.75" thickBot="1">
      <c r="A10" s="666"/>
      <c r="B10" s="666"/>
      <c r="C10" s="375" t="s">
        <v>9</v>
      </c>
      <c r="D10" s="375" t="s">
        <v>10</v>
      </c>
      <c r="E10" s="375" t="s">
        <v>9</v>
      </c>
      <c r="F10" s="375" t="s">
        <v>9</v>
      </c>
      <c r="G10" s="375" t="s">
        <v>10</v>
      </c>
      <c r="K10" s="264"/>
      <c r="L10" s="264"/>
      <c r="M10" s="264"/>
      <c r="N10" s="264"/>
      <c r="O10" s="264"/>
      <c r="P10" s="264"/>
      <c r="Q10" s="264"/>
    </row>
    <row r="11" spans="1:17" ht="15.75" thickBot="1">
      <c r="A11" s="180">
        <v>1</v>
      </c>
      <c r="B11" s="180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K11" s="264"/>
      <c r="L11" s="264"/>
      <c r="M11" s="264"/>
      <c r="N11" s="264"/>
      <c r="O11" s="264"/>
      <c r="P11" s="264"/>
      <c r="Q11" s="264"/>
    </row>
    <row r="12" spans="1:17" ht="51" customHeight="1">
      <c r="A12" s="675">
        <v>1</v>
      </c>
      <c r="B12" s="265" t="s">
        <v>426</v>
      </c>
      <c r="C12" s="266">
        <f>C13</f>
        <v>10500</v>
      </c>
      <c r="D12" s="266">
        <f>D13</f>
        <v>2223.0220396756504</v>
      </c>
      <c r="E12" s="266">
        <f>E13</f>
        <v>1995</v>
      </c>
      <c r="F12" s="266">
        <f>F13</f>
        <v>12495</v>
      </c>
      <c r="G12" s="267">
        <f>G13</f>
        <v>2645.3962272140238</v>
      </c>
      <c r="K12" s="264"/>
      <c r="L12" s="264"/>
      <c r="M12" s="674"/>
      <c r="N12" s="268"/>
      <c r="O12" s="269"/>
      <c r="P12" s="270"/>
      <c r="Q12" s="264"/>
    </row>
    <row r="13" spans="1:17" ht="38.25">
      <c r="A13" s="676"/>
      <c r="B13" s="158" t="s">
        <v>117</v>
      </c>
      <c r="C13" s="539">
        <f>3000+7500</f>
        <v>10500</v>
      </c>
      <c r="D13" s="539">
        <f>C13/$E$8</f>
        <v>2223.0220396756504</v>
      </c>
      <c r="E13" s="539">
        <f>C13*0.19</f>
        <v>1995</v>
      </c>
      <c r="F13" s="539">
        <f>E13+C13</f>
        <v>12495</v>
      </c>
      <c r="G13" s="540">
        <f>F13/$E$8</f>
        <v>2645.3962272140238</v>
      </c>
      <c r="I13" s="535"/>
      <c r="K13" s="264"/>
      <c r="L13" s="264"/>
      <c r="M13" s="674"/>
      <c r="N13" s="268"/>
      <c r="O13" s="269"/>
      <c r="P13" s="270"/>
      <c r="Q13" s="264"/>
    </row>
    <row r="14" spans="1:17" ht="25.5">
      <c r="A14" s="673">
        <v>2</v>
      </c>
      <c r="B14" s="271" t="s">
        <v>118</v>
      </c>
      <c r="C14" s="151">
        <f>SUM(C15:C23)</f>
        <v>3600</v>
      </c>
      <c r="D14" s="151">
        <f t="shared" ref="D14:G14" si="0">SUM(D15:D23)</f>
        <v>762.17898503165156</v>
      </c>
      <c r="E14" s="151">
        <f t="shared" si="0"/>
        <v>684</v>
      </c>
      <c r="F14" s="151">
        <f t="shared" si="0"/>
        <v>4284</v>
      </c>
      <c r="G14" s="152">
        <f t="shared" si="0"/>
        <v>906.99299218766544</v>
      </c>
      <c r="K14" s="264"/>
      <c r="L14" s="264"/>
      <c r="M14" s="674"/>
      <c r="N14" s="268"/>
      <c r="O14" s="272"/>
      <c r="P14" s="270"/>
      <c r="Q14" s="264"/>
    </row>
    <row r="15" spans="1:17">
      <c r="A15" s="673"/>
      <c r="B15" s="273" t="s">
        <v>127</v>
      </c>
      <c r="C15" s="274">
        <v>0</v>
      </c>
      <c r="D15" s="153">
        <f>C15/$E$8</f>
        <v>0</v>
      </c>
      <c r="E15" s="150">
        <f>C15*'Date Generale'!$D$58</f>
        <v>0</v>
      </c>
      <c r="F15" s="150">
        <f>E15+C15</f>
        <v>0</v>
      </c>
      <c r="G15" s="154">
        <f>F15/$E$8</f>
        <v>0</v>
      </c>
      <c r="K15" s="264"/>
      <c r="L15" s="264"/>
      <c r="M15" s="674"/>
      <c r="N15" s="268"/>
      <c r="O15" s="275"/>
      <c r="P15" s="270"/>
      <c r="Q15" s="264"/>
    </row>
    <row r="16" spans="1:17" ht="38.25">
      <c r="A16" s="673"/>
      <c r="B16" s="273" t="s">
        <v>128</v>
      </c>
      <c r="C16" s="274">
        <v>0</v>
      </c>
      <c r="D16" s="153">
        <f t="shared" ref="D16:D23" si="1">C16/$E$8</f>
        <v>0</v>
      </c>
      <c r="E16" s="150">
        <f>C16*'Date Generale'!$D$58</f>
        <v>0</v>
      </c>
      <c r="F16" s="150">
        <f t="shared" ref="F16:F23" si="2">E16+C16</f>
        <v>0</v>
      </c>
      <c r="G16" s="154">
        <f t="shared" ref="G16:G23" si="3">F16/$E$8</f>
        <v>0</v>
      </c>
      <c r="K16" s="264"/>
      <c r="L16" s="264"/>
      <c r="M16" s="674"/>
      <c r="N16" s="268"/>
      <c r="O16" s="275"/>
      <c r="P16" s="671"/>
      <c r="Q16" s="264"/>
    </row>
    <row r="17" spans="1:17" ht="38.25">
      <c r="A17" s="673"/>
      <c r="B17" s="273" t="s">
        <v>129</v>
      </c>
      <c r="C17" s="274">
        <v>3600</v>
      </c>
      <c r="D17" s="153">
        <f t="shared" si="1"/>
        <v>762.17898503165156</v>
      </c>
      <c r="E17" s="150">
        <f>C17*0.19</f>
        <v>684</v>
      </c>
      <c r="F17" s="150">
        <f t="shared" si="2"/>
        <v>4284</v>
      </c>
      <c r="G17" s="154">
        <f t="shared" si="3"/>
        <v>906.99299218766544</v>
      </c>
      <c r="J17" s="535"/>
      <c r="K17" s="264"/>
      <c r="L17" s="264"/>
      <c r="M17" s="674"/>
      <c r="N17" s="268"/>
      <c r="O17" s="275"/>
      <c r="P17" s="671"/>
      <c r="Q17" s="264"/>
    </row>
    <row r="18" spans="1:17">
      <c r="A18" s="673"/>
      <c r="B18" s="273" t="s">
        <v>130</v>
      </c>
      <c r="C18" s="274">
        <v>0</v>
      </c>
      <c r="D18" s="153">
        <f t="shared" si="1"/>
        <v>0</v>
      </c>
      <c r="E18" s="150">
        <f>C18*'Date Generale'!$D$58</f>
        <v>0</v>
      </c>
      <c r="F18" s="150">
        <f t="shared" si="2"/>
        <v>0</v>
      </c>
      <c r="G18" s="154">
        <f t="shared" si="3"/>
        <v>0</v>
      </c>
      <c r="K18" s="264"/>
      <c r="L18" s="264"/>
      <c r="M18" s="674"/>
      <c r="N18" s="268"/>
      <c r="O18" s="275"/>
      <c r="P18" s="270"/>
      <c r="Q18" s="264"/>
    </row>
    <row r="19" spans="1:17">
      <c r="A19" s="673"/>
      <c r="B19" s="273" t="s">
        <v>131</v>
      </c>
      <c r="C19" s="274">
        <v>0</v>
      </c>
      <c r="D19" s="153">
        <f t="shared" si="1"/>
        <v>0</v>
      </c>
      <c r="E19" s="150">
        <f>C19*'Date Generale'!$D$58</f>
        <v>0</v>
      </c>
      <c r="F19" s="150">
        <f t="shared" si="2"/>
        <v>0</v>
      </c>
      <c r="G19" s="154">
        <f t="shared" si="3"/>
        <v>0</v>
      </c>
      <c r="J19" s="535"/>
      <c r="K19" s="264"/>
      <c r="L19" s="264"/>
      <c r="M19" s="672"/>
      <c r="N19" s="276"/>
      <c r="O19" s="269"/>
      <c r="P19" s="270"/>
      <c r="Q19" s="264"/>
    </row>
    <row r="20" spans="1:17" ht="25.5">
      <c r="A20" s="673"/>
      <c r="B20" s="273" t="s">
        <v>132</v>
      </c>
      <c r="C20" s="274">
        <v>0</v>
      </c>
      <c r="D20" s="153">
        <f t="shared" si="1"/>
        <v>0</v>
      </c>
      <c r="E20" s="150">
        <f>C20*'Date Generale'!$D$58</f>
        <v>0</v>
      </c>
      <c r="F20" s="150">
        <f t="shared" si="2"/>
        <v>0</v>
      </c>
      <c r="G20" s="154">
        <f t="shared" si="3"/>
        <v>0</v>
      </c>
      <c r="K20" s="264"/>
      <c r="L20" s="264"/>
      <c r="M20" s="672"/>
      <c r="N20" s="276"/>
      <c r="O20" s="277"/>
      <c r="P20" s="270"/>
      <c r="Q20" s="264"/>
    </row>
    <row r="21" spans="1:17">
      <c r="A21" s="673"/>
      <c r="B21" s="273" t="s">
        <v>133</v>
      </c>
      <c r="C21" s="274">
        <v>0</v>
      </c>
      <c r="D21" s="153">
        <f t="shared" si="1"/>
        <v>0</v>
      </c>
      <c r="E21" s="150">
        <f>C21*'Date Generale'!$D$58</f>
        <v>0</v>
      </c>
      <c r="F21" s="150">
        <f t="shared" si="2"/>
        <v>0</v>
      </c>
      <c r="G21" s="154">
        <f t="shared" si="3"/>
        <v>0</v>
      </c>
      <c r="K21" s="264"/>
      <c r="L21" s="264"/>
      <c r="M21" s="672"/>
      <c r="N21" s="276"/>
      <c r="O21" s="277"/>
      <c r="P21" s="270"/>
      <c r="Q21" s="278"/>
    </row>
    <row r="22" spans="1:17">
      <c r="A22" s="673"/>
      <c r="B22" s="273" t="s">
        <v>134</v>
      </c>
      <c r="C22" s="274">
        <v>0</v>
      </c>
      <c r="D22" s="153">
        <f t="shared" si="1"/>
        <v>0</v>
      </c>
      <c r="E22" s="150">
        <f>C22*'Date Generale'!$D$58</f>
        <v>0</v>
      </c>
      <c r="F22" s="150">
        <f t="shared" si="2"/>
        <v>0</v>
      </c>
      <c r="G22" s="154">
        <f t="shared" si="3"/>
        <v>0</v>
      </c>
      <c r="K22" s="264"/>
      <c r="L22" s="264"/>
      <c r="M22" s="672"/>
      <c r="N22" s="276"/>
      <c r="O22" s="277"/>
      <c r="P22" s="270"/>
      <c r="Q22" s="264"/>
    </row>
    <row r="23" spans="1:17">
      <c r="A23" s="673"/>
      <c r="B23" s="273" t="s">
        <v>135</v>
      </c>
      <c r="C23" s="274">
        <v>0</v>
      </c>
      <c r="D23" s="153">
        <f t="shared" si="1"/>
        <v>0</v>
      </c>
      <c r="E23" s="150">
        <f>C23*'Date Generale'!$D$58</f>
        <v>0</v>
      </c>
      <c r="F23" s="150">
        <f t="shared" si="2"/>
        <v>0</v>
      </c>
      <c r="G23" s="154">
        <f t="shared" si="3"/>
        <v>0</v>
      </c>
      <c r="K23" s="264"/>
      <c r="L23" s="264"/>
      <c r="M23" s="279"/>
      <c r="N23" s="280"/>
      <c r="O23" s="269"/>
      <c r="P23" s="270"/>
      <c r="Q23" s="264"/>
    </row>
    <row r="24" spans="1:17">
      <c r="A24" s="673">
        <v>3</v>
      </c>
      <c r="B24" s="271" t="s">
        <v>119</v>
      </c>
      <c r="C24" s="151">
        <f>C25+C32+C33+C34</f>
        <v>45935.92</v>
      </c>
      <c r="D24" s="151">
        <f>D25+D32+D33+D34</f>
        <v>9725.3869116930946</v>
      </c>
      <c r="E24" s="151">
        <f>E25+E32+E33+E34</f>
        <v>8727.8247999999985</v>
      </c>
      <c r="F24" s="151">
        <f>F25+F32+F33+F34</f>
        <v>54663.7448</v>
      </c>
      <c r="G24" s="152">
        <f>G25+G32+G33+G34</f>
        <v>11573.210424914785</v>
      </c>
      <c r="K24" s="264"/>
      <c r="L24" s="264"/>
      <c r="M24" s="672"/>
      <c r="N24" s="281"/>
      <c r="O24" s="282"/>
      <c r="P24" s="270"/>
      <c r="Q24" s="264"/>
    </row>
    <row r="25" spans="1:17" ht="25.5">
      <c r="A25" s="673"/>
      <c r="B25" s="244" t="s">
        <v>120</v>
      </c>
      <c r="C25" s="164">
        <f>SUM(C26:C31)</f>
        <v>38493.279999999999</v>
      </c>
      <c r="D25" s="164">
        <f>SUM(D26:D31)</f>
        <v>8149.6580780386585</v>
      </c>
      <c r="E25" s="164">
        <f>SUM(E26:E31)</f>
        <v>7313.7231999999995</v>
      </c>
      <c r="F25" s="164">
        <f>SUM(F26:F31)</f>
        <v>45807.003199999999</v>
      </c>
      <c r="G25" s="165">
        <f>SUM(G26:G31)</f>
        <v>9698.093112866005</v>
      </c>
      <c r="K25" s="264"/>
      <c r="L25" s="264"/>
      <c r="M25" s="672"/>
      <c r="N25" s="281"/>
      <c r="O25" s="282"/>
      <c r="P25" s="270"/>
      <c r="Q25" s="264"/>
    </row>
    <row r="26" spans="1:17">
      <c r="A26" s="673"/>
      <c r="B26" s="273" t="s">
        <v>137</v>
      </c>
      <c r="C26" s="274">
        <v>0</v>
      </c>
      <c r="D26" s="153">
        <f>C26/$E$8</f>
        <v>0</v>
      </c>
      <c r="E26" s="150">
        <f>C26*'Date Generale'!$D$58</f>
        <v>0</v>
      </c>
      <c r="F26" s="150">
        <f>E26+C26</f>
        <v>0</v>
      </c>
      <c r="G26" s="154">
        <f>F26/$E$8</f>
        <v>0</v>
      </c>
      <c r="I26" s="535"/>
      <c r="K26" s="264"/>
      <c r="L26" s="264"/>
      <c r="M26" s="672"/>
      <c r="N26" s="283"/>
      <c r="O26" s="269"/>
      <c r="P26" s="270"/>
      <c r="Q26" s="264"/>
    </row>
    <row r="27" spans="1:17">
      <c r="A27" s="673"/>
      <c r="B27" s="273" t="s">
        <v>138</v>
      </c>
      <c r="C27" s="274">
        <v>0</v>
      </c>
      <c r="D27" s="153">
        <f t="shared" ref="D27:D42" si="4">C27/$E$8</f>
        <v>0</v>
      </c>
      <c r="E27" s="150">
        <v>0</v>
      </c>
      <c r="F27" s="150">
        <f t="shared" ref="F27:F31" si="5">E27+C27</f>
        <v>0</v>
      </c>
      <c r="G27" s="154">
        <f t="shared" ref="G27:G42" si="6">F27/$E$8</f>
        <v>0</v>
      </c>
      <c r="J27" s="535"/>
      <c r="K27" s="264"/>
      <c r="L27" s="264"/>
      <c r="M27" s="672"/>
      <c r="N27" s="276"/>
      <c r="O27" s="264"/>
      <c r="P27" s="284"/>
      <c r="Q27" s="264"/>
    </row>
    <row r="28" spans="1:17">
      <c r="A28" s="673"/>
      <c r="B28" s="273" t="s">
        <v>139</v>
      </c>
      <c r="C28" s="274">
        <v>25743.119999999999</v>
      </c>
      <c r="D28" s="153">
        <f t="shared" si="4"/>
        <v>5450.240298096669</v>
      </c>
      <c r="E28" s="150">
        <f>(C28)*0.19</f>
        <v>4891.1927999999998</v>
      </c>
      <c r="F28" s="150">
        <f t="shared" si="5"/>
        <v>30634.3128</v>
      </c>
      <c r="G28" s="154">
        <f t="shared" si="6"/>
        <v>6485.7859547350372</v>
      </c>
      <c r="I28" s="535"/>
      <c r="J28" s="535"/>
      <c r="K28" s="264"/>
      <c r="L28" s="264"/>
      <c r="M28" s="672"/>
      <c r="N28" s="276"/>
      <c r="O28" s="264"/>
      <c r="P28" s="285"/>
      <c r="Q28" s="264"/>
    </row>
    <row r="29" spans="1:17">
      <c r="A29" s="673"/>
      <c r="B29" s="273" t="s">
        <v>140</v>
      </c>
      <c r="C29" s="274">
        <v>5334.16</v>
      </c>
      <c r="D29" s="153">
        <f t="shared" si="4"/>
        <v>1129.3290707767874</v>
      </c>
      <c r="E29" s="150">
        <f>C29*'Date Generale'!$D$58</f>
        <v>1013.4904</v>
      </c>
      <c r="F29" s="150">
        <f t="shared" si="5"/>
        <v>6347.6503999999995</v>
      </c>
      <c r="G29" s="154">
        <f t="shared" si="6"/>
        <v>1343.9015942243768</v>
      </c>
      <c r="I29" s="535"/>
      <c r="J29" s="535"/>
      <c r="K29" s="264"/>
      <c r="L29" s="536"/>
      <c r="M29" s="672"/>
      <c r="N29" s="276"/>
      <c r="O29" s="264"/>
      <c r="P29" s="284"/>
      <c r="Q29" s="264"/>
    </row>
    <row r="30" spans="1:17">
      <c r="A30" s="673"/>
      <c r="B30" s="273" t="s">
        <v>142</v>
      </c>
      <c r="C30" s="274">
        <v>7416</v>
      </c>
      <c r="D30" s="153">
        <f t="shared" si="4"/>
        <v>1570.0887091652023</v>
      </c>
      <c r="E30" s="150">
        <f>C30*'Date Generale'!$D$58</f>
        <v>1409.04</v>
      </c>
      <c r="F30" s="150">
        <f t="shared" si="5"/>
        <v>8825.0400000000009</v>
      </c>
      <c r="G30" s="154">
        <f t="shared" si="6"/>
        <v>1868.4055639065909</v>
      </c>
      <c r="K30" s="264"/>
      <c r="L30" s="264"/>
      <c r="M30" s="672"/>
      <c r="N30" s="276"/>
      <c r="O30" s="264"/>
      <c r="P30" s="284"/>
      <c r="Q30" s="264"/>
    </row>
    <row r="31" spans="1:17">
      <c r="A31" s="673"/>
      <c r="B31" s="273" t="s">
        <v>141</v>
      </c>
      <c r="C31" s="274">
        <v>0</v>
      </c>
      <c r="D31" s="153">
        <f t="shared" si="4"/>
        <v>0</v>
      </c>
      <c r="E31" s="150">
        <f>C31*'Date Generale'!$D$58</f>
        <v>0</v>
      </c>
      <c r="F31" s="150">
        <f t="shared" si="5"/>
        <v>0</v>
      </c>
      <c r="G31" s="154">
        <f t="shared" si="6"/>
        <v>0</v>
      </c>
      <c r="K31" s="264"/>
      <c r="L31" s="264"/>
      <c r="M31" s="264"/>
      <c r="N31" s="264"/>
      <c r="O31" s="264"/>
      <c r="P31" s="264"/>
      <c r="Q31" s="264"/>
    </row>
    <row r="32" spans="1:17" ht="25.5">
      <c r="A32" s="673"/>
      <c r="B32" s="166" t="s">
        <v>121</v>
      </c>
      <c r="C32" s="274">
        <f>1623.44+2319.2</f>
        <v>3942.64</v>
      </c>
      <c r="D32" s="153">
        <f t="shared" si="4"/>
        <v>834.72148709588635</v>
      </c>
      <c r="E32" s="150">
        <f>C32*'Date Generale'!$D$58</f>
        <v>749.10159999999996</v>
      </c>
      <c r="F32" s="150">
        <f t="shared" ref="F32" si="7">E32+C32</f>
        <v>4691.7415999999994</v>
      </c>
      <c r="G32" s="154">
        <f t="shared" si="6"/>
        <v>993.31856964410463</v>
      </c>
      <c r="J32" s="535"/>
      <c r="K32" s="264"/>
      <c r="L32" s="536"/>
      <c r="M32" s="264"/>
      <c r="N32" s="264"/>
      <c r="O32" s="264"/>
      <c r="P32" s="264"/>
      <c r="Q32" s="264"/>
    </row>
    <row r="33" spans="1:17" ht="38.25">
      <c r="A33" s="673"/>
      <c r="B33" s="166" t="s">
        <v>122</v>
      </c>
      <c r="C33" s="274">
        <v>3500</v>
      </c>
      <c r="D33" s="153">
        <f t="shared" si="4"/>
        <v>741.00734655855013</v>
      </c>
      <c r="E33" s="150">
        <f>C33*'Date Generale'!$D$58</f>
        <v>665</v>
      </c>
      <c r="F33" s="150">
        <f t="shared" ref="F33" si="8">E33+C33</f>
        <v>4165</v>
      </c>
      <c r="G33" s="154">
        <f t="shared" si="6"/>
        <v>881.79874240467473</v>
      </c>
      <c r="K33" s="536"/>
      <c r="L33" s="536"/>
      <c r="M33" s="264"/>
      <c r="N33" s="264"/>
      <c r="O33" s="264"/>
      <c r="P33" s="264"/>
      <c r="Q33" s="264"/>
    </row>
    <row r="34" spans="1:17">
      <c r="A34" s="673"/>
      <c r="B34" s="166" t="s">
        <v>123</v>
      </c>
      <c r="C34" s="274">
        <v>0</v>
      </c>
      <c r="D34" s="153">
        <f t="shared" si="4"/>
        <v>0</v>
      </c>
      <c r="E34" s="150">
        <f>C34*'Date Generale'!$D$58</f>
        <v>0</v>
      </c>
      <c r="F34" s="150">
        <f t="shared" ref="F34" si="9">E34+C34</f>
        <v>0</v>
      </c>
      <c r="G34" s="154">
        <f t="shared" si="6"/>
        <v>0</v>
      </c>
      <c r="K34" s="264"/>
      <c r="L34" s="264"/>
      <c r="M34" s="264"/>
      <c r="N34" s="264"/>
      <c r="O34" s="264"/>
      <c r="P34" s="264"/>
      <c r="Q34" s="264"/>
    </row>
    <row r="35" spans="1:17">
      <c r="A35" s="678">
        <v>4</v>
      </c>
      <c r="B35" s="286" t="s">
        <v>124</v>
      </c>
      <c r="C35" s="287">
        <f>C36</f>
        <v>12500</v>
      </c>
      <c r="D35" s="287">
        <f t="shared" ref="D35" si="10">D36</f>
        <v>2646.4548091376791</v>
      </c>
      <c r="E35" s="287">
        <f>E36</f>
        <v>2375</v>
      </c>
      <c r="F35" s="287">
        <f>F36</f>
        <v>14875</v>
      </c>
      <c r="G35" s="288">
        <f>G36</f>
        <v>3149.281222873838</v>
      </c>
    </row>
    <row r="36" spans="1:17">
      <c r="A36" s="676"/>
      <c r="B36" s="159" t="s">
        <v>124</v>
      </c>
      <c r="C36" s="172">
        <v>12500</v>
      </c>
      <c r="D36" s="289">
        <f>C36/$E$8</f>
        <v>2646.4548091376791</v>
      </c>
      <c r="E36" s="289">
        <f>C36*'Date Generale'!$D$58</f>
        <v>2375</v>
      </c>
      <c r="F36" s="289">
        <f>E36+C36</f>
        <v>14875</v>
      </c>
      <c r="G36" s="290">
        <f>F36/$E$8</f>
        <v>3149.281222873838</v>
      </c>
    </row>
    <row r="37" spans="1:17">
      <c r="A37" s="673">
        <v>5</v>
      </c>
      <c r="B37" s="291" t="s">
        <v>125</v>
      </c>
      <c r="C37" s="292">
        <f>SUM(C38:C39)</f>
        <v>53650</v>
      </c>
      <c r="D37" s="292">
        <f>SUM(D38:D39)</f>
        <v>11358.58404081892</v>
      </c>
      <c r="E37" s="292">
        <f>SUM(E38:E39)</f>
        <v>10193.5</v>
      </c>
      <c r="F37" s="292">
        <f>SUM(F38:F39)</f>
        <v>63843.5</v>
      </c>
      <c r="G37" s="293">
        <f>SUM(G38:G39)</f>
        <v>13516.715008574514</v>
      </c>
    </row>
    <row r="38" spans="1:17" ht="25.5">
      <c r="A38" s="673"/>
      <c r="B38" s="166" t="s">
        <v>143</v>
      </c>
      <c r="C38" s="176">
        <v>0</v>
      </c>
      <c r="D38" s="153">
        <f t="shared" si="4"/>
        <v>0</v>
      </c>
      <c r="E38" s="150">
        <f>C38*'Date Generale'!$D$58</f>
        <v>0</v>
      </c>
      <c r="F38" s="150">
        <f t="shared" ref="F38:F39" si="11">E38+C38</f>
        <v>0</v>
      </c>
      <c r="G38" s="154">
        <f t="shared" si="6"/>
        <v>0</v>
      </c>
    </row>
    <row r="39" spans="1:17" ht="25.5">
      <c r="A39" s="673"/>
      <c r="B39" s="166" t="s">
        <v>144</v>
      </c>
      <c r="C39" s="176">
        <v>53650</v>
      </c>
      <c r="D39" s="153">
        <f t="shared" si="4"/>
        <v>11358.58404081892</v>
      </c>
      <c r="E39" s="150">
        <f>C39*'Date Generale'!$D$58</f>
        <v>10193.5</v>
      </c>
      <c r="F39" s="150">
        <f t="shared" si="11"/>
        <v>63843.5</v>
      </c>
      <c r="G39" s="154">
        <f t="shared" si="6"/>
        <v>13516.715008574514</v>
      </c>
    </row>
    <row r="40" spans="1:17">
      <c r="A40" s="673">
        <v>6</v>
      </c>
      <c r="B40" s="291" t="s">
        <v>126</v>
      </c>
      <c r="C40" s="292">
        <f>SUM(C41:C42)</f>
        <v>60274.64</v>
      </c>
      <c r="D40" s="292">
        <f>SUM(D41:D42)</f>
        <v>12761.128871763387</v>
      </c>
      <c r="E40" s="292">
        <f>SUM(E41:E42)</f>
        <v>11452.1816</v>
      </c>
      <c r="F40" s="292">
        <f>SUM(F41:F42)</f>
        <v>71726.821599999996</v>
      </c>
      <c r="G40" s="293">
        <f>SUM(G41:G42)</f>
        <v>15185.743357398429</v>
      </c>
    </row>
    <row r="41" spans="1:17" ht="25.5">
      <c r="A41" s="673"/>
      <c r="B41" s="166" t="s">
        <v>145</v>
      </c>
      <c r="C41" s="176">
        <v>3942.64</v>
      </c>
      <c r="D41" s="153">
        <f t="shared" si="4"/>
        <v>834.72148709588635</v>
      </c>
      <c r="E41" s="150">
        <f>C41*'Date Generale'!$D$58</f>
        <v>749.10159999999996</v>
      </c>
      <c r="F41" s="150">
        <f t="shared" ref="F41:F42" si="12">E41+C41</f>
        <v>4691.7415999999994</v>
      </c>
      <c r="G41" s="154">
        <f t="shared" si="6"/>
        <v>993.31856964410463</v>
      </c>
    </row>
    <row r="42" spans="1:17" ht="39" thickBot="1">
      <c r="A42" s="677"/>
      <c r="B42" s="167" t="s">
        <v>146</v>
      </c>
      <c r="C42" s="175">
        <v>56332</v>
      </c>
      <c r="D42" s="155">
        <f t="shared" si="4"/>
        <v>11926.4073846675</v>
      </c>
      <c r="E42" s="156">
        <f>C42*'Date Generale'!$D$58</f>
        <v>10703.08</v>
      </c>
      <c r="F42" s="156">
        <f t="shared" si="12"/>
        <v>67035.08</v>
      </c>
      <c r="G42" s="157">
        <f t="shared" si="6"/>
        <v>14192.424787754324</v>
      </c>
    </row>
    <row r="43" spans="1:17" ht="15.75" thickBot="1">
      <c r="A43" s="294"/>
      <c r="B43" s="295" t="s">
        <v>36</v>
      </c>
      <c r="C43" s="296">
        <f>SUM(C12,C14,C24,C35,C37,C40)</f>
        <v>186460.56</v>
      </c>
      <c r="D43" s="296">
        <f t="shared" ref="D43:G43" si="13">SUM(D12,D14,D24,D35,D37,D40)</f>
        <v>39476.755658120383</v>
      </c>
      <c r="E43" s="296">
        <f t="shared" si="13"/>
        <v>35427.506399999998</v>
      </c>
      <c r="F43" s="296">
        <f t="shared" si="13"/>
        <v>221888.06639999998</v>
      </c>
      <c r="G43" s="297">
        <f t="shared" si="13"/>
        <v>46977.339233163257</v>
      </c>
    </row>
    <row r="44" spans="1:17">
      <c r="A44" s="250"/>
      <c r="B44" s="251"/>
      <c r="C44" s="251"/>
      <c r="D44" s="251"/>
      <c r="E44" s="255"/>
      <c r="F44" s="257"/>
      <c r="G44" s="257"/>
    </row>
    <row r="45" spans="1:17">
      <c r="A45" s="250"/>
      <c r="B45" s="251"/>
      <c r="C45" s="251"/>
      <c r="D45" s="251"/>
      <c r="E45" s="255"/>
      <c r="F45" s="257"/>
      <c r="G45" s="257"/>
    </row>
    <row r="46" spans="1:17">
      <c r="A46" s="255"/>
      <c r="B46" s="256" t="s">
        <v>37</v>
      </c>
      <c r="C46" s="251"/>
      <c r="D46" s="298"/>
      <c r="E46" s="255"/>
      <c r="F46" s="257"/>
      <c r="G46" s="257"/>
    </row>
    <row r="47" spans="1:17">
      <c r="A47" s="255"/>
      <c r="B47" s="256" t="str">
        <f>'Date Generale'!$C$7</f>
        <v>S.C. Tehno Consoulting Solutions S.R.L.</v>
      </c>
      <c r="C47" s="299"/>
      <c r="D47" s="251"/>
      <c r="E47" s="255"/>
      <c r="F47" s="257"/>
      <c r="G47" s="257"/>
      <c r="M47" s="277"/>
      <c r="N47" s="277"/>
    </row>
    <row r="48" spans="1:17">
      <c r="A48" s="255"/>
      <c r="B48" s="251"/>
      <c r="C48" s="299"/>
      <c r="D48" s="251"/>
      <c r="E48" s="255"/>
      <c r="F48" s="257"/>
      <c r="G48" s="257"/>
    </row>
  </sheetData>
  <mergeCells count="16">
    <mergeCell ref="A40:A42"/>
    <mergeCell ref="A9:A10"/>
    <mergeCell ref="B9:B10"/>
    <mergeCell ref="A37:A39"/>
    <mergeCell ref="C9:D9"/>
    <mergeCell ref="A35:A36"/>
    <mergeCell ref="F9:G9"/>
    <mergeCell ref="M12:M18"/>
    <mergeCell ref="A14:A23"/>
    <mergeCell ref="A6:G6"/>
    <mergeCell ref="A12:A13"/>
    <mergeCell ref="P16:P17"/>
    <mergeCell ref="M19:M22"/>
    <mergeCell ref="A24:A34"/>
    <mergeCell ref="M24:M26"/>
    <mergeCell ref="M27:M30"/>
  </mergeCells>
  <pageMargins left="0.7" right="0.7" top="0.75" bottom="0.75" header="0.3" footer="0.3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zoomScaleNormal="100" zoomScaleSheetLayoutView="85" workbookViewId="0">
      <selection activeCell="C14" sqref="C14"/>
    </sheetView>
  </sheetViews>
  <sheetFormatPr defaultColWidth="9.140625" defaultRowHeight="15"/>
  <cols>
    <col min="1" max="1" width="6.5703125" style="237" customWidth="1"/>
    <col min="2" max="2" width="47" style="237" customWidth="1"/>
    <col min="3" max="6" width="13.5703125" style="237" bestFit="1" customWidth="1"/>
    <col min="7" max="7" width="15.28515625" style="237" bestFit="1" customWidth="1"/>
    <col min="8" max="16384" width="9.140625" style="237"/>
  </cols>
  <sheetData>
    <row r="1" spans="1:7" ht="15.75">
      <c r="A1" s="234"/>
      <c r="B1" s="235"/>
      <c r="C1" s="236"/>
      <c r="D1" s="236"/>
      <c r="E1" s="236"/>
      <c r="F1" s="236"/>
      <c r="G1" s="236"/>
    </row>
    <row r="2" spans="1:7" ht="15.75">
      <c r="A2" s="235" t="str">
        <f>"Beneficiar: " &amp;'Date Generale'!$C$6</f>
        <v xml:space="preserve">Beneficiar: Judetul Arges </v>
      </c>
      <c r="B2" s="235"/>
      <c r="C2" s="238"/>
      <c r="D2" s="238"/>
      <c r="E2" s="238"/>
      <c r="F2" s="238"/>
      <c r="G2" s="238"/>
    </row>
    <row r="3" spans="1:7" ht="30.75" customHeight="1">
      <c r="A3" s="664" t="str">
        <f>"Denumire proiect: " &amp; 'Date Generale'!$C$3</f>
        <v>Denumire proiect: Modernizare DJ 703B Serbanesti (DJ659) - Silistea, km 70+410 - 77+826, 7.416km, in comunele Rociu si Cateasca</v>
      </c>
      <c r="B3" s="664"/>
      <c r="C3" s="664"/>
      <c r="D3" s="664"/>
      <c r="E3" s="664"/>
      <c r="F3" s="664"/>
      <c r="G3" s="664"/>
    </row>
    <row r="4" spans="1:7" ht="15.75">
      <c r="A4" s="235"/>
      <c r="B4" s="234"/>
      <c r="C4" s="240"/>
      <c r="D4" s="240"/>
      <c r="E4" s="240"/>
      <c r="F4" s="240"/>
      <c r="G4" s="240"/>
    </row>
    <row r="5" spans="1:7" ht="15.75">
      <c r="A5" s="239"/>
      <c r="B5" s="234"/>
      <c r="C5" s="240"/>
      <c r="D5" s="240"/>
      <c r="E5" s="240"/>
      <c r="F5" s="240"/>
      <c r="G5" s="240"/>
    </row>
    <row r="6" spans="1:7">
      <c r="A6" s="665" t="s">
        <v>161</v>
      </c>
      <c r="B6" s="665"/>
      <c r="C6" s="665"/>
      <c r="D6" s="665"/>
      <c r="E6" s="665"/>
      <c r="F6" s="665"/>
      <c r="G6" s="665"/>
    </row>
    <row r="7" spans="1:7">
      <c r="A7" s="241"/>
      <c r="B7" s="241"/>
      <c r="C7" s="241"/>
      <c r="D7" s="241"/>
      <c r="E7" s="241"/>
      <c r="F7" s="241"/>
      <c r="G7" s="241"/>
    </row>
    <row r="8" spans="1:7" ht="15.75" thickBot="1">
      <c r="A8" s="241"/>
      <c r="B8" s="241"/>
      <c r="C8" s="241"/>
      <c r="D8" s="242" t="s">
        <v>2</v>
      </c>
      <c r="E8" s="194">
        <f>'Date Generale'!$C$54</f>
        <v>4.7233000000000001</v>
      </c>
      <c r="F8" s="195" t="s">
        <v>3</v>
      </c>
      <c r="G8" s="196" t="str">
        <f>'Date Generale'!$D$54</f>
        <v>21,06,2019</v>
      </c>
    </row>
    <row r="9" spans="1:7" ht="15.75" thickBot="1">
      <c r="A9" s="666" t="s">
        <v>136</v>
      </c>
      <c r="B9" s="670" t="s">
        <v>116</v>
      </c>
      <c r="C9" s="666" t="s">
        <v>160</v>
      </c>
      <c r="D9" s="666"/>
      <c r="E9" s="374" t="s">
        <v>7</v>
      </c>
      <c r="F9" s="666" t="s">
        <v>159</v>
      </c>
      <c r="G9" s="666"/>
    </row>
    <row r="10" spans="1:7" ht="15.75" thickBot="1">
      <c r="A10" s="666"/>
      <c r="B10" s="670"/>
      <c r="C10" s="375" t="s">
        <v>9</v>
      </c>
      <c r="D10" s="375" t="s">
        <v>10</v>
      </c>
      <c r="E10" s="375" t="s">
        <v>9</v>
      </c>
      <c r="F10" s="375" t="s">
        <v>9</v>
      </c>
      <c r="G10" s="375" t="s">
        <v>10</v>
      </c>
    </row>
    <row r="11" spans="1:7" ht="15.75" thickBot="1">
      <c r="A11" s="180">
        <v>1</v>
      </c>
      <c r="B11" s="181">
        <v>2</v>
      </c>
      <c r="C11" s="181">
        <v>3</v>
      </c>
      <c r="D11" s="181">
        <v>4</v>
      </c>
      <c r="E11" s="181">
        <v>7</v>
      </c>
      <c r="F11" s="181">
        <v>6</v>
      </c>
      <c r="G11" s="181">
        <v>7</v>
      </c>
    </row>
    <row r="12" spans="1:7">
      <c r="A12" s="667">
        <v>1</v>
      </c>
      <c r="B12" s="243" t="s">
        <v>162</v>
      </c>
      <c r="C12" s="178"/>
      <c r="D12" s="178"/>
      <c r="E12" s="178"/>
      <c r="F12" s="178"/>
      <c r="G12" s="179"/>
    </row>
    <row r="13" spans="1:7">
      <c r="A13" s="668"/>
      <c r="B13" s="170" t="s">
        <v>163</v>
      </c>
      <c r="C13" s="171">
        <f>SUM(C14:C15)</f>
        <v>152075.47</v>
      </c>
      <c r="D13" s="171">
        <f t="shared" ref="D13:G13" si="0">SUM(D14:D15)</f>
        <v>32196.868714669828</v>
      </c>
      <c r="E13" s="171">
        <f t="shared" si="0"/>
        <v>28894.3393</v>
      </c>
      <c r="F13" s="171">
        <f t="shared" si="0"/>
        <v>180969.80929999999</v>
      </c>
      <c r="G13" s="177">
        <f t="shared" si="0"/>
        <v>38314.27377045709</v>
      </c>
    </row>
    <row r="14" spans="1:7" ht="25.5">
      <c r="A14" s="668"/>
      <c r="B14" s="244" t="s">
        <v>164</v>
      </c>
      <c r="C14" s="176">
        <v>125250.47</v>
      </c>
      <c r="D14" s="176">
        <f>C14/$E$8</f>
        <v>26517.57669426037</v>
      </c>
      <c r="E14" s="176">
        <f>C14*'Date Generale'!$D$58</f>
        <v>23797.5893</v>
      </c>
      <c r="F14" s="176">
        <f>C14+E14</f>
        <v>149048.05929999999</v>
      </c>
      <c r="G14" s="245">
        <f>F14/$E$8</f>
        <v>31555.916266169836</v>
      </c>
    </row>
    <row r="15" spans="1:7">
      <c r="A15" s="668"/>
      <c r="B15" s="166" t="s">
        <v>165</v>
      </c>
      <c r="C15" s="176">
        <f>'Deviz General'!C41</f>
        <v>26825</v>
      </c>
      <c r="D15" s="176">
        <f>C15/$E$8</f>
        <v>5679.2920204094598</v>
      </c>
      <c r="E15" s="176">
        <f>C15*'Date Generale'!$D$58</f>
        <v>5096.75</v>
      </c>
      <c r="F15" s="176">
        <f>C15+E15</f>
        <v>31921.75</v>
      </c>
      <c r="G15" s="245">
        <f>F15/$E$8</f>
        <v>6758.3575042872571</v>
      </c>
    </row>
    <row r="16" spans="1:7">
      <c r="A16" s="668"/>
      <c r="B16" s="170" t="s">
        <v>166</v>
      </c>
      <c r="C16" s="172">
        <f>SUM(C17:C22)</f>
        <v>42421.786000000007</v>
      </c>
      <c r="D16" s="172">
        <f t="shared" ref="D16:G16" si="1">SUM(D17:D22)</f>
        <v>8981.3871657527579</v>
      </c>
      <c r="E16" s="172">
        <f t="shared" si="1"/>
        <v>8060.1393400000006</v>
      </c>
      <c r="F16" s="172">
        <f t="shared" si="1"/>
        <v>50481.925340000002</v>
      </c>
      <c r="G16" s="173">
        <f t="shared" si="1"/>
        <v>10687.850727245783</v>
      </c>
    </row>
    <row r="17" spans="1:7">
      <c r="A17" s="668"/>
      <c r="B17" s="166" t="s">
        <v>168</v>
      </c>
      <c r="C17" s="176">
        <v>0</v>
      </c>
      <c r="D17" s="176">
        <f t="shared" ref="D17:D23" si="2">C17/$E$8</f>
        <v>0</v>
      </c>
      <c r="E17" s="176">
        <f>C17*'Date Generale'!$D$58</f>
        <v>0</v>
      </c>
      <c r="F17" s="176">
        <f t="shared" ref="F17:F23" si="3">C17+E17</f>
        <v>0</v>
      </c>
      <c r="G17" s="245">
        <f t="shared" ref="G17:G23" si="4">F17/$E$8</f>
        <v>0</v>
      </c>
    </row>
    <row r="18" spans="1:7" ht="25.5">
      <c r="A18" s="668"/>
      <c r="B18" s="166" t="s">
        <v>167</v>
      </c>
      <c r="C18" s="176">
        <f>0.5%*'Deviz General'!C50</f>
        <v>19282.63</v>
      </c>
      <c r="D18" s="176">
        <f t="shared" si="2"/>
        <v>4082.4487117057993</v>
      </c>
      <c r="E18" s="176">
        <f>C18*'Date Generale'!$D$58</f>
        <v>3663.6997000000001</v>
      </c>
      <c r="F18" s="176">
        <f t="shared" si="3"/>
        <v>22946.329700000002</v>
      </c>
      <c r="G18" s="245">
        <f t="shared" si="4"/>
        <v>4858.1139669299009</v>
      </c>
    </row>
    <row r="19" spans="1:7" ht="38.25">
      <c r="A19" s="668"/>
      <c r="B19" s="166" t="s">
        <v>169</v>
      </c>
      <c r="C19" s="176">
        <f>0.1%*'Deviz General'!C50</f>
        <v>3856.5260000000003</v>
      </c>
      <c r="D19" s="176">
        <f t="shared" si="2"/>
        <v>816.48974234115985</v>
      </c>
      <c r="E19" s="176">
        <f>C19*'Date Generale'!$D$58</f>
        <v>732.73994000000005</v>
      </c>
      <c r="F19" s="176">
        <f t="shared" si="3"/>
        <v>4589.2659400000002</v>
      </c>
      <c r="G19" s="245">
        <f t="shared" si="4"/>
        <v>971.62279338598023</v>
      </c>
    </row>
    <row r="20" spans="1:7">
      <c r="A20" s="668"/>
      <c r="B20" s="166" t="s">
        <v>170</v>
      </c>
      <c r="C20" s="176">
        <v>0</v>
      </c>
      <c r="D20" s="176">
        <f t="shared" si="2"/>
        <v>0</v>
      </c>
      <c r="E20" s="176">
        <f>C20*'Date Generale'!$D$58</f>
        <v>0</v>
      </c>
      <c r="F20" s="176">
        <f t="shared" si="3"/>
        <v>0</v>
      </c>
      <c r="G20" s="245">
        <f t="shared" si="4"/>
        <v>0</v>
      </c>
    </row>
    <row r="21" spans="1:7" ht="25.5">
      <c r="A21" s="668"/>
      <c r="B21" s="166" t="s">
        <v>171</v>
      </c>
      <c r="C21" s="176"/>
      <c r="D21" s="176">
        <f t="shared" si="2"/>
        <v>0</v>
      </c>
      <c r="E21" s="176">
        <f>C21*'Date Generale'!$D$58</f>
        <v>0</v>
      </c>
      <c r="F21" s="176">
        <f t="shared" si="3"/>
        <v>0</v>
      </c>
      <c r="G21" s="245">
        <f t="shared" si="4"/>
        <v>0</v>
      </c>
    </row>
    <row r="22" spans="1:7">
      <c r="A22" s="668"/>
      <c r="B22" s="166" t="s">
        <v>172</v>
      </c>
      <c r="C22" s="176">
        <f>0.5%*'Deviz General'!C50</f>
        <v>19282.63</v>
      </c>
      <c r="D22" s="176">
        <f t="shared" si="2"/>
        <v>4082.4487117057993</v>
      </c>
      <c r="E22" s="176">
        <f>C22*'Date Generale'!$D$58</f>
        <v>3663.6997000000001</v>
      </c>
      <c r="F22" s="176">
        <f t="shared" si="3"/>
        <v>22946.329700000002</v>
      </c>
      <c r="G22" s="245">
        <f t="shared" si="4"/>
        <v>4858.1139669299009</v>
      </c>
    </row>
    <row r="23" spans="1:7" ht="15.75" thickBot="1">
      <c r="A23" s="679"/>
      <c r="B23" s="174" t="s">
        <v>425</v>
      </c>
      <c r="C23" s="168">
        <f>20%*('Deviz General'!$C$17+'Deviz General'!$C$18+'Deviz General'!$C$21+'Deviz General'!$C$29+'Deviz General'!$C$37)</f>
        <v>774311.71200000006</v>
      </c>
      <c r="D23" s="168">
        <f t="shared" si="2"/>
        <v>163934.47631952236</v>
      </c>
      <c r="E23" s="168">
        <f>C23*'Date Generale'!$D$58</f>
        <v>147119.22528000001</v>
      </c>
      <c r="F23" s="168">
        <f t="shared" si="3"/>
        <v>921430.93728000007</v>
      </c>
      <c r="G23" s="169">
        <f t="shared" si="4"/>
        <v>195082.02682023164</v>
      </c>
    </row>
    <row r="24" spans="1:7" ht="15.75" thickBot="1">
      <c r="A24" s="246"/>
      <c r="B24" s="247" t="s">
        <v>36</v>
      </c>
      <c r="C24" s="248">
        <f>SUM(C13,C16,C23)</f>
        <v>968808.96800000011</v>
      </c>
      <c r="D24" s="248">
        <f t="shared" ref="D24:G24" si="5">SUM(D13,D16,D23)</f>
        <v>205112.73219994496</v>
      </c>
      <c r="E24" s="248">
        <f t="shared" si="5"/>
        <v>184073.70392</v>
      </c>
      <c r="F24" s="248">
        <f t="shared" si="5"/>
        <v>1152882.6719200001</v>
      </c>
      <c r="G24" s="249">
        <f t="shared" si="5"/>
        <v>244084.15131793451</v>
      </c>
    </row>
    <row r="25" spans="1:7">
      <c r="A25" s="250"/>
      <c r="B25" s="251"/>
      <c r="C25" s="252"/>
      <c r="D25" s="253"/>
      <c r="E25" s="254"/>
      <c r="F25" s="254"/>
      <c r="G25" s="253"/>
    </row>
    <row r="26" spans="1:7">
      <c r="A26" s="250"/>
      <c r="B26" s="251"/>
      <c r="C26" s="252"/>
      <c r="D26" s="253"/>
      <c r="E26" s="254"/>
      <c r="F26" s="254"/>
      <c r="G26" s="253"/>
    </row>
    <row r="27" spans="1:7">
      <c r="A27" s="255"/>
      <c r="B27" s="256" t="s">
        <v>37</v>
      </c>
      <c r="C27" s="252"/>
      <c r="D27" s="253"/>
      <c r="E27" s="254"/>
      <c r="F27" s="254"/>
      <c r="G27" s="253"/>
    </row>
    <row r="28" spans="1:7">
      <c r="A28" s="255"/>
      <c r="B28" s="256" t="str">
        <f>'Date Generale'!$C$7</f>
        <v>S.C. Tehno Consoulting Solutions S.R.L.</v>
      </c>
      <c r="C28" s="161"/>
      <c r="D28" s="253"/>
      <c r="E28" s="254"/>
      <c r="F28" s="254"/>
      <c r="G28" s="253"/>
    </row>
    <row r="29" spans="1:7">
      <c r="A29" s="255"/>
      <c r="B29" s="251"/>
      <c r="C29" s="254"/>
      <c r="D29" s="251"/>
      <c r="E29" s="255"/>
      <c r="F29" s="257"/>
      <c r="G29" s="257"/>
    </row>
    <row r="30" spans="1:7">
      <c r="C30" s="254"/>
    </row>
    <row r="31" spans="1:7">
      <c r="C31" s="258"/>
    </row>
  </sheetData>
  <mergeCells count="7">
    <mergeCell ref="A3:G3"/>
    <mergeCell ref="A12:A23"/>
    <mergeCell ref="A6:G6"/>
    <mergeCell ref="A9:A10"/>
    <mergeCell ref="B9:B10"/>
    <mergeCell ref="C9:D9"/>
    <mergeCell ref="F9:G9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Date Generale</vt:lpstr>
      <vt:lpstr>grafic fizic</vt:lpstr>
      <vt:lpstr>grafic valoric</vt:lpstr>
      <vt:lpstr>Deviz General_Mii</vt:lpstr>
      <vt:lpstr>Deviz General</vt:lpstr>
      <vt:lpstr>Cap.1</vt:lpstr>
      <vt:lpstr>Cap.2</vt:lpstr>
      <vt:lpstr>Cap.3</vt:lpstr>
      <vt:lpstr>Cap.5</vt:lpstr>
      <vt:lpstr>Cap.4 Centraliz Obiecte</vt:lpstr>
      <vt:lpstr>Devize obiecte</vt:lpstr>
      <vt:lpstr>Devize obiecte evaluari</vt:lpstr>
      <vt:lpstr>Lista articole</vt:lpstr>
      <vt:lpstr>Sheet1</vt:lpstr>
      <vt:lpstr>Cap.1!Print_Area</vt:lpstr>
      <vt:lpstr>Cap.2!Print_Area</vt:lpstr>
      <vt:lpstr>Cap.3!Print_Area</vt:lpstr>
      <vt:lpstr>'Cap.4 Centraliz Obiecte'!Print_Area</vt:lpstr>
      <vt:lpstr>Cap.5!Print_Area</vt:lpstr>
      <vt:lpstr>'Deviz General'!Print_Area</vt:lpstr>
      <vt:lpstr>'Deviz General_Mii'!Print_Area</vt:lpstr>
      <vt:lpstr>'Devize obiecte'!Print_Area</vt:lpstr>
      <vt:lpstr>'Devize obiecte evaluari'!Print_Area</vt:lpstr>
      <vt:lpstr>'grafic fizic'!Print_Area</vt:lpstr>
      <vt:lpstr>'grafic valoric'!Print_Area</vt:lpstr>
      <vt:lpstr>'Lista articole'!Print_Area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2019-07-30T06:17:12Z</dcterms:modified>
</cp:coreProperties>
</file>