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165" yWindow="150" windowWidth="23955" windowHeight="9780"/>
  </bookViews>
  <sheets>
    <sheet name="ANEXA 1 FINAL " sheetId="7" r:id="rId1"/>
  </sheets>
  <definedNames>
    <definedName name="_xlnm.Print_Titles" localSheetId="0">'ANEXA 1 FINAL '!$8:$10</definedName>
  </definedNames>
  <calcPr calcId="125725"/>
</workbook>
</file>

<file path=xl/calcChain.xml><?xml version="1.0" encoding="utf-8"?>
<calcChain xmlns="http://schemas.openxmlformats.org/spreadsheetml/2006/main">
  <c r="G573" i="7"/>
  <c r="D573"/>
  <c r="H572"/>
  <c r="G572"/>
  <c r="F572"/>
  <c r="E572"/>
  <c r="D572"/>
  <c r="E566"/>
  <c r="D566"/>
  <c r="H561"/>
  <c r="G561"/>
  <c r="F561"/>
  <c r="D561"/>
  <c r="E561"/>
  <c r="G560"/>
  <c r="F560"/>
  <c r="E560"/>
  <c r="D560"/>
  <c r="H555"/>
  <c r="G555"/>
  <c r="F555"/>
  <c r="E555"/>
  <c r="D555"/>
  <c r="H554"/>
  <c r="G554"/>
  <c r="F554"/>
  <c r="E554"/>
  <c r="D554"/>
  <c r="E548"/>
  <c r="D549"/>
  <c r="D548"/>
  <c r="D84"/>
  <c r="H84"/>
  <c r="G84"/>
  <c r="F84"/>
  <c r="E84"/>
  <c r="D990"/>
  <c r="G990" l="1"/>
  <c r="F990"/>
  <c r="D34"/>
  <c r="G34"/>
  <c r="F34"/>
  <c r="D260"/>
  <c r="D361"/>
  <c r="F361"/>
  <c r="F260"/>
  <c r="L713"/>
  <c r="L714"/>
  <c r="L715"/>
  <c r="K715"/>
  <c r="K714" s="1"/>
  <c r="K713" s="1"/>
  <c r="E71"/>
  <c r="J71"/>
  <c r="A1069"/>
  <c r="A1070" s="1"/>
  <c r="A1071" s="1"/>
  <c r="A1072" s="1"/>
  <c r="A1073" s="1"/>
  <c r="A1074" s="1"/>
  <c r="A1075" s="1"/>
  <c r="A1076" s="1"/>
  <c r="A1077" s="1"/>
  <c r="A1078" s="1"/>
  <c r="A1079" s="1"/>
  <c r="A1080" s="1"/>
  <c r="A1081" s="1"/>
  <c r="A1068"/>
  <c r="D525" l="1"/>
  <c r="I1010"/>
  <c r="I1011"/>
  <c r="I1012"/>
  <c r="I1013"/>
  <c r="I1014"/>
  <c r="I1015"/>
  <c r="I1016"/>
  <c r="F525"/>
  <c r="L261"/>
  <c r="K261"/>
  <c r="J261"/>
  <c r="L741"/>
  <c r="K741"/>
  <c r="J741"/>
  <c r="L630"/>
  <c r="L629" s="1"/>
  <c r="K630"/>
  <c r="K629" s="1"/>
  <c r="J630"/>
  <c r="J629" s="1"/>
  <c r="I629"/>
  <c r="C1066"/>
  <c r="E929" l="1"/>
  <c r="E928" s="1"/>
  <c r="E912" s="1"/>
  <c r="F929"/>
  <c r="G929"/>
  <c r="G928" s="1"/>
  <c r="H929"/>
  <c r="H928" s="1"/>
  <c r="H912" s="1"/>
  <c r="I929"/>
  <c r="I928" s="1"/>
  <c r="J929"/>
  <c r="J928" s="1"/>
  <c r="J912" s="1"/>
  <c r="K929"/>
  <c r="K928" s="1"/>
  <c r="K927" s="1"/>
  <c r="L929"/>
  <c r="L928" s="1"/>
  <c r="L927" s="1"/>
  <c r="D929"/>
  <c r="D928" s="1"/>
  <c r="D927" s="1"/>
  <c r="F928"/>
  <c r="F927" s="1"/>
  <c r="F911" s="1"/>
  <c r="F913"/>
  <c r="G913"/>
  <c r="H913"/>
  <c r="I913"/>
  <c r="J913"/>
  <c r="K913"/>
  <c r="L913"/>
  <c r="E914"/>
  <c r="F914"/>
  <c r="G914"/>
  <c r="H914"/>
  <c r="I914"/>
  <c r="J914"/>
  <c r="K914"/>
  <c r="L914"/>
  <c r="D914"/>
  <c r="F912" l="1"/>
  <c r="E913"/>
  <c r="G912"/>
  <c r="G927"/>
  <c r="G911" s="1"/>
  <c r="I912"/>
  <c r="I927"/>
  <c r="K912"/>
  <c r="L912"/>
  <c r="E927"/>
  <c r="E911" s="1"/>
  <c r="J927"/>
  <c r="D913"/>
  <c r="H927"/>
  <c r="H911" s="1"/>
  <c r="D912"/>
  <c r="D622" l="1"/>
  <c r="D620"/>
  <c r="F622"/>
  <c r="F620"/>
  <c r="D93"/>
  <c r="F93"/>
  <c r="E990" l="1"/>
  <c r="C1152"/>
  <c r="D97" l="1"/>
  <c r="E744"/>
  <c r="E743" s="1"/>
  <c r="E742" s="1"/>
  <c r="F744"/>
  <c r="F743" s="1"/>
  <c r="F742" s="1"/>
  <c r="G744"/>
  <c r="G743" s="1"/>
  <c r="G742" s="1"/>
  <c r="H744"/>
  <c r="H743" s="1"/>
  <c r="H742" s="1"/>
  <c r="I744"/>
  <c r="J744"/>
  <c r="J743" s="1"/>
  <c r="J742" s="1"/>
  <c r="K744"/>
  <c r="K743" s="1"/>
  <c r="K742" s="1"/>
  <c r="L744"/>
  <c r="L743" s="1"/>
  <c r="L742" s="1"/>
  <c r="D744"/>
  <c r="D743" s="1"/>
  <c r="D742" s="1"/>
  <c r="I743"/>
  <c r="I742" s="1"/>
  <c r="C1029"/>
  <c r="C1210"/>
  <c r="E276"/>
  <c r="F276"/>
  <c r="G276"/>
  <c r="H276"/>
  <c r="J276"/>
  <c r="K276"/>
  <c r="L276"/>
  <c r="E275"/>
  <c r="E97" s="1"/>
  <c r="F275"/>
  <c r="F97" s="1"/>
  <c r="G275"/>
  <c r="G97" s="1"/>
  <c r="H275"/>
  <c r="H97" s="1"/>
  <c r="J275"/>
  <c r="J97" s="1"/>
  <c r="D275"/>
  <c r="E274"/>
  <c r="F274"/>
  <c r="G274"/>
  <c r="H274"/>
  <c r="J274"/>
  <c r="K274"/>
  <c r="L274"/>
  <c r="D274"/>
  <c r="E353"/>
  <c r="E352" s="1"/>
  <c r="E351" s="1"/>
  <c r="F353"/>
  <c r="F352" s="1"/>
  <c r="F351" s="1"/>
  <c r="G353"/>
  <c r="G352" s="1"/>
  <c r="G351" s="1"/>
  <c r="H353"/>
  <c r="H352" s="1"/>
  <c r="H351" s="1"/>
  <c r="J353"/>
  <c r="J352" s="1"/>
  <c r="J351" s="1"/>
  <c r="K353"/>
  <c r="K352" s="1"/>
  <c r="K351" s="1"/>
  <c r="L353"/>
  <c r="L352" s="1"/>
  <c r="L351" s="1"/>
  <c r="D353"/>
  <c r="D352" s="1"/>
  <c r="D351" s="1"/>
  <c r="E1012"/>
  <c r="E1011" s="1"/>
  <c r="E1010" s="1"/>
  <c r="F1012"/>
  <c r="F1011" s="1"/>
  <c r="F1010" s="1"/>
  <c r="G1012"/>
  <c r="G1011" s="1"/>
  <c r="G1010" s="1"/>
  <c r="H1012"/>
  <c r="H1011" s="1"/>
  <c r="H1010" s="1"/>
  <c r="J1012"/>
  <c r="K1012"/>
  <c r="K1011" s="1"/>
  <c r="K1010" s="1"/>
  <c r="L1012"/>
  <c r="L1011" s="1"/>
  <c r="L1010" s="1"/>
  <c r="D1012"/>
  <c r="D1011" s="1"/>
  <c r="D1010" s="1"/>
  <c r="J1011"/>
  <c r="J1010" s="1"/>
  <c r="C1011"/>
  <c r="C1010" s="1"/>
  <c r="A1232"/>
  <c r="A1233" s="1"/>
  <c r="A1234" s="1"/>
  <c r="A1235" s="1"/>
  <c r="A1236" s="1"/>
  <c r="A1237" s="1"/>
  <c r="C1246"/>
  <c r="C1245"/>
  <c r="C1238"/>
  <c r="C1229"/>
  <c r="C1223"/>
  <c r="C1213"/>
  <c r="C1207"/>
  <c r="C1202"/>
  <c r="C1201" s="1"/>
  <c r="C1200" s="1"/>
  <c r="C1197"/>
  <c r="C1196"/>
  <c r="C1182"/>
  <c r="C1181" s="1"/>
  <c r="C1179"/>
  <c r="C1178" s="1"/>
  <c r="C1176"/>
  <c r="C1173"/>
  <c r="C1172" s="1"/>
  <c r="C1170"/>
  <c r="C1169" s="1"/>
  <c r="C1164"/>
  <c r="C1163" s="1"/>
  <c r="C1161"/>
  <c r="C1160" s="1"/>
  <c r="C1147"/>
  <c r="C1143"/>
  <c r="C1142"/>
  <c r="C1139"/>
  <c r="C1138" s="1"/>
  <c r="C1136"/>
  <c r="C1134"/>
  <c r="C1131"/>
  <c r="C1130" s="1"/>
  <c r="C1120"/>
  <c r="C1119"/>
  <c r="C1114"/>
  <c r="C1113" s="1"/>
  <c r="C1110"/>
  <c r="C1109" s="1"/>
  <c r="C1107"/>
  <c r="C1106" s="1"/>
  <c r="C1104"/>
  <c r="C1103" s="1"/>
  <c r="C1094"/>
  <c r="C1093" s="1"/>
  <c r="C1083"/>
  <c r="C1082" s="1"/>
  <c r="C1065"/>
  <c r="C1062"/>
  <c r="C1061"/>
  <c r="C1060" s="1"/>
  <c r="C1058"/>
  <c r="C1056" s="1"/>
  <c r="C1042"/>
  <c r="C1040"/>
  <c r="C1064" l="1"/>
  <c r="C1146"/>
  <c r="C1145" s="1"/>
  <c r="C1133"/>
  <c r="C1129" s="1"/>
  <c r="C1028"/>
  <c r="C1209"/>
  <c r="C1057"/>
  <c r="C1248" l="1"/>
  <c r="C1024" s="1"/>
  <c r="E261" l="1"/>
  <c r="D261"/>
  <c r="H794"/>
  <c r="G794"/>
  <c r="H990"/>
  <c r="H261"/>
  <c r="G261"/>
  <c r="F261"/>
  <c r="D704"/>
  <c r="D654" l="1"/>
  <c r="F654"/>
  <c r="G654"/>
  <c r="E704" l="1"/>
  <c r="E686"/>
  <c r="D686"/>
  <c r="E60"/>
  <c r="D60"/>
  <c r="I41"/>
  <c r="D50"/>
  <c r="D41"/>
  <c r="L687" l="1"/>
  <c r="K687"/>
  <c r="J687"/>
  <c r="L686"/>
  <c r="K686"/>
  <c r="J686"/>
  <c r="K793"/>
  <c r="L758"/>
  <c r="H14"/>
  <c r="H654"/>
  <c r="E654"/>
  <c r="F467"/>
  <c r="E467"/>
  <c r="H491"/>
  <c r="E158"/>
  <c r="E156" s="1"/>
  <c r="F158"/>
  <c r="G158"/>
  <c r="H158"/>
  <c r="H156" s="1"/>
  <c r="E157"/>
  <c r="F157"/>
  <c r="G157"/>
  <c r="H157"/>
  <c r="E155"/>
  <c r="F155"/>
  <c r="G155"/>
  <c r="G154" s="1"/>
  <c r="H155"/>
  <c r="H154" s="1"/>
  <c r="E154"/>
  <c r="F154"/>
  <c r="E67"/>
  <c r="F67"/>
  <c r="G67"/>
  <c r="H67"/>
  <c r="D67"/>
  <c r="E64"/>
  <c r="F64"/>
  <c r="G64"/>
  <c r="H64"/>
  <c r="D59"/>
  <c r="E54"/>
  <c r="F54"/>
  <c r="G54"/>
  <c r="H54"/>
  <c r="E49"/>
  <c r="F49"/>
  <c r="G49"/>
  <c r="H49"/>
  <c r="E47"/>
  <c r="E42" s="1"/>
  <c r="F47"/>
  <c r="F42" s="1"/>
  <c r="G47"/>
  <c r="G42" s="1"/>
  <c r="H47"/>
  <c r="H42" s="1"/>
  <c r="E29"/>
  <c r="F29"/>
  <c r="G29"/>
  <c r="H29"/>
  <c r="E24"/>
  <c r="F24"/>
  <c r="G24"/>
  <c r="H24"/>
  <c r="E14"/>
  <c r="F14"/>
  <c r="G14"/>
  <c r="E38"/>
  <c r="F38"/>
  <c r="G38"/>
  <c r="H38"/>
  <c r="F156" l="1"/>
  <c r="G156"/>
  <c r="E196" l="1"/>
  <c r="F196"/>
  <c r="G196"/>
  <c r="H196"/>
  <c r="E194"/>
  <c r="F194"/>
  <c r="G194"/>
  <c r="H194"/>
  <c r="E191"/>
  <c r="F191"/>
  <c r="G191"/>
  <c r="H191"/>
  <c r="E173"/>
  <c r="F173"/>
  <c r="G173"/>
  <c r="H173"/>
  <c r="E172"/>
  <c r="F172"/>
  <c r="G172"/>
  <c r="H172"/>
  <c r="E160"/>
  <c r="F160"/>
  <c r="G160"/>
  <c r="H160"/>
  <c r="E150"/>
  <c r="F150"/>
  <c r="G150"/>
  <c r="H150"/>
  <c r="E145"/>
  <c r="F145"/>
  <c r="G145"/>
  <c r="H145"/>
  <c r="E142"/>
  <c r="F142"/>
  <c r="G142"/>
  <c r="H142"/>
  <c r="E141"/>
  <c r="F141"/>
  <c r="G141"/>
  <c r="H141"/>
  <c r="E140"/>
  <c r="F140"/>
  <c r="G140"/>
  <c r="H140"/>
  <c r="E139"/>
  <c r="F139"/>
  <c r="G139"/>
  <c r="H139"/>
  <c r="E136"/>
  <c r="F136"/>
  <c r="G136"/>
  <c r="H136"/>
  <c r="E135"/>
  <c r="F135"/>
  <c r="G135"/>
  <c r="H135"/>
  <c r="E133"/>
  <c r="F133"/>
  <c r="G133"/>
  <c r="H133"/>
  <c r="E132"/>
  <c r="F132"/>
  <c r="G132"/>
  <c r="H132"/>
  <c r="E131"/>
  <c r="F131"/>
  <c r="G131"/>
  <c r="H131"/>
  <c r="E130"/>
  <c r="F130"/>
  <c r="G130"/>
  <c r="H130"/>
  <c r="E129"/>
  <c r="F129"/>
  <c r="G129"/>
  <c r="H129"/>
  <c r="E126"/>
  <c r="F126"/>
  <c r="G126"/>
  <c r="H126"/>
  <c r="E125"/>
  <c r="F125"/>
  <c r="G125"/>
  <c r="H125"/>
  <c r="E124"/>
  <c r="F124"/>
  <c r="G124"/>
  <c r="H124"/>
  <c r="E121"/>
  <c r="F121"/>
  <c r="G121"/>
  <c r="H121"/>
  <c r="E120"/>
  <c r="F120"/>
  <c r="G120"/>
  <c r="H120"/>
  <c r="E112"/>
  <c r="F112"/>
  <c r="G112"/>
  <c r="H112"/>
  <c r="E73"/>
  <c r="F73"/>
  <c r="G73"/>
  <c r="H73"/>
  <c r="E59"/>
  <c r="F59"/>
  <c r="G59"/>
  <c r="H59"/>
  <c r="E56"/>
  <c r="F56"/>
  <c r="F37" s="1"/>
  <c r="G56"/>
  <c r="G37" s="1"/>
  <c r="H56"/>
  <c r="H37" s="1"/>
  <c r="H119" l="1"/>
  <c r="E37"/>
  <c r="E138"/>
  <c r="F138"/>
  <c r="G138"/>
  <c r="H138"/>
  <c r="E119"/>
  <c r="F119"/>
  <c r="G119"/>
  <c r="E12"/>
  <c r="E118" s="1"/>
  <c r="E117" s="1"/>
  <c r="F12"/>
  <c r="F118" s="1"/>
  <c r="F117" s="1"/>
  <c r="G12"/>
  <c r="G118" s="1"/>
  <c r="G117" s="1"/>
  <c r="H12"/>
  <c r="H118" s="1"/>
  <c r="H117" s="1"/>
  <c r="H256"/>
  <c r="H254"/>
  <c r="H253"/>
  <c r="H252"/>
  <c r="H251"/>
  <c r="H249"/>
  <c r="H247"/>
  <c r="H246"/>
  <c r="H245"/>
  <c r="H222" s="1"/>
  <c r="H243"/>
  <c r="H220" s="1"/>
  <c r="H241"/>
  <c r="H240"/>
  <c r="G256"/>
  <c r="G254"/>
  <c r="G253"/>
  <c r="G252"/>
  <c r="G251"/>
  <c r="G249"/>
  <c r="G247"/>
  <c r="G246"/>
  <c r="G245"/>
  <c r="G222" s="1"/>
  <c r="G243"/>
  <c r="G220" s="1"/>
  <c r="G241"/>
  <c r="G240"/>
  <c r="F256"/>
  <c r="F254"/>
  <c r="F253"/>
  <c r="F252"/>
  <c r="F251"/>
  <c r="F249"/>
  <c r="F247"/>
  <c r="F246"/>
  <c r="F245"/>
  <c r="F222" s="1"/>
  <c r="F243"/>
  <c r="F220" s="1"/>
  <c r="F241"/>
  <c r="F240"/>
  <c r="E256"/>
  <c r="E254"/>
  <c r="E253"/>
  <c r="E252"/>
  <c r="E251"/>
  <c r="E249"/>
  <c r="E247"/>
  <c r="E246"/>
  <c r="E245"/>
  <c r="E222" s="1"/>
  <c r="E243"/>
  <c r="E220" s="1"/>
  <c r="E241"/>
  <c r="E240"/>
  <c r="E259"/>
  <c r="F259"/>
  <c r="F258" s="1"/>
  <c r="G259"/>
  <c r="H259"/>
  <c r="E299"/>
  <c r="F299"/>
  <c r="G299"/>
  <c r="H299"/>
  <c r="J299"/>
  <c r="E305"/>
  <c r="E304" s="1"/>
  <c r="E303" s="1"/>
  <c r="F305"/>
  <c r="F304" s="1"/>
  <c r="F303" s="1"/>
  <c r="G305"/>
  <c r="G304" s="1"/>
  <c r="G303" s="1"/>
  <c r="H305"/>
  <c r="H304" s="1"/>
  <c r="H303" s="1"/>
  <c r="E309"/>
  <c r="E311"/>
  <c r="E310" s="1"/>
  <c r="F311"/>
  <c r="F310" s="1"/>
  <c r="F309" s="1"/>
  <c r="G311"/>
  <c r="G310" s="1"/>
  <c r="G309" s="1"/>
  <c r="H311"/>
  <c r="H310" s="1"/>
  <c r="H309" s="1"/>
  <c r="F316"/>
  <c r="F315" s="1"/>
  <c r="G316"/>
  <c r="G315" s="1"/>
  <c r="E317"/>
  <c r="E316" s="1"/>
  <c r="E315" s="1"/>
  <c r="F317"/>
  <c r="G317"/>
  <c r="H317"/>
  <c r="H316" s="1"/>
  <c r="H315" s="1"/>
  <c r="E322"/>
  <c r="E321" s="1"/>
  <c r="E323"/>
  <c r="F323"/>
  <c r="F322" s="1"/>
  <c r="F321" s="1"/>
  <c r="G323"/>
  <c r="G322" s="1"/>
  <c r="G321" s="1"/>
  <c r="H323"/>
  <c r="H322" s="1"/>
  <c r="H321" s="1"/>
  <c r="G328"/>
  <c r="G327" s="1"/>
  <c r="E329"/>
  <c r="E328" s="1"/>
  <c r="E327" s="1"/>
  <c r="F329"/>
  <c r="F328" s="1"/>
  <c r="F327" s="1"/>
  <c r="G329"/>
  <c r="H329"/>
  <c r="H328" s="1"/>
  <c r="H327" s="1"/>
  <c r="E335"/>
  <c r="E334" s="1"/>
  <c r="E333" s="1"/>
  <c r="F335"/>
  <c r="F334" s="1"/>
  <c r="F333" s="1"/>
  <c r="G335"/>
  <c r="G334" s="1"/>
  <c r="G333" s="1"/>
  <c r="H335"/>
  <c r="H334" s="1"/>
  <c r="H333" s="1"/>
  <c r="E340"/>
  <c r="E339" s="1"/>
  <c r="F340"/>
  <c r="F339" s="1"/>
  <c r="E341"/>
  <c r="F341"/>
  <c r="G341"/>
  <c r="G340" s="1"/>
  <c r="G339" s="1"/>
  <c r="H341"/>
  <c r="H340" s="1"/>
  <c r="H339" s="1"/>
  <c r="H360"/>
  <c r="H359" s="1"/>
  <c r="H358" s="1"/>
  <c r="G360"/>
  <c r="G359" s="1"/>
  <c r="G358" s="1"/>
  <c r="F360"/>
  <c r="F359" s="1"/>
  <c r="F358" s="1"/>
  <c r="E360"/>
  <c r="E359" s="1"/>
  <c r="E358" s="1"/>
  <c r="E368"/>
  <c r="F368"/>
  <c r="G368"/>
  <c r="H368"/>
  <c r="H365"/>
  <c r="H364" s="1"/>
  <c r="H363" s="1"/>
  <c r="G365"/>
  <c r="G364" s="1"/>
  <c r="G363" s="1"/>
  <c r="F365"/>
  <c r="F364" s="1"/>
  <c r="F363" s="1"/>
  <c r="E365"/>
  <c r="E364" s="1"/>
  <c r="E363" s="1"/>
  <c r="E373"/>
  <c r="E372" s="1"/>
  <c r="E371" s="1"/>
  <c r="E370" s="1"/>
  <c r="F373"/>
  <c r="F372" s="1"/>
  <c r="F248" s="1"/>
  <c r="F225" s="1"/>
  <c r="G373"/>
  <c r="G372" s="1"/>
  <c r="G248" s="1"/>
  <c r="G225" s="1"/>
  <c r="H373"/>
  <c r="H372" s="1"/>
  <c r="E386"/>
  <c r="E384" s="1"/>
  <c r="E388"/>
  <c r="E242" s="1"/>
  <c r="E219" s="1"/>
  <c r="F388"/>
  <c r="F242" s="1"/>
  <c r="F219" s="1"/>
  <c r="G388"/>
  <c r="G242" s="1"/>
  <c r="G219" s="1"/>
  <c r="H388"/>
  <c r="H386" s="1"/>
  <c r="H416"/>
  <c r="H415" s="1"/>
  <c r="H411"/>
  <c r="H409" s="1"/>
  <c r="H405"/>
  <c r="H404" s="1"/>
  <c r="H402"/>
  <c r="H401" s="1"/>
  <c r="H396"/>
  <c r="H395"/>
  <c r="H394"/>
  <c r="G416"/>
  <c r="G415" s="1"/>
  <c r="G411"/>
  <c r="G409" s="1"/>
  <c r="G405"/>
  <c r="G404" s="1"/>
  <c r="G395"/>
  <c r="G396"/>
  <c r="G394"/>
  <c r="F416"/>
  <c r="F415" s="1"/>
  <c r="F411"/>
  <c r="F409" s="1"/>
  <c r="F405"/>
  <c r="F398" s="1"/>
  <c r="F395"/>
  <c r="F396"/>
  <c r="F394"/>
  <c r="E416"/>
  <c r="E415" s="1"/>
  <c r="E411"/>
  <c r="E409" s="1"/>
  <c r="E405"/>
  <c r="E398" s="1"/>
  <c r="E402"/>
  <c r="E396"/>
  <c r="E395"/>
  <c r="E394"/>
  <c r="E420"/>
  <c r="F420"/>
  <c r="G420"/>
  <c r="H420"/>
  <c r="H514"/>
  <c r="H508"/>
  <c r="H507" s="1"/>
  <c r="H504"/>
  <c r="H498"/>
  <c r="H497" s="1"/>
  <c r="H494"/>
  <c r="H488"/>
  <c r="H487" s="1"/>
  <c r="H484"/>
  <c r="H479"/>
  <c r="H478" s="1"/>
  <c r="H472"/>
  <c r="H471" s="1"/>
  <c r="H464"/>
  <c r="H461"/>
  <c r="H451" s="1"/>
  <c r="H458"/>
  <c r="H447" s="1"/>
  <c r="H457"/>
  <c r="H445" s="1"/>
  <c r="H456"/>
  <c r="H455"/>
  <c r="H444" s="1"/>
  <c r="H448"/>
  <c r="H432" s="1"/>
  <c r="H226" s="1"/>
  <c r="H446"/>
  <c r="H437"/>
  <c r="H435"/>
  <c r="H230" s="1"/>
  <c r="H434"/>
  <c r="G514"/>
  <c r="G508"/>
  <c r="G507" s="1"/>
  <c r="G504"/>
  <c r="G498"/>
  <c r="G497" s="1"/>
  <c r="G494"/>
  <c r="G488"/>
  <c r="G487" s="1"/>
  <c r="G484"/>
  <c r="G479"/>
  <c r="G478" s="1"/>
  <c r="G472"/>
  <c r="G460" s="1"/>
  <c r="G450" s="1"/>
  <c r="G464"/>
  <c r="G463" s="1"/>
  <c r="G461"/>
  <c r="G451" s="1"/>
  <c r="G458"/>
  <c r="G447" s="1"/>
  <c r="G457"/>
  <c r="G445" s="1"/>
  <c r="G456"/>
  <c r="G455"/>
  <c r="G444" s="1"/>
  <c r="G448"/>
  <c r="G432" s="1"/>
  <c r="G446"/>
  <c r="G437"/>
  <c r="G435"/>
  <c r="G230" s="1"/>
  <c r="G434"/>
  <c r="G229" s="1"/>
  <c r="F514"/>
  <c r="F508"/>
  <c r="F507" s="1"/>
  <c r="F504"/>
  <c r="F498"/>
  <c r="F497" s="1"/>
  <c r="F494"/>
  <c r="F488"/>
  <c r="F487" s="1"/>
  <c r="F484"/>
  <c r="F479"/>
  <c r="F478" s="1"/>
  <c r="F472"/>
  <c r="F471" s="1"/>
  <c r="F464"/>
  <c r="F463" s="1"/>
  <c r="F461"/>
  <c r="F451" s="1"/>
  <c r="F458"/>
  <c r="F447" s="1"/>
  <c r="F457"/>
  <c r="F445" s="1"/>
  <c r="F456"/>
  <c r="F455"/>
  <c r="F444" s="1"/>
  <c r="F448"/>
  <c r="F432" s="1"/>
  <c r="F226" s="1"/>
  <c r="F446"/>
  <c r="F437"/>
  <c r="F435"/>
  <c r="F230" s="1"/>
  <c r="F434"/>
  <c r="F229" s="1"/>
  <c r="E514"/>
  <c r="E508"/>
  <c r="E507" s="1"/>
  <c r="E504"/>
  <c r="E498"/>
  <c r="E497" s="1"/>
  <c r="E494"/>
  <c r="E488"/>
  <c r="E487" s="1"/>
  <c r="E484"/>
  <c r="E479"/>
  <c r="E478" s="1"/>
  <c r="E472"/>
  <c r="E471" s="1"/>
  <c r="E464"/>
  <c r="E463" s="1"/>
  <c r="E461"/>
  <c r="E451" s="1"/>
  <c r="E458"/>
  <c r="E457"/>
  <c r="E445" s="1"/>
  <c r="E456"/>
  <c r="E455"/>
  <c r="E444" s="1"/>
  <c r="E448"/>
  <c r="E432" s="1"/>
  <c r="E226" s="1"/>
  <c r="E446"/>
  <c r="E437"/>
  <c r="E435"/>
  <c r="E230" s="1"/>
  <c r="E434"/>
  <c r="E229" s="1"/>
  <c r="H518"/>
  <c r="H517" s="1"/>
  <c r="H516" s="1"/>
  <c r="H22" s="1"/>
  <c r="G518"/>
  <c r="G517" s="1"/>
  <c r="G516" s="1"/>
  <c r="G22" s="1"/>
  <c r="F518"/>
  <c r="F517" s="1"/>
  <c r="F516" s="1"/>
  <c r="F22" s="1"/>
  <c r="H524"/>
  <c r="H523" s="1"/>
  <c r="H522" s="1"/>
  <c r="G524"/>
  <c r="G523" s="1"/>
  <c r="G522" s="1"/>
  <c r="F524"/>
  <c r="F523" s="1"/>
  <c r="F522" s="1"/>
  <c r="E524"/>
  <c r="E523" s="1"/>
  <c r="E522" s="1"/>
  <c r="H566"/>
  <c r="H565" s="1"/>
  <c r="H564" s="1"/>
  <c r="H563" s="1"/>
  <c r="H562" s="1"/>
  <c r="H571"/>
  <c r="H559"/>
  <c r="H558" s="1"/>
  <c r="H557" s="1"/>
  <c r="H556" s="1"/>
  <c r="H553"/>
  <c r="H552" s="1"/>
  <c r="H551" s="1"/>
  <c r="H550" s="1"/>
  <c r="H547"/>
  <c r="H546" s="1"/>
  <c r="H537"/>
  <c r="H535"/>
  <c r="H534" s="1"/>
  <c r="H533" s="1"/>
  <c r="G571"/>
  <c r="G565"/>
  <c r="G564" s="1"/>
  <c r="G563" s="1"/>
  <c r="G562" s="1"/>
  <c r="G559"/>
  <c r="G558" s="1"/>
  <c r="G557" s="1"/>
  <c r="G556" s="1"/>
  <c r="G553"/>
  <c r="G552" s="1"/>
  <c r="G551" s="1"/>
  <c r="G550" s="1"/>
  <c r="G547"/>
  <c r="G546" s="1"/>
  <c r="G537"/>
  <c r="G535"/>
  <c r="G534" s="1"/>
  <c r="G533" s="1"/>
  <c r="F571"/>
  <c r="F570" s="1"/>
  <c r="F569" s="1"/>
  <c r="F568" s="1"/>
  <c r="F565"/>
  <c r="F564" s="1"/>
  <c r="F563" s="1"/>
  <c r="F562" s="1"/>
  <c r="F559"/>
  <c r="F558" s="1"/>
  <c r="F557" s="1"/>
  <c r="F556" s="1"/>
  <c r="F553"/>
  <c r="F552" s="1"/>
  <c r="F551" s="1"/>
  <c r="F550" s="1"/>
  <c r="F547"/>
  <c r="F546" s="1"/>
  <c r="F537"/>
  <c r="F535"/>
  <c r="F534" s="1"/>
  <c r="F533" s="1"/>
  <c r="E571"/>
  <c r="E570" s="1"/>
  <c r="E569" s="1"/>
  <c r="E568" s="1"/>
  <c r="E565"/>
  <c r="E564" s="1"/>
  <c r="E563" s="1"/>
  <c r="E562" s="1"/>
  <c r="E559"/>
  <c r="E558" s="1"/>
  <c r="E557" s="1"/>
  <c r="E556" s="1"/>
  <c r="E553"/>
  <c r="E552" s="1"/>
  <c r="E551" s="1"/>
  <c r="E550" s="1"/>
  <c r="E547"/>
  <c r="E546" s="1"/>
  <c r="E537"/>
  <c r="E535"/>
  <c r="E534" s="1"/>
  <c r="E533" s="1"/>
  <c r="H588"/>
  <c r="H583"/>
  <c r="H582"/>
  <c r="H580"/>
  <c r="H579"/>
  <c r="H577"/>
  <c r="G588"/>
  <c r="G583"/>
  <c r="G582"/>
  <c r="G580"/>
  <c r="G579"/>
  <c r="G577"/>
  <c r="F588"/>
  <c r="F587" s="1"/>
  <c r="F583"/>
  <c r="F582"/>
  <c r="F580"/>
  <c r="F579"/>
  <c r="F577"/>
  <c r="E588"/>
  <c r="E583"/>
  <c r="E582"/>
  <c r="E580"/>
  <c r="E579"/>
  <c r="E577"/>
  <c r="E593"/>
  <c r="F593"/>
  <c r="G593"/>
  <c r="H593"/>
  <c r="H599"/>
  <c r="H598" s="1"/>
  <c r="H597" s="1"/>
  <c r="H596" s="1"/>
  <c r="G599"/>
  <c r="G598" s="1"/>
  <c r="G597" s="1"/>
  <c r="G596" s="1"/>
  <c r="F599"/>
  <c r="F598" s="1"/>
  <c r="F597" s="1"/>
  <c r="F596" s="1"/>
  <c r="E599"/>
  <c r="E598" s="1"/>
  <c r="E597" s="1"/>
  <c r="E596" s="1"/>
  <c r="H612"/>
  <c r="H584" s="1"/>
  <c r="G612"/>
  <c r="G611" s="1"/>
  <c r="G610" s="1"/>
  <c r="F612"/>
  <c r="F611" s="1"/>
  <c r="F610" s="1"/>
  <c r="E612"/>
  <c r="E611" s="1"/>
  <c r="E610" s="1"/>
  <c r="E623"/>
  <c r="F623"/>
  <c r="G623"/>
  <c r="H623"/>
  <c r="H619"/>
  <c r="H618" s="1"/>
  <c r="H617" s="1"/>
  <c r="G619"/>
  <c r="G618" s="1"/>
  <c r="G617" s="1"/>
  <c r="F619"/>
  <c r="F618" s="1"/>
  <c r="F617" s="1"/>
  <c r="E619"/>
  <c r="E618" s="1"/>
  <c r="E617" s="1"/>
  <c r="H629"/>
  <c r="H628" s="1"/>
  <c r="H627" s="1"/>
  <c r="H626" s="1"/>
  <c r="G629"/>
  <c r="G628" s="1"/>
  <c r="G627" s="1"/>
  <c r="G626" s="1"/>
  <c r="F629"/>
  <c r="F628" s="1"/>
  <c r="F627" s="1"/>
  <c r="F626" s="1"/>
  <c r="E629"/>
  <c r="E628" s="1"/>
  <c r="E627" s="1"/>
  <c r="E626" s="1"/>
  <c r="H638"/>
  <c r="H637" s="1"/>
  <c r="H636" s="1"/>
  <c r="H635" s="1"/>
  <c r="G638"/>
  <c r="G637" s="1"/>
  <c r="G636" s="1"/>
  <c r="G635" s="1"/>
  <c r="F638"/>
  <c r="F637" s="1"/>
  <c r="F636" s="1"/>
  <c r="F635" s="1"/>
  <c r="E638"/>
  <c r="E637" s="1"/>
  <c r="E636" s="1"/>
  <c r="E635" s="1"/>
  <c r="H646"/>
  <c r="H645" s="1"/>
  <c r="H644" s="1"/>
  <c r="G646"/>
  <c r="G645" s="1"/>
  <c r="G644" s="1"/>
  <c r="F646"/>
  <c r="F645" s="1"/>
  <c r="F644" s="1"/>
  <c r="E646"/>
  <c r="E645" s="1"/>
  <c r="E644" s="1"/>
  <c r="E649"/>
  <c r="F649"/>
  <c r="G649"/>
  <c r="H649"/>
  <c r="E653"/>
  <c r="E652" s="1"/>
  <c r="E651" s="1"/>
  <c r="F653"/>
  <c r="F652" s="1"/>
  <c r="F651" s="1"/>
  <c r="G653"/>
  <c r="G652" s="1"/>
  <c r="G651" s="1"/>
  <c r="H653"/>
  <c r="H652" s="1"/>
  <c r="H651" s="1"/>
  <c r="H658"/>
  <c r="H657" s="1"/>
  <c r="H656" s="1"/>
  <c r="H655" s="1"/>
  <c r="G658"/>
  <c r="G657" s="1"/>
  <c r="G656" s="1"/>
  <c r="G655" s="1"/>
  <c r="F658"/>
  <c r="F657" s="1"/>
  <c r="F656" s="1"/>
  <c r="F655" s="1"/>
  <c r="E658"/>
  <c r="E657" s="1"/>
  <c r="E656" s="1"/>
  <c r="E655" s="1"/>
  <c r="H667"/>
  <c r="H666"/>
  <c r="H665" s="1"/>
  <c r="G667"/>
  <c r="G666"/>
  <c r="G665" s="1"/>
  <c r="F667"/>
  <c r="F666"/>
  <c r="F665" s="1"/>
  <c r="E667"/>
  <c r="E666"/>
  <c r="E665" s="1"/>
  <c r="E688"/>
  <c r="E685" s="1"/>
  <c r="F688"/>
  <c r="F685" s="1"/>
  <c r="G688"/>
  <c r="G685" s="1"/>
  <c r="G684" s="1"/>
  <c r="H688"/>
  <c r="H676"/>
  <c r="G676"/>
  <c r="F676"/>
  <c r="E676"/>
  <c r="E695"/>
  <c r="E693" s="1"/>
  <c r="F695"/>
  <c r="F693" s="1"/>
  <c r="G695"/>
  <c r="G693" s="1"/>
  <c r="H695"/>
  <c r="H693" s="1"/>
  <c r="E712"/>
  <c r="E711" s="1"/>
  <c r="E710" s="1"/>
  <c r="F712"/>
  <c r="F711" s="1"/>
  <c r="F710" s="1"/>
  <c r="G712"/>
  <c r="G711" s="1"/>
  <c r="G710" s="1"/>
  <c r="H712"/>
  <c r="H711" s="1"/>
  <c r="H710" s="1"/>
  <c r="E718"/>
  <c r="E717" s="1"/>
  <c r="E716" s="1"/>
  <c r="F718"/>
  <c r="F717" s="1"/>
  <c r="F716" s="1"/>
  <c r="G718"/>
  <c r="G717" s="1"/>
  <c r="G716" s="1"/>
  <c r="H718"/>
  <c r="H717" s="1"/>
  <c r="H716" s="1"/>
  <c r="H757"/>
  <c r="H754"/>
  <c r="H682" s="1"/>
  <c r="H752"/>
  <c r="H673" s="1"/>
  <c r="G757"/>
  <c r="G754"/>
  <c r="G682" s="1"/>
  <c r="G752"/>
  <c r="G673" s="1"/>
  <c r="G751"/>
  <c r="G672" s="1"/>
  <c r="F757"/>
  <c r="F754"/>
  <c r="F682" s="1"/>
  <c r="F752"/>
  <c r="F673" s="1"/>
  <c r="F751"/>
  <c r="F672" s="1"/>
  <c r="E757"/>
  <c r="E754"/>
  <c r="E682" s="1"/>
  <c r="E752"/>
  <c r="E673" s="1"/>
  <c r="E751"/>
  <c r="E760"/>
  <c r="F760"/>
  <c r="G760"/>
  <c r="H760"/>
  <c r="H765"/>
  <c r="H764" s="1"/>
  <c r="H763" s="1"/>
  <c r="G764"/>
  <c r="G763" s="1"/>
  <c r="F764"/>
  <c r="F763" s="1"/>
  <c r="E764"/>
  <c r="E763" s="1"/>
  <c r="E767"/>
  <c r="F767"/>
  <c r="G767"/>
  <c r="H767"/>
  <c r="H772"/>
  <c r="H771" s="1"/>
  <c r="H770" s="1"/>
  <c r="G771"/>
  <c r="G770" s="1"/>
  <c r="F771"/>
  <c r="F770" s="1"/>
  <c r="E771"/>
  <c r="E770" s="1"/>
  <c r="E769" s="1"/>
  <c r="E774"/>
  <c r="F774"/>
  <c r="G774"/>
  <c r="H774"/>
  <c r="H778"/>
  <c r="H777" s="1"/>
  <c r="G778"/>
  <c r="G777" s="1"/>
  <c r="F778"/>
  <c r="F777" s="1"/>
  <c r="E778"/>
  <c r="E777" s="1"/>
  <c r="E298" l="1"/>
  <c r="E297" s="1"/>
  <c r="F298"/>
  <c r="F297" s="1"/>
  <c r="G298"/>
  <c r="G297" s="1"/>
  <c r="H298"/>
  <c r="H297" s="1"/>
  <c r="E404"/>
  <c r="E397" s="1"/>
  <c r="F762"/>
  <c r="E762"/>
  <c r="H769"/>
  <c r="E244"/>
  <c r="E486"/>
  <c r="F506"/>
  <c r="H486"/>
  <c r="F496"/>
  <c r="E248"/>
  <c r="E225" s="1"/>
  <c r="F386"/>
  <c r="F384" s="1"/>
  <c r="G386"/>
  <c r="G239" s="1"/>
  <c r="F371"/>
  <c r="F370" s="1"/>
  <c r="F244"/>
  <c r="F643"/>
  <c r="G486"/>
  <c r="G371"/>
  <c r="G370" s="1"/>
  <c r="F584"/>
  <c r="G506"/>
  <c r="F477"/>
  <c r="H506"/>
  <c r="G643"/>
  <c r="E506"/>
  <c r="H414"/>
  <c r="H413" s="1"/>
  <c r="F414"/>
  <c r="F413" s="1"/>
  <c r="G226"/>
  <c r="H397"/>
  <c r="E385"/>
  <c r="G431"/>
  <c r="H384"/>
  <c r="H385"/>
  <c r="F581"/>
  <c r="H371"/>
  <c r="H370" s="1"/>
  <c r="H248"/>
  <c r="H225" s="1"/>
  <c r="G427"/>
  <c r="H239"/>
  <c r="H229"/>
  <c r="F486"/>
  <c r="G496"/>
  <c r="H440"/>
  <c r="H496"/>
  <c r="H751"/>
  <c r="H672" s="1"/>
  <c r="H427" s="1"/>
  <c r="E643"/>
  <c r="H611"/>
  <c r="I611" s="1"/>
  <c r="E477"/>
  <c r="E431"/>
  <c r="E459"/>
  <c r="E449" s="1"/>
  <c r="H431"/>
  <c r="F459"/>
  <c r="F449" s="1"/>
  <c r="H244"/>
  <c r="E581"/>
  <c r="E440"/>
  <c r="G477"/>
  <c r="H477"/>
  <c r="H398"/>
  <c r="G578"/>
  <c r="E460"/>
  <c r="E450" s="1"/>
  <c r="F440"/>
  <c r="H459"/>
  <c r="H449" s="1"/>
  <c r="H242"/>
  <c r="H219" s="1"/>
  <c r="G769"/>
  <c r="G584"/>
  <c r="G438" s="1"/>
  <c r="G532"/>
  <c r="F769"/>
  <c r="F431"/>
  <c r="E428"/>
  <c r="G440"/>
  <c r="E362"/>
  <c r="E357" s="1"/>
  <c r="G244"/>
  <c r="E414"/>
  <c r="E413" s="1"/>
  <c r="G414"/>
  <c r="G413" s="1"/>
  <c r="E239"/>
  <c r="H762"/>
  <c r="G581"/>
  <c r="H578"/>
  <c r="E496"/>
  <c r="F427"/>
  <c r="G762"/>
  <c r="H643"/>
  <c r="E584"/>
  <c r="I584" s="1"/>
  <c r="G397"/>
  <c r="G258"/>
  <c r="H428"/>
  <c r="G428"/>
  <c r="F428"/>
  <c r="E578"/>
  <c r="H18"/>
  <c r="H17" s="1"/>
  <c r="H127"/>
  <c r="H123" s="1"/>
  <c r="H122" s="1"/>
  <c r="G18"/>
  <c r="G17" s="1"/>
  <c r="G127"/>
  <c r="G123" s="1"/>
  <c r="G122" s="1"/>
  <c r="F18"/>
  <c r="F17" s="1"/>
  <c r="F127"/>
  <c r="F123" s="1"/>
  <c r="F122" s="1"/>
  <c r="E675"/>
  <c r="H258"/>
  <c r="E258"/>
  <c r="I299"/>
  <c r="F362"/>
  <c r="H362"/>
  <c r="G362"/>
  <c r="H400"/>
  <c r="H399" s="1"/>
  <c r="H410"/>
  <c r="H392" s="1"/>
  <c r="H393"/>
  <c r="G402"/>
  <c r="G398"/>
  <c r="G410"/>
  <c r="F404"/>
  <c r="F397" s="1"/>
  <c r="F402"/>
  <c r="F410"/>
  <c r="E401"/>
  <c r="E393"/>
  <c r="E410"/>
  <c r="H454"/>
  <c r="H443" s="1"/>
  <c r="H463"/>
  <c r="I463" s="1"/>
  <c r="H460"/>
  <c r="H450" s="1"/>
  <c r="H438" s="1"/>
  <c r="G454"/>
  <c r="G443" s="1"/>
  <c r="G471"/>
  <c r="G459" s="1"/>
  <c r="G449" s="1"/>
  <c r="G453"/>
  <c r="G442" s="1"/>
  <c r="F453"/>
  <c r="F442" s="1"/>
  <c r="F462"/>
  <c r="F460"/>
  <c r="F450" s="1"/>
  <c r="F454"/>
  <c r="F443" s="1"/>
  <c r="E453"/>
  <c r="E462"/>
  <c r="E454"/>
  <c r="H532"/>
  <c r="F532"/>
  <c r="G543"/>
  <c r="H543"/>
  <c r="F543"/>
  <c r="G570"/>
  <c r="G569" s="1"/>
  <c r="G568" s="1"/>
  <c r="H570"/>
  <c r="H569" s="1"/>
  <c r="H568" s="1"/>
  <c r="E543"/>
  <c r="H545"/>
  <c r="G545"/>
  <c r="F545"/>
  <c r="F542"/>
  <c r="E542"/>
  <c r="E545"/>
  <c r="E532"/>
  <c r="H587"/>
  <c r="H586" s="1"/>
  <c r="H585" s="1"/>
  <c r="G587"/>
  <c r="G586" s="1"/>
  <c r="G575" s="1"/>
  <c r="F578"/>
  <c r="F586"/>
  <c r="F576"/>
  <c r="E587"/>
  <c r="H616"/>
  <c r="G616"/>
  <c r="F616"/>
  <c r="E616"/>
  <c r="H685"/>
  <c r="H684" s="1"/>
  <c r="E672"/>
  <c r="F684"/>
  <c r="F675"/>
  <c r="F430" s="1"/>
  <c r="F223" s="1"/>
  <c r="G675"/>
  <c r="G430" s="1"/>
  <c r="G223" s="1"/>
  <c r="H675"/>
  <c r="H430" s="1"/>
  <c r="H223" s="1"/>
  <c r="E684"/>
  <c r="H756"/>
  <c r="F756"/>
  <c r="F755" s="1"/>
  <c r="E756"/>
  <c r="E755" s="1"/>
  <c r="G756"/>
  <c r="E781"/>
  <c r="F781"/>
  <c r="F776" s="1"/>
  <c r="G781"/>
  <c r="G776" s="1"/>
  <c r="H781"/>
  <c r="H776" s="1"/>
  <c r="H785"/>
  <c r="G785"/>
  <c r="G784" s="1"/>
  <c r="F785"/>
  <c r="F784" s="1"/>
  <c r="E785"/>
  <c r="E784" s="1"/>
  <c r="E788"/>
  <c r="F788"/>
  <c r="G788"/>
  <c r="H788"/>
  <c r="M227"/>
  <c r="H792"/>
  <c r="H791" s="1"/>
  <c r="G792"/>
  <c r="G791" s="1"/>
  <c r="F792"/>
  <c r="F791" s="1"/>
  <c r="E792"/>
  <c r="E791" s="1"/>
  <c r="E795"/>
  <c r="F795"/>
  <c r="G795"/>
  <c r="H795"/>
  <c r="H804"/>
  <c r="H803" s="1"/>
  <c r="G804"/>
  <c r="G803" s="1"/>
  <c r="F804"/>
  <c r="F803" s="1"/>
  <c r="E804"/>
  <c r="E803" s="1"/>
  <c r="E807"/>
  <c r="F807"/>
  <c r="G807"/>
  <c r="H807"/>
  <c r="H811"/>
  <c r="H810" s="1"/>
  <c r="G811"/>
  <c r="G810" s="1"/>
  <c r="F811"/>
  <c r="F810" s="1"/>
  <c r="E811"/>
  <c r="E814"/>
  <c r="F814"/>
  <c r="G814"/>
  <c r="H814"/>
  <c r="H826"/>
  <c r="H820"/>
  <c r="H677" s="1"/>
  <c r="G826"/>
  <c r="G820"/>
  <c r="G677" s="1"/>
  <c r="F826"/>
  <c r="F820"/>
  <c r="E826"/>
  <c r="E820"/>
  <c r="E677" s="1"/>
  <c r="E829"/>
  <c r="F829"/>
  <c r="G829"/>
  <c r="H829"/>
  <c r="H834"/>
  <c r="G834"/>
  <c r="G833" s="1"/>
  <c r="G832" s="1"/>
  <c r="F834"/>
  <c r="F833" s="1"/>
  <c r="F832" s="1"/>
  <c r="E834"/>
  <c r="E833" s="1"/>
  <c r="E832" s="1"/>
  <c r="E838"/>
  <c r="F838"/>
  <c r="G838"/>
  <c r="H838"/>
  <c r="H843"/>
  <c r="G843"/>
  <c r="G842" s="1"/>
  <c r="G841" s="1"/>
  <c r="G840" s="1"/>
  <c r="F843"/>
  <c r="F842" s="1"/>
  <c r="F841" s="1"/>
  <c r="E843"/>
  <c r="E842" s="1"/>
  <c r="E841" s="1"/>
  <c r="E840" s="1"/>
  <c r="H852"/>
  <c r="G852"/>
  <c r="G851" s="1"/>
  <c r="G850" s="1"/>
  <c r="F852"/>
  <c r="F851" s="1"/>
  <c r="E852"/>
  <c r="E851" s="1"/>
  <c r="E850" s="1"/>
  <c r="E855"/>
  <c r="F855"/>
  <c r="G855"/>
  <c r="H855"/>
  <c r="H860"/>
  <c r="H859" s="1"/>
  <c r="H858" s="1"/>
  <c r="G860"/>
  <c r="G859" s="1"/>
  <c r="G858" s="1"/>
  <c r="F860"/>
  <c r="F859" s="1"/>
  <c r="F858" s="1"/>
  <c r="E860"/>
  <c r="E859" s="1"/>
  <c r="E858" s="1"/>
  <c r="E863"/>
  <c r="F863"/>
  <c r="G863"/>
  <c r="H863"/>
  <c r="E867"/>
  <c r="E866" s="1"/>
  <c r="F867"/>
  <c r="G867"/>
  <c r="G866" s="1"/>
  <c r="G865" s="1"/>
  <c r="H867"/>
  <c r="H866" s="1"/>
  <c r="H865" s="1"/>
  <c r="H890"/>
  <c r="H881" s="1"/>
  <c r="H871" s="1"/>
  <c r="H887"/>
  <c r="H878" s="1"/>
  <c r="H886"/>
  <c r="H877" s="1"/>
  <c r="H885"/>
  <c r="H883"/>
  <c r="H873" s="1"/>
  <c r="H882"/>
  <c r="H872" s="1"/>
  <c r="G890"/>
  <c r="G881" s="1"/>
  <c r="G871" s="1"/>
  <c r="G887"/>
  <c r="G886"/>
  <c r="G877" s="1"/>
  <c r="G885"/>
  <c r="G876" s="1"/>
  <c r="G883"/>
  <c r="G873" s="1"/>
  <c r="G882"/>
  <c r="G872" s="1"/>
  <c r="F890"/>
  <c r="F889" s="1"/>
  <c r="F880" s="1"/>
  <c r="F870" s="1"/>
  <c r="F887"/>
  <c r="F878" s="1"/>
  <c r="F886"/>
  <c r="F877" s="1"/>
  <c r="F885"/>
  <c r="F876" s="1"/>
  <c r="F883"/>
  <c r="F873" s="1"/>
  <c r="F882"/>
  <c r="F872" s="1"/>
  <c r="E890"/>
  <c r="E889" s="1"/>
  <c r="E880" s="1"/>
  <c r="E887"/>
  <c r="E878" s="1"/>
  <c r="E886"/>
  <c r="E885"/>
  <c r="E876" s="1"/>
  <c r="E883"/>
  <c r="E873" s="1"/>
  <c r="E882"/>
  <c r="E872" s="1"/>
  <c r="E893"/>
  <c r="E884" s="1"/>
  <c r="F893"/>
  <c r="F884" s="1"/>
  <c r="F874" s="1"/>
  <c r="G893"/>
  <c r="G884" s="1"/>
  <c r="G874" s="1"/>
  <c r="H893"/>
  <c r="H884" s="1"/>
  <c r="H874" s="1"/>
  <c r="H953"/>
  <c r="H950" s="1"/>
  <c r="H951"/>
  <c r="H939" s="1"/>
  <c r="H232" s="1"/>
  <c r="H949"/>
  <c r="H937" s="1"/>
  <c r="H948"/>
  <c r="H944"/>
  <c r="H941"/>
  <c r="H940"/>
  <c r="H936"/>
  <c r="H934"/>
  <c r="G953"/>
  <c r="G950" s="1"/>
  <c r="G951"/>
  <c r="G939" s="1"/>
  <c r="G232" s="1"/>
  <c r="G949"/>
  <c r="G937" s="1"/>
  <c r="G948"/>
  <c r="G944"/>
  <c r="G941"/>
  <c r="G940"/>
  <c r="G936"/>
  <c r="G934"/>
  <c r="F953"/>
  <c r="F952" s="1"/>
  <c r="F951"/>
  <c r="F939" s="1"/>
  <c r="F232" s="1"/>
  <c r="F949"/>
  <c r="F937" s="1"/>
  <c r="F948"/>
  <c r="F944"/>
  <c r="F941"/>
  <c r="F940"/>
  <c r="F936"/>
  <c r="F934"/>
  <c r="E953"/>
  <c r="E950" s="1"/>
  <c r="E951"/>
  <c r="E939" s="1"/>
  <c r="E949"/>
  <c r="E937" s="1"/>
  <c r="E948"/>
  <c r="E944"/>
  <c r="E941"/>
  <c r="E940"/>
  <c r="E936"/>
  <c r="E934"/>
  <c r="E957"/>
  <c r="E947" s="1"/>
  <c r="F957"/>
  <c r="F947" s="1"/>
  <c r="G957"/>
  <c r="G947" s="1"/>
  <c r="H957"/>
  <c r="H947" s="1"/>
  <c r="E980"/>
  <c r="F980"/>
  <c r="F977" s="1"/>
  <c r="G980"/>
  <c r="H980"/>
  <c r="H977" s="1"/>
  <c r="E988"/>
  <c r="E978" s="1"/>
  <c r="F988"/>
  <c r="F978" s="1"/>
  <c r="G988"/>
  <c r="G978" s="1"/>
  <c r="H988"/>
  <c r="H978" s="1"/>
  <c r="I12"/>
  <c r="I13"/>
  <c r="I14"/>
  <c r="I15"/>
  <c r="I16"/>
  <c r="I19"/>
  <c r="I20"/>
  <c r="I21"/>
  <c r="I23"/>
  <c r="I24"/>
  <c r="I25"/>
  <c r="I26"/>
  <c r="I27"/>
  <c r="I28"/>
  <c r="I29"/>
  <c r="I30"/>
  <c r="I31"/>
  <c r="I32"/>
  <c r="I33"/>
  <c r="I34"/>
  <c r="I35"/>
  <c r="I36"/>
  <c r="I37"/>
  <c r="I38"/>
  <c r="I39"/>
  <c r="I40"/>
  <c r="I42"/>
  <c r="I43"/>
  <c r="I44"/>
  <c r="I45"/>
  <c r="I46"/>
  <c r="I47"/>
  <c r="I48"/>
  <c r="I49"/>
  <c r="I50"/>
  <c r="I51"/>
  <c r="I52"/>
  <c r="I53"/>
  <c r="I54"/>
  <c r="I55"/>
  <c r="I56"/>
  <c r="I57"/>
  <c r="I58"/>
  <c r="I59"/>
  <c r="I60"/>
  <c r="I63"/>
  <c r="I64"/>
  <c r="I65"/>
  <c r="I66"/>
  <c r="I67"/>
  <c r="I68"/>
  <c r="I69"/>
  <c r="I72"/>
  <c r="I73"/>
  <c r="I74"/>
  <c r="I75"/>
  <c r="I76"/>
  <c r="I77"/>
  <c r="I78"/>
  <c r="I79"/>
  <c r="I81"/>
  <c r="I82"/>
  <c r="I83"/>
  <c r="I84"/>
  <c r="I85"/>
  <c r="I86"/>
  <c r="I87"/>
  <c r="I88"/>
  <c r="I89"/>
  <c r="I90"/>
  <c r="I91"/>
  <c r="I94"/>
  <c r="I98"/>
  <c r="I99"/>
  <c r="I103"/>
  <c r="I106"/>
  <c r="I107"/>
  <c r="I108"/>
  <c r="I109"/>
  <c r="I110"/>
  <c r="I111"/>
  <c r="I112"/>
  <c r="I113"/>
  <c r="I114"/>
  <c r="I115"/>
  <c r="I117"/>
  <c r="I118"/>
  <c r="I119"/>
  <c r="I120"/>
  <c r="I121"/>
  <c r="I124"/>
  <c r="I125"/>
  <c r="I126"/>
  <c r="I128"/>
  <c r="I129"/>
  <c r="I130"/>
  <c r="I131"/>
  <c r="I132"/>
  <c r="I133"/>
  <c r="I134"/>
  <c r="I135"/>
  <c r="I136"/>
  <c r="I138"/>
  <c r="I139"/>
  <c r="I140"/>
  <c r="I141"/>
  <c r="I142"/>
  <c r="I143"/>
  <c r="I144"/>
  <c r="I145"/>
  <c r="I146"/>
  <c r="I150"/>
  <c r="I152"/>
  <c r="I154"/>
  <c r="I155"/>
  <c r="I156"/>
  <c r="I157"/>
  <c r="I158"/>
  <c r="I160"/>
  <c r="I162"/>
  <c r="I163"/>
  <c r="I164"/>
  <c r="I165"/>
  <c r="I168"/>
  <c r="I169"/>
  <c r="I170"/>
  <c r="I172"/>
  <c r="I173"/>
  <c r="I174"/>
  <c r="I175"/>
  <c r="I176"/>
  <c r="I177"/>
  <c r="I178"/>
  <c r="I183"/>
  <c r="I184"/>
  <c r="I185"/>
  <c r="I187"/>
  <c r="I188"/>
  <c r="I189"/>
  <c r="I190"/>
  <c r="I191"/>
  <c r="I192"/>
  <c r="I193"/>
  <c r="I194"/>
  <c r="I195"/>
  <c r="I196"/>
  <c r="I202"/>
  <c r="I203"/>
  <c r="I206"/>
  <c r="I207"/>
  <c r="I210"/>
  <c r="I211"/>
  <c r="I212"/>
  <c r="I213"/>
  <c r="I219"/>
  <c r="I220"/>
  <c r="I222"/>
  <c r="I225"/>
  <c r="I226"/>
  <c r="I229"/>
  <c r="I230"/>
  <c r="I236"/>
  <c r="I240"/>
  <c r="I241"/>
  <c r="I243"/>
  <c r="I244"/>
  <c r="I245"/>
  <c r="I246"/>
  <c r="I248"/>
  <c r="I249"/>
  <c r="I251"/>
  <c r="I252"/>
  <c r="I253"/>
  <c r="I254"/>
  <c r="I256"/>
  <c r="I259"/>
  <c r="I260"/>
  <c r="I261"/>
  <c r="I262"/>
  <c r="I263"/>
  <c r="I264"/>
  <c r="I265"/>
  <c r="I267"/>
  <c r="I268"/>
  <c r="I269"/>
  <c r="I270"/>
  <c r="I271"/>
  <c r="I281"/>
  <c r="I282"/>
  <c r="I283"/>
  <c r="I284"/>
  <c r="I285"/>
  <c r="I286"/>
  <c r="I287"/>
  <c r="I288"/>
  <c r="I289"/>
  <c r="I290"/>
  <c r="I291"/>
  <c r="I292"/>
  <c r="I293"/>
  <c r="I294"/>
  <c r="I295"/>
  <c r="I296"/>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8"/>
  <c r="I349"/>
  <c r="I350"/>
  <c r="I358"/>
  <c r="I359"/>
  <c r="I360"/>
  <c r="I361"/>
  <c r="I363"/>
  <c r="I364"/>
  <c r="I365"/>
  <c r="I366"/>
  <c r="I367"/>
  <c r="I368"/>
  <c r="I369"/>
  <c r="I372"/>
  <c r="I373"/>
  <c r="I374"/>
  <c r="I375"/>
  <c r="I376"/>
  <c r="I377"/>
  <c r="I378"/>
  <c r="I379"/>
  <c r="I380"/>
  <c r="I381"/>
  <c r="I382"/>
  <c r="I383"/>
  <c r="I387"/>
  <c r="I388"/>
  <c r="I389"/>
  <c r="I390"/>
  <c r="I394"/>
  <c r="I395"/>
  <c r="I396"/>
  <c r="I403"/>
  <c r="I405"/>
  <c r="I406"/>
  <c r="I407"/>
  <c r="I408"/>
  <c r="I409"/>
  <c r="I411"/>
  <c r="I412"/>
  <c r="I415"/>
  <c r="I416"/>
  <c r="I417"/>
  <c r="I418"/>
  <c r="I419"/>
  <c r="I420"/>
  <c r="I421"/>
  <c r="I422"/>
  <c r="I423"/>
  <c r="I432"/>
  <c r="I434"/>
  <c r="I435"/>
  <c r="I437"/>
  <c r="I444"/>
  <c r="I445"/>
  <c r="I446"/>
  <c r="I448"/>
  <c r="I449"/>
  <c r="I450"/>
  <c r="I451"/>
  <c r="I455"/>
  <c r="I456"/>
  <c r="I457"/>
  <c r="I458"/>
  <c r="I461"/>
  <c r="I464"/>
  <c r="I465"/>
  <c r="I466"/>
  <c r="I467"/>
  <c r="I468"/>
  <c r="I469"/>
  <c r="I470"/>
  <c r="I471"/>
  <c r="I472"/>
  <c r="I473"/>
  <c r="I474"/>
  <c r="I475"/>
  <c r="I476"/>
  <c r="I478"/>
  <c r="I479"/>
  <c r="I480"/>
  <c r="I481"/>
  <c r="I482"/>
  <c r="I483"/>
  <c r="I484"/>
  <c r="I485"/>
  <c r="I487"/>
  <c r="I488"/>
  <c r="I489"/>
  <c r="I490"/>
  <c r="I491"/>
  <c r="I492"/>
  <c r="I493"/>
  <c r="I494"/>
  <c r="I495"/>
  <c r="I497"/>
  <c r="I498"/>
  <c r="I499"/>
  <c r="I500"/>
  <c r="I501"/>
  <c r="I502"/>
  <c r="I503"/>
  <c r="I504"/>
  <c r="I505"/>
  <c r="I506"/>
  <c r="I507"/>
  <c r="I508"/>
  <c r="I509"/>
  <c r="I510"/>
  <c r="I511"/>
  <c r="I512"/>
  <c r="I513"/>
  <c r="I514"/>
  <c r="I515"/>
  <c r="I519"/>
  <c r="I521"/>
  <c r="I522"/>
  <c r="I523"/>
  <c r="I524"/>
  <c r="I525"/>
  <c r="I526"/>
  <c r="I527"/>
  <c r="I528"/>
  <c r="I529"/>
  <c r="I530"/>
  <c r="I533"/>
  <c r="I534"/>
  <c r="I535"/>
  <c r="I536"/>
  <c r="I537"/>
  <c r="I538"/>
  <c r="I539"/>
  <c r="I546"/>
  <c r="I547"/>
  <c r="I548"/>
  <c r="I549"/>
  <c r="I550"/>
  <c r="I551"/>
  <c r="I552"/>
  <c r="I553"/>
  <c r="I554"/>
  <c r="I555"/>
  <c r="I556"/>
  <c r="I557"/>
  <c r="I558"/>
  <c r="I559"/>
  <c r="I560"/>
  <c r="I561"/>
  <c r="I562"/>
  <c r="I563"/>
  <c r="I564"/>
  <c r="I565"/>
  <c r="I566"/>
  <c r="I567"/>
  <c r="I571"/>
  <c r="I572"/>
  <c r="I573"/>
  <c r="I577"/>
  <c r="I579"/>
  <c r="I580"/>
  <c r="I582"/>
  <c r="I583"/>
  <c r="I588"/>
  <c r="I589"/>
  <c r="I590"/>
  <c r="I591"/>
  <c r="I592"/>
  <c r="I593"/>
  <c r="I594"/>
  <c r="I595"/>
  <c r="I596"/>
  <c r="I597"/>
  <c r="I598"/>
  <c r="I599"/>
  <c r="I600"/>
  <c r="I601"/>
  <c r="I602"/>
  <c r="I603"/>
  <c r="I604"/>
  <c r="I605"/>
  <c r="I606"/>
  <c r="I607"/>
  <c r="I608"/>
  <c r="I609"/>
  <c r="I612"/>
  <c r="I613"/>
  <c r="I614"/>
  <c r="I615"/>
  <c r="I617"/>
  <c r="I618"/>
  <c r="I619"/>
  <c r="I620"/>
  <c r="I621"/>
  <c r="I622"/>
  <c r="I623"/>
  <c r="I624"/>
  <c r="I625"/>
  <c r="I626"/>
  <c r="I627"/>
  <c r="I628"/>
  <c r="I630"/>
  <c r="I631"/>
  <c r="I632"/>
  <c r="I633"/>
  <c r="I634"/>
  <c r="I635"/>
  <c r="I636"/>
  <c r="I637"/>
  <c r="I638"/>
  <c r="I639"/>
  <c r="I640"/>
  <c r="I641"/>
  <c r="I642"/>
  <c r="I643"/>
  <c r="I644"/>
  <c r="I645"/>
  <c r="I646"/>
  <c r="I647"/>
  <c r="I648"/>
  <c r="I649"/>
  <c r="I650"/>
  <c r="I651"/>
  <c r="I652"/>
  <c r="I653"/>
  <c r="I654"/>
  <c r="I655"/>
  <c r="I656"/>
  <c r="I657"/>
  <c r="I658"/>
  <c r="I659"/>
  <c r="I660"/>
  <c r="I661"/>
  <c r="I662"/>
  <c r="I663"/>
  <c r="I664"/>
  <c r="I665"/>
  <c r="I666"/>
  <c r="I667"/>
  <c r="I668"/>
  <c r="I673"/>
  <c r="I676"/>
  <c r="I680"/>
  <c r="I682"/>
  <c r="I686"/>
  <c r="I687"/>
  <c r="I688"/>
  <c r="I689"/>
  <c r="I690"/>
  <c r="I691"/>
  <c r="I692"/>
  <c r="I693"/>
  <c r="I694"/>
  <c r="I695"/>
  <c r="I696"/>
  <c r="I697"/>
  <c r="I700"/>
  <c r="I701"/>
  <c r="I702"/>
  <c r="I703"/>
  <c r="I704"/>
  <c r="I705"/>
  <c r="I706"/>
  <c r="I707"/>
  <c r="I708"/>
  <c r="I709"/>
  <c r="I710"/>
  <c r="I711"/>
  <c r="I712"/>
  <c r="I713"/>
  <c r="I714"/>
  <c r="I715"/>
  <c r="I716"/>
  <c r="I717"/>
  <c r="I718"/>
  <c r="I719"/>
  <c r="I720"/>
  <c r="I721"/>
  <c r="I724"/>
  <c r="I725"/>
  <c r="I726"/>
  <c r="I729"/>
  <c r="I730"/>
  <c r="I731"/>
  <c r="I734"/>
  <c r="I735"/>
  <c r="I736"/>
  <c r="I739"/>
  <c r="I740"/>
  <c r="I741"/>
  <c r="I751"/>
  <c r="I752"/>
  <c r="I754"/>
  <c r="I757"/>
  <c r="I758"/>
  <c r="I759"/>
  <c r="I760"/>
  <c r="I761"/>
  <c r="I762"/>
  <c r="I763"/>
  <c r="I764"/>
  <c r="I765"/>
  <c r="I766"/>
  <c r="I767"/>
  <c r="I768"/>
  <c r="I770"/>
  <c r="I771"/>
  <c r="I772"/>
  <c r="I773"/>
  <c r="I774"/>
  <c r="I775"/>
  <c r="I777"/>
  <c r="I778"/>
  <c r="I779"/>
  <c r="I780"/>
  <c r="I782"/>
  <c r="I786"/>
  <c r="I787"/>
  <c r="I789"/>
  <c r="I793"/>
  <c r="I794"/>
  <c r="I796"/>
  <c r="I797"/>
  <c r="I798"/>
  <c r="I799"/>
  <c r="I800"/>
  <c r="I801"/>
  <c r="I805"/>
  <c r="I806"/>
  <c r="I808"/>
  <c r="I812"/>
  <c r="I813"/>
  <c r="I815"/>
  <c r="I827"/>
  <c r="I828"/>
  <c r="I830"/>
  <c r="I835"/>
  <c r="I836"/>
  <c r="I837"/>
  <c r="I839"/>
  <c r="I844"/>
  <c r="I845"/>
  <c r="I846"/>
  <c r="I847"/>
  <c r="I848"/>
  <c r="I853"/>
  <c r="I854"/>
  <c r="I856"/>
  <c r="I861"/>
  <c r="I862"/>
  <c r="I864"/>
  <c r="I868"/>
  <c r="I875"/>
  <c r="I891"/>
  <c r="I892"/>
  <c r="I894"/>
  <c r="I895"/>
  <c r="I896"/>
  <c r="I897"/>
  <c r="I898"/>
  <c r="I899"/>
  <c r="I900"/>
  <c r="I901"/>
  <c r="I902"/>
  <c r="I903"/>
  <c r="I904"/>
  <c r="I905"/>
  <c r="I906"/>
  <c r="I907"/>
  <c r="I908"/>
  <c r="I909"/>
  <c r="I910"/>
  <c r="I915"/>
  <c r="I916"/>
  <c r="I917"/>
  <c r="I911" s="1"/>
  <c r="I918"/>
  <c r="I919"/>
  <c r="I920"/>
  <c r="I921"/>
  <c r="I922"/>
  <c r="I923"/>
  <c r="I924"/>
  <c r="I925"/>
  <c r="I926"/>
  <c r="I954"/>
  <c r="I958"/>
  <c r="I959"/>
  <c r="I960"/>
  <c r="I961"/>
  <c r="I962"/>
  <c r="I967"/>
  <c r="I968"/>
  <c r="I969"/>
  <c r="I970"/>
  <c r="I971"/>
  <c r="I972"/>
  <c r="I973"/>
  <c r="I974"/>
  <c r="I975"/>
  <c r="I979"/>
  <c r="I982"/>
  <c r="I985"/>
  <c r="I989"/>
  <c r="I990"/>
  <c r="I991"/>
  <c r="I992"/>
  <c r="I996"/>
  <c r="I997"/>
  <c r="I998"/>
  <c r="I999"/>
  <c r="I1000"/>
  <c r="I1001"/>
  <c r="I1002"/>
  <c r="I1003"/>
  <c r="I1007"/>
  <c r="I1008"/>
  <c r="I1009"/>
  <c r="I1020"/>
  <c r="F994"/>
  <c r="F984" s="1"/>
  <c r="G994"/>
  <c r="G993" s="1"/>
  <c r="H994"/>
  <c r="H993" s="1"/>
  <c r="E995"/>
  <c r="E994" s="1"/>
  <c r="E1006"/>
  <c r="F1006"/>
  <c r="G1006"/>
  <c r="H1006"/>
  <c r="L736"/>
  <c r="L733" s="1"/>
  <c r="L732" s="1"/>
  <c r="K736"/>
  <c r="K733" s="1"/>
  <c r="K732" s="1"/>
  <c r="J736"/>
  <c r="J733" s="1"/>
  <c r="J732" s="1"/>
  <c r="D736"/>
  <c r="D733" s="1"/>
  <c r="D732" s="1"/>
  <c r="L731"/>
  <c r="L728" s="1"/>
  <c r="L727" s="1"/>
  <c r="K731"/>
  <c r="K728" s="1"/>
  <c r="K727" s="1"/>
  <c r="J731"/>
  <c r="J728" s="1"/>
  <c r="J727" s="1"/>
  <c r="D731"/>
  <c r="D728" s="1"/>
  <c r="D727" s="1"/>
  <c r="K726"/>
  <c r="K723" s="1"/>
  <c r="K722" s="1"/>
  <c r="J726"/>
  <c r="J723" s="1"/>
  <c r="J722" s="1"/>
  <c r="D726"/>
  <c r="D723" s="1"/>
  <c r="D722" s="1"/>
  <c r="E105"/>
  <c r="F105"/>
  <c r="G105"/>
  <c r="H105"/>
  <c r="J105"/>
  <c r="K105"/>
  <c r="L105"/>
  <c r="D738"/>
  <c r="D737" s="1"/>
  <c r="E738"/>
  <c r="E737" s="1"/>
  <c r="F738"/>
  <c r="F737" s="1"/>
  <c r="G738"/>
  <c r="G737" s="1"/>
  <c r="H738"/>
  <c r="H737" s="1"/>
  <c r="J738"/>
  <c r="J737" s="1"/>
  <c r="K738"/>
  <c r="K737" s="1"/>
  <c r="L738"/>
  <c r="L737" s="1"/>
  <c r="E733"/>
  <c r="E732" s="1"/>
  <c r="F733"/>
  <c r="F732" s="1"/>
  <c r="G733"/>
  <c r="G732" s="1"/>
  <c r="H733"/>
  <c r="H732" s="1"/>
  <c r="E728"/>
  <c r="F728"/>
  <c r="F727" s="1"/>
  <c r="G728"/>
  <c r="G727" s="1"/>
  <c r="H728"/>
  <c r="H727" s="1"/>
  <c r="E723"/>
  <c r="F723"/>
  <c r="F722" s="1"/>
  <c r="F699" s="1"/>
  <c r="G723"/>
  <c r="G722" s="1"/>
  <c r="G699" s="1"/>
  <c r="H723"/>
  <c r="H722" s="1"/>
  <c r="H699" s="1"/>
  <c r="L723"/>
  <c r="D105"/>
  <c r="L1019"/>
  <c r="L1018" s="1"/>
  <c r="L1017" s="1"/>
  <c r="K1019"/>
  <c r="K1018" s="1"/>
  <c r="K1017" s="1"/>
  <c r="J1019"/>
  <c r="J1018" s="1"/>
  <c r="J1017" s="1"/>
  <c r="H1019"/>
  <c r="H1018" s="1"/>
  <c r="H1017" s="1"/>
  <c r="G1019"/>
  <c r="G1018" s="1"/>
  <c r="G1017" s="1"/>
  <c r="F1019"/>
  <c r="F1018" s="1"/>
  <c r="F1017" s="1"/>
  <c r="E1019"/>
  <c r="E1018" s="1"/>
  <c r="E1017" s="1"/>
  <c r="D1019"/>
  <c r="D1018" s="1"/>
  <c r="D1017" s="1"/>
  <c r="L1006"/>
  <c r="K1006"/>
  <c r="K983" s="1"/>
  <c r="J1006"/>
  <c r="D1006"/>
  <c r="D983" s="1"/>
  <c r="C1005"/>
  <c r="C1004" s="1"/>
  <c r="D995"/>
  <c r="D994" s="1"/>
  <c r="L994"/>
  <c r="L984" s="1"/>
  <c r="L943" s="1"/>
  <c r="K994"/>
  <c r="K984" s="1"/>
  <c r="K943" s="1"/>
  <c r="J994"/>
  <c r="J993" s="1"/>
  <c r="D988"/>
  <c r="L988"/>
  <c r="L978" s="1"/>
  <c r="K988"/>
  <c r="K978" s="1"/>
  <c r="J988"/>
  <c r="J978" s="1"/>
  <c r="L985"/>
  <c r="L944" s="1"/>
  <c r="L236" s="1"/>
  <c r="K985"/>
  <c r="K944" s="1"/>
  <c r="K236" s="1"/>
  <c r="J985"/>
  <c r="J944" s="1"/>
  <c r="J236" s="1"/>
  <c r="D985"/>
  <c r="D944" s="1"/>
  <c r="D236" s="1"/>
  <c r="L980"/>
  <c r="L977" s="1"/>
  <c r="K980"/>
  <c r="K977" s="1"/>
  <c r="J980"/>
  <c r="J977" s="1"/>
  <c r="L979"/>
  <c r="L934" s="1"/>
  <c r="K979"/>
  <c r="K934" s="1"/>
  <c r="J979"/>
  <c r="J934" s="1"/>
  <c r="D979"/>
  <c r="D934" s="1"/>
  <c r="D971"/>
  <c r="D936" s="1"/>
  <c r="L966"/>
  <c r="K966"/>
  <c r="J966"/>
  <c r="H966"/>
  <c r="G966"/>
  <c r="F966"/>
  <c r="E966"/>
  <c r="D966"/>
  <c r="L965"/>
  <c r="L964" s="1"/>
  <c r="L963" s="1"/>
  <c r="K965"/>
  <c r="K964" s="1"/>
  <c r="K963" s="1"/>
  <c r="J965"/>
  <c r="J964" s="1"/>
  <c r="J963" s="1"/>
  <c r="H965"/>
  <c r="H964" s="1"/>
  <c r="H963" s="1"/>
  <c r="G965"/>
  <c r="G964" s="1"/>
  <c r="G963" s="1"/>
  <c r="F965"/>
  <c r="F964" s="1"/>
  <c r="F963" s="1"/>
  <c r="E965"/>
  <c r="E964" s="1"/>
  <c r="E963" s="1"/>
  <c r="D965"/>
  <c r="D964" s="1"/>
  <c r="D963" s="1"/>
  <c r="D961"/>
  <c r="D960" s="1"/>
  <c r="L957"/>
  <c r="L956" s="1"/>
  <c r="K957"/>
  <c r="K956" s="1"/>
  <c r="J957"/>
  <c r="J956" s="1"/>
  <c r="J955" s="1"/>
  <c r="D957"/>
  <c r="D956" s="1"/>
  <c r="D955" s="1"/>
  <c r="L953"/>
  <c r="L952" s="1"/>
  <c r="K953"/>
  <c r="K950" s="1"/>
  <c r="J953"/>
  <c r="J950" s="1"/>
  <c r="D953"/>
  <c r="D950" s="1"/>
  <c r="L951"/>
  <c r="L939" s="1"/>
  <c r="K951"/>
  <c r="K939" s="1"/>
  <c r="J951"/>
  <c r="J939" s="1"/>
  <c r="D951"/>
  <c r="D939" s="1"/>
  <c r="L949"/>
  <c r="L937" s="1"/>
  <c r="K949"/>
  <c r="K937" s="1"/>
  <c r="J949"/>
  <c r="J937" s="1"/>
  <c r="D949"/>
  <c r="D937" s="1"/>
  <c r="L948"/>
  <c r="K948"/>
  <c r="J948"/>
  <c r="D948"/>
  <c r="L941"/>
  <c r="K941"/>
  <c r="J941"/>
  <c r="D941"/>
  <c r="L940"/>
  <c r="K940"/>
  <c r="J940"/>
  <c r="D940"/>
  <c r="L936"/>
  <c r="K936"/>
  <c r="J936"/>
  <c r="L923"/>
  <c r="L922" s="1"/>
  <c r="L921" s="1"/>
  <c r="K923"/>
  <c r="K922" s="1"/>
  <c r="J923"/>
  <c r="J922" s="1"/>
  <c r="J921" s="1"/>
  <c r="D923"/>
  <c r="D922" s="1"/>
  <c r="D921" s="1"/>
  <c r="L919"/>
  <c r="L918" s="1"/>
  <c r="K919"/>
  <c r="K918" s="1"/>
  <c r="K917" s="1"/>
  <c r="J919"/>
  <c r="D919"/>
  <c r="L909"/>
  <c r="L905" s="1"/>
  <c r="K909"/>
  <c r="K905" s="1"/>
  <c r="J909"/>
  <c r="J905" s="1"/>
  <c r="D909"/>
  <c r="D907"/>
  <c r="D906" s="1"/>
  <c r="L903"/>
  <c r="L901" s="1"/>
  <c r="K903"/>
  <c r="J903"/>
  <c r="J901" s="1"/>
  <c r="D903"/>
  <c r="D901" s="1"/>
  <c r="L897"/>
  <c r="L896" s="1"/>
  <c r="K897"/>
  <c r="K896" s="1"/>
  <c r="K895" s="1"/>
  <c r="J897"/>
  <c r="J896" s="1"/>
  <c r="J895" s="1"/>
  <c r="D897"/>
  <c r="L893"/>
  <c r="K893"/>
  <c r="J893"/>
  <c r="D893"/>
  <c r="D892"/>
  <c r="D890" s="1"/>
  <c r="L890"/>
  <c r="L889" s="1"/>
  <c r="L880" s="1"/>
  <c r="L870" s="1"/>
  <c r="K890"/>
  <c r="K889" s="1"/>
  <c r="J890"/>
  <c r="J889" s="1"/>
  <c r="L887"/>
  <c r="L878" s="1"/>
  <c r="K887"/>
  <c r="K878" s="1"/>
  <c r="J887"/>
  <c r="J878" s="1"/>
  <c r="D887"/>
  <c r="D878" s="1"/>
  <c r="L886"/>
  <c r="L877" s="1"/>
  <c r="K886"/>
  <c r="K877" s="1"/>
  <c r="J886"/>
  <c r="J877" s="1"/>
  <c r="D886"/>
  <c r="D877" s="1"/>
  <c r="L883"/>
  <c r="L873" s="1"/>
  <c r="K883"/>
  <c r="K873" s="1"/>
  <c r="J883"/>
  <c r="J873" s="1"/>
  <c r="L882"/>
  <c r="L872" s="1"/>
  <c r="K882"/>
  <c r="K872" s="1"/>
  <c r="J882"/>
  <c r="J872" s="1"/>
  <c r="D882"/>
  <c r="D872" s="1"/>
  <c r="D868"/>
  <c r="D867" s="1"/>
  <c r="D866" s="1"/>
  <c r="D865" s="1"/>
  <c r="L867"/>
  <c r="L866" s="1"/>
  <c r="L865" s="1"/>
  <c r="K867"/>
  <c r="K866" s="1"/>
  <c r="K865" s="1"/>
  <c r="J867"/>
  <c r="J866" s="1"/>
  <c r="J865" s="1"/>
  <c r="L863"/>
  <c r="K863"/>
  <c r="J863"/>
  <c r="D863"/>
  <c r="L860"/>
  <c r="L859" s="1"/>
  <c r="L858" s="1"/>
  <c r="K860"/>
  <c r="K859" s="1"/>
  <c r="K858" s="1"/>
  <c r="J860"/>
  <c r="J859" s="1"/>
  <c r="J858" s="1"/>
  <c r="D860"/>
  <c r="D859" s="1"/>
  <c r="D858" s="1"/>
  <c r="L855"/>
  <c r="K855"/>
  <c r="J855"/>
  <c r="D855"/>
  <c r="L852"/>
  <c r="L851" s="1"/>
  <c r="L850" s="1"/>
  <c r="K852"/>
  <c r="K851" s="1"/>
  <c r="K850" s="1"/>
  <c r="J852"/>
  <c r="J851" s="1"/>
  <c r="J850" s="1"/>
  <c r="D852"/>
  <c r="D851" s="1"/>
  <c r="D850" s="1"/>
  <c r="L847"/>
  <c r="K847"/>
  <c r="J847"/>
  <c r="D847"/>
  <c r="D845"/>
  <c r="D843" s="1"/>
  <c r="D842" s="1"/>
  <c r="D841" s="1"/>
  <c r="L843"/>
  <c r="L842" s="1"/>
  <c r="K843"/>
  <c r="J843"/>
  <c r="L838"/>
  <c r="K838"/>
  <c r="J838"/>
  <c r="D838"/>
  <c r="D836"/>
  <c r="D834" s="1"/>
  <c r="D833" s="1"/>
  <c r="D832" s="1"/>
  <c r="L834"/>
  <c r="L833" s="1"/>
  <c r="L832" s="1"/>
  <c r="K834"/>
  <c r="K833" s="1"/>
  <c r="K832" s="1"/>
  <c r="J834"/>
  <c r="J833" s="1"/>
  <c r="J832" s="1"/>
  <c r="D829"/>
  <c r="D828"/>
  <c r="D826" s="1"/>
  <c r="L826"/>
  <c r="L825" s="1"/>
  <c r="L824" s="1"/>
  <c r="L823" s="1"/>
  <c r="K826"/>
  <c r="K825" s="1"/>
  <c r="K824" s="1"/>
  <c r="K823" s="1"/>
  <c r="J826"/>
  <c r="J825" s="1"/>
  <c r="J824" s="1"/>
  <c r="J823" s="1"/>
  <c r="L820"/>
  <c r="L677" s="1"/>
  <c r="K820"/>
  <c r="K677" s="1"/>
  <c r="J820"/>
  <c r="J677" s="1"/>
  <c r="D820"/>
  <c r="D677" s="1"/>
  <c r="L814"/>
  <c r="K814"/>
  <c r="J814"/>
  <c r="D814"/>
  <c r="D813"/>
  <c r="L811"/>
  <c r="L810" s="1"/>
  <c r="K811"/>
  <c r="K810" s="1"/>
  <c r="J811"/>
  <c r="J810" s="1"/>
  <c r="D811"/>
  <c r="D810" s="1"/>
  <c r="L807"/>
  <c r="K807"/>
  <c r="J807"/>
  <c r="D807"/>
  <c r="D806"/>
  <c r="D804" s="1"/>
  <c r="D803" s="1"/>
  <c r="L804"/>
  <c r="L803" s="1"/>
  <c r="K804"/>
  <c r="K803" s="1"/>
  <c r="J804"/>
  <c r="J803" s="1"/>
  <c r="D799"/>
  <c r="D798" s="1"/>
  <c r="D797" s="1"/>
  <c r="L795"/>
  <c r="K795"/>
  <c r="J795"/>
  <c r="D795"/>
  <c r="D794"/>
  <c r="D792" s="1"/>
  <c r="D791" s="1"/>
  <c r="L792"/>
  <c r="L791" s="1"/>
  <c r="K792"/>
  <c r="K791" s="1"/>
  <c r="J792"/>
  <c r="J791" s="1"/>
  <c r="L788"/>
  <c r="K788"/>
  <c r="J788"/>
  <c r="D788"/>
  <c r="D787"/>
  <c r="D785" s="1"/>
  <c r="D784" s="1"/>
  <c r="L785"/>
  <c r="L784" s="1"/>
  <c r="K785"/>
  <c r="K784" s="1"/>
  <c r="J785"/>
  <c r="J784" s="1"/>
  <c r="L781"/>
  <c r="K781"/>
  <c r="J781"/>
  <c r="D781"/>
  <c r="D780"/>
  <c r="D778" s="1"/>
  <c r="D777" s="1"/>
  <c r="L778"/>
  <c r="L777" s="1"/>
  <c r="K778"/>
  <c r="K777" s="1"/>
  <c r="J778"/>
  <c r="J777" s="1"/>
  <c r="L774"/>
  <c r="K774"/>
  <c r="J774"/>
  <c r="D774"/>
  <c r="D773"/>
  <c r="D771" s="1"/>
  <c r="D770" s="1"/>
  <c r="L771"/>
  <c r="L770" s="1"/>
  <c r="K771"/>
  <c r="K770" s="1"/>
  <c r="J771"/>
  <c r="J770" s="1"/>
  <c r="L767"/>
  <c r="K767"/>
  <c r="J767"/>
  <c r="D767"/>
  <c r="D766"/>
  <c r="D764" s="1"/>
  <c r="D763" s="1"/>
  <c r="L764"/>
  <c r="L763" s="1"/>
  <c r="K764"/>
  <c r="K763" s="1"/>
  <c r="J764"/>
  <c r="J763" s="1"/>
  <c r="L760"/>
  <c r="K760"/>
  <c r="J760"/>
  <c r="D760"/>
  <c r="L757"/>
  <c r="L756" s="1"/>
  <c r="K757"/>
  <c r="K756" s="1"/>
  <c r="J757"/>
  <c r="J756" s="1"/>
  <c r="D757"/>
  <c r="D756" s="1"/>
  <c r="L754"/>
  <c r="L682" s="1"/>
  <c r="K754"/>
  <c r="K682" s="1"/>
  <c r="J754"/>
  <c r="J682" s="1"/>
  <c r="D754"/>
  <c r="D682" s="1"/>
  <c r="L752"/>
  <c r="L673" s="1"/>
  <c r="K752"/>
  <c r="K673" s="1"/>
  <c r="J752"/>
  <c r="J673" s="1"/>
  <c r="L751"/>
  <c r="L672" s="1"/>
  <c r="K751"/>
  <c r="K672" s="1"/>
  <c r="J751"/>
  <c r="J672" s="1"/>
  <c r="D751"/>
  <c r="L718"/>
  <c r="L717" s="1"/>
  <c r="L716" s="1"/>
  <c r="K718"/>
  <c r="K717" s="1"/>
  <c r="K716" s="1"/>
  <c r="J718"/>
  <c r="J717" s="1"/>
  <c r="J716" s="1"/>
  <c r="D718"/>
  <c r="D717" s="1"/>
  <c r="D716" s="1"/>
  <c r="L712"/>
  <c r="L711" s="1"/>
  <c r="L710" s="1"/>
  <c r="K712"/>
  <c r="K711" s="1"/>
  <c r="K710" s="1"/>
  <c r="J712"/>
  <c r="J711" s="1"/>
  <c r="J710" s="1"/>
  <c r="D712"/>
  <c r="D711" s="1"/>
  <c r="D710" s="1"/>
  <c r="L695"/>
  <c r="K695"/>
  <c r="K693" s="1"/>
  <c r="K80" s="1"/>
  <c r="J695"/>
  <c r="J693" s="1"/>
  <c r="J80" s="1"/>
  <c r="D695"/>
  <c r="D693" s="1"/>
  <c r="D80" s="1"/>
  <c r="D171" s="1"/>
  <c r="L688"/>
  <c r="L685" s="1"/>
  <c r="L684" s="1"/>
  <c r="K688"/>
  <c r="J688"/>
  <c r="J685" s="1"/>
  <c r="D688"/>
  <c r="D685" s="1"/>
  <c r="L676"/>
  <c r="K676"/>
  <c r="J676"/>
  <c r="D676"/>
  <c r="D668"/>
  <c r="D666" s="1"/>
  <c r="D665" s="1"/>
  <c r="L667"/>
  <c r="K667"/>
  <c r="J667"/>
  <c r="L666"/>
  <c r="L665" s="1"/>
  <c r="K666"/>
  <c r="K665" s="1"/>
  <c r="J666"/>
  <c r="J665" s="1"/>
  <c r="L662"/>
  <c r="K662"/>
  <c r="J662"/>
  <c r="D662"/>
  <c r="D660"/>
  <c r="D658" s="1"/>
  <c r="D657" s="1"/>
  <c r="D656" s="1"/>
  <c r="L658"/>
  <c r="L657" s="1"/>
  <c r="L656" s="1"/>
  <c r="K658"/>
  <c r="K657" s="1"/>
  <c r="K656" s="1"/>
  <c r="J658"/>
  <c r="J657" s="1"/>
  <c r="J656" s="1"/>
  <c r="L653"/>
  <c r="L652" s="1"/>
  <c r="L651" s="1"/>
  <c r="K653"/>
  <c r="K652" s="1"/>
  <c r="K651" s="1"/>
  <c r="J653"/>
  <c r="J652" s="1"/>
  <c r="J651" s="1"/>
  <c r="D653"/>
  <c r="D652" s="1"/>
  <c r="D651" s="1"/>
  <c r="L649"/>
  <c r="K649"/>
  <c r="J649"/>
  <c r="D649"/>
  <c r="D648"/>
  <c r="D646" s="1"/>
  <c r="D645" s="1"/>
  <c r="D644" s="1"/>
  <c r="L646"/>
  <c r="L645" s="1"/>
  <c r="L644" s="1"/>
  <c r="K646"/>
  <c r="K645" s="1"/>
  <c r="K644" s="1"/>
  <c r="J646"/>
  <c r="J645" s="1"/>
  <c r="J644" s="1"/>
  <c r="L641"/>
  <c r="K641"/>
  <c r="J641"/>
  <c r="D641"/>
  <c r="D640"/>
  <c r="D638" s="1"/>
  <c r="D637" s="1"/>
  <c r="D636" s="1"/>
  <c r="L638"/>
  <c r="L637" s="1"/>
  <c r="L636" s="1"/>
  <c r="K638"/>
  <c r="K637" s="1"/>
  <c r="K636" s="1"/>
  <c r="J638"/>
  <c r="J637" s="1"/>
  <c r="J636" s="1"/>
  <c r="L633"/>
  <c r="K633"/>
  <c r="J633"/>
  <c r="D633"/>
  <c r="D631"/>
  <c r="D629" s="1"/>
  <c r="D628" s="1"/>
  <c r="D627" s="1"/>
  <c r="L628"/>
  <c r="L627" s="1"/>
  <c r="K628"/>
  <c r="K627" s="1"/>
  <c r="J628"/>
  <c r="J627" s="1"/>
  <c r="L623"/>
  <c r="K623"/>
  <c r="J623"/>
  <c r="D623"/>
  <c r="D621"/>
  <c r="D619" s="1"/>
  <c r="D618" s="1"/>
  <c r="D617" s="1"/>
  <c r="L619"/>
  <c r="L618" s="1"/>
  <c r="L617" s="1"/>
  <c r="K619"/>
  <c r="K618" s="1"/>
  <c r="K617" s="1"/>
  <c r="J619"/>
  <c r="J618" s="1"/>
  <c r="J617" s="1"/>
  <c r="L612"/>
  <c r="L611" s="1"/>
  <c r="L610" s="1"/>
  <c r="K612"/>
  <c r="K611" s="1"/>
  <c r="K610" s="1"/>
  <c r="J612"/>
  <c r="J611" s="1"/>
  <c r="J610" s="1"/>
  <c r="D612"/>
  <c r="D611" s="1"/>
  <c r="D610" s="1"/>
  <c r="L606"/>
  <c r="K606"/>
  <c r="J606"/>
  <c r="J605" s="1"/>
  <c r="J604" s="1"/>
  <c r="D606"/>
  <c r="D605" s="1"/>
  <c r="L602"/>
  <c r="K602"/>
  <c r="J602"/>
  <c r="D602"/>
  <c r="L599"/>
  <c r="L598" s="1"/>
  <c r="L597" s="1"/>
  <c r="K599"/>
  <c r="K598" s="1"/>
  <c r="K597" s="1"/>
  <c r="J599"/>
  <c r="J598" s="1"/>
  <c r="J597" s="1"/>
  <c r="D599"/>
  <c r="D598" s="1"/>
  <c r="D597" s="1"/>
  <c r="L593"/>
  <c r="K593"/>
  <c r="J593"/>
  <c r="D593"/>
  <c r="D590"/>
  <c r="D588" s="1"/>
  <c r="L588"/>
  <c r="L587" s="1"/>
  <c r="K588"/>
  <c r="J588"/>
  <c r="L583"/>
  <c r="K583"/>
  <c r="J583"/>
  <c r="D583"/>
  <c r="L582"/>
  <c r="K582"/>
  <c r="J582"/>
  <c r="D582"/>
  <c r="L580"/>
  <c r="K580"/>
  <c r="J580"/>
  <c r="D580"/>
  <c r="L579"/>
  <c r="K579"/>
  <c r="J579"/>
  <c r="D579"/>
  <c r="L577"/>
  <c r="K577"/>
  <c r="J577"/>
  <c r="L571"/>
  <c r="L570" s="1"/>
  <c r="L569" s="1"/>
  <c r="L568" s="1"/>
  <c r="K571"/>
  <c r="K570" s="1"/>
  <c r="K569" s="1"/>
  <c r="K568" s="1"/>
  <c r="J571"/>
  <c r="J570" s="1"/>
  <c r="J569" s="1"/>
  <c r="J568" s="1"/>
  <c r="D571"/>
  <c r="L565"/>
  <c r="L564" s="1"/>
  <c r="L563" s="1"/>
  <c r="L562" s="1"/>
  <c r="K565"/>
  <c r="K564" s="1"/>
  <c r="K563" s="1"/>
  <c r="K562" s="1"/>
  <c r="J565"/>
  <c r="J564" s="1"/>
  <c r="J563" s="1"/>
  <c r="J562" s="1"/>
  <c r="D565"/>
  <c r="D564" s="1"/>
  <c r="D563" s="1"/>
  <c r="D562" s="1"/>
  <c r="L559"/>
  <c r="L558" s="1"/>
  <c r="L557" s="1"/>
  <c r="L556" s="1"/>
  <c r="K559"/>
  <c r="K558" s="1"/>
  <c r="K557" s="1"/>
  <c r="K556" s="1"/>
  <c r="J559"/>
  <c r="J558" s="1"/>
  <c r="J557" s="1"/>
  <c r="J556" s="1"/>
  <c r="D559"/>
  <c r="D558" s="1"/>
  <c r="D557" s="1"/>
  <c r="D556" s="1"/>
  <c r="L553"/>
  <c r="L552" s="1"/>
  <c r="L551" s="1"/>
  <c r="L550" s="1"/>
  <c r="K553"/>
  <c r="K552" s="1"/>
  <c r="K551" s="1"/>
  <c r="K550" s="1"/>
  <c r="J553"/>
  <c r="J552" s="1"/>
  <c r="J551" s="1"/>
  <c r="J550" s="1"/>
  <c r="D553"/>
  <c r="D552" s="1"/>
  <c r="D551" s="1"/>
  <c r="D550" s="1"/>
  <c r="L547"/>
  <c r="K547"/>
  <c r="J547"/>
  <c r="D547"/>
  <c r="D546" s="1"/>
  <c r="D545" s="1"/>
  <c r="L537"/>
  <c r="K537"/>
  <c r="J537"/>
  <c r="D537"/>
  <c r="D536"/>
  <c r="D535" s="1"/>
  <c r="D534" s="1"/>
  <c r="D533" s="1"/>
  <c r="L535"/>
  <c r="L534" s="1"/>
  <c r="L533" s="1"/>
  <c r="K535"/>
  <c r="K534" s="1"/>
  <c r="K533" s="1"/>
  <c r="J535"/>
  <c r="L529"/>
  <c r="K529"/>
  <c r="J529"/>
  <c r="D529"/>
  <c r="L524"/>
  <c r="L523" s="1"/>
  <c r="K524"/>
  <c r="K523" s="1"/>
  <c r="J524"/>
  <c r="J523" s="1"/>
  <c r="D524"/>
  <c r="D523" s="1"/>
  <c r="L518"/>
  <c r="L517" s="1"/>
  <c r="L516" s="1"/>
  <c r="K518"/>
  <c r="K517" s="1"/>
  <c r="K516" s="1"/>
  <c r="J518"/>
  <c r="J517" s="1"/>
  <c r="J516" s="1"/>
  <c r="D518"/>
  <c r="D517" s="1"/>
  <c r="D516" s="1"/>
  <c r="D22" s="1"/>
  <c r="D127" s="1"/>
  <c r="L514"/>
  <c r="K514"/>
  <c r="J514"/>
  <c r="D514"/>
  <c r="L508"/>
  <c r="L507" s="1"/>
  <c r="K508"/>
  <c r="K507" s="1"/>
  <c r="J508"/>
  <c r="J507" s="1"/>
  <c r="D508"/>
  <c r="D507" s="1"/>
  <c r="L504"/>
  <c r="K504"/>
  <c r="J504"/>
  <c r="D504"/>
  <c r="L498"/>
  <c r="L497" s="1"/>
  <c r="K498"/>
  <c r="K497" s="1"/>
  <c r="J498"/>
  <c r="J497" s="1"/>
  <c r="D498"/>
  <c r="D497" s="1"/>
  <c r="L494"/>
  <c r="K494"/>
  <c r="J494"/>
  <c r="D494"/>
  <c r="L488"/>
  <c r="L487" s="1"/>
  <c r="K488"/>
  <c r="K487" s="1"/>
  <c r="J488"/>
  <c r="J487" s="1"/>
  <c r="D488"/>
  <c r="D487" s="1"/>
  <c r="L484"/>
  <c r="K484"/>
  <c r="J484"/>
  <c r="D484"/>
  <c r="L479"/>
  <c r="L478" s="1"/>
  <c r="K479"/>
  <c r="K478" s="1"/>
  <c r="J479"/>
  <c r="D479"/>
  <c r="D478" s="1"/>
  <c r="D472"/>
  <c r="D460" s="1"/>
  <c r="D450" s="1"/>
  <c r="L471"/>
  <c r="K471"/>
  <c r="J471"/>
  <c r="D467"/>
  <c r="D464" s="1"/>
  <c r="L464"/>
  <c r="L463" s="1"/>
  <c r="K464"/>
  <c r="K463" s="1"/>
  <c r="J464"/>
  <c r="J463" s="1"/>
  <c r="L461"/>
  <c r="L451" s="1"/>
  <c r="K461"/>
  <c r="K451" s="1"/>
  <c r="J461"/>
  <c r="J451" s="1"/>
  <c r="D461"/>
  <c r="D451" s="1"/>
  <c r="L460"/>
  <c r="L450" s="1"/>
  <c r="K460"/>
  <c r="K450" s="1"/>
  <c r="J460"/>
  <c r="J450" s="1"/>
  <c r="L458"/>
  <c r="L447" s="1"/>
  <c r="K458"/>
  <c r="K447" s="1"/>
  <c r="J458"/>
  <c r="J447" s="1"/>
  <c r="D458"/>
  <c r="D447" s="1"/>
  <c r="L457"/>
  <c r="L445" s="1"/>
  <c r="K457"/>
  <c r="K445" s="1"/>
  <c r="J457"/>
  <c r="J445" s="1"/>
  <c r="L456"/>
  <c r="K456"/>
  <c r="J456"/>
  <c r="D456"/>
  <c r="L455"/>
  <c r="L444" s="1"/>
  <c r="L427" s="1"/>
  <c r="K455"/>
  <c r="K444" s="1"/>
  <c r="J455"/>
  <c r="J444" s="1"/>
  <c r="D455"/>
  <c r="D444" s="1"/>
  <c r="L448"/>
  <c r="L432" s="1"/>
  <c r="K448"/>
  <c r="K432" s="1"/>
  <c r="J448"/>
  <c r="J432" s="1"/>
  <c r="D448"/>
  <c r="D432" s="1"/>
  <c r="L446"/>
  <c r="K446"/>
  <c r="J446"/>
  <c r="D446"/>
  <c r="L437"/>
  <c r="K437"/>
  <c r="J437"/>
  <c r="D437"/>
  <c r="L435"/>
  <c r="K435"/>
  <c r="J435"/>
  <c r="D435"/>
  <c r="D230" s="1"/>
  <c r="L434"/>
  <c r="K434"/>
  <c r="K229" s="1"/>
  <c r="J434"/>
  <c r="J229" s="1"/>
  <c r="D434"/>
  <c r="D229" s="1"/>
  <c r="L420"/>
  <c r="K420"/>
  <c r="J420"/>
  <c r="D420"/>
  <c r="D418"/>
  <c r="D416" s="1"/>
  <c r="D415" s="1"/>
  <c r="L416"/>
  <c r="L415" s="1"/>
  <c r="K416"/>
  <c r="K415" s="1"/>
  <c r="J416"/>
  <c r="J415" s="1"/>
  <c r="L411"/>
  <c r="L409" s="1"/>
  <c r="K411"/>
  <c r="J411"/>
  <c r="D411"/>
  <c r="D410" s="1"/>
  <c r="L405"/>
  <c r="L404" s="1"/>
  <c r="K405"/>
  <c r="K398" s="1"/>
  <c r="J405"/>
  <c r="J398" s="1"/>
  <c r="D405"/>
  <c r="D398" s="1"/>
  <c r="D403"/>
  <c r="D402" s="1"/>
  <c r="L402"/>
  <c r="K402"/>
  <c r="K401" s="1"/>
  <c r="J402"/>
  <c r="L396"/>
  <c r="K396"/>
  <c r="J396"/>
  <c r="D396"/>
  <c r="L395"/>
  <c r="K395"/>
  <c r="J395"/>
  <c r="L394"/>
  <c r="K394"/>
  <c r="J394"/>
  <c r="D394"/>
  <c r="L388"/>
  <c r="L386" s="1"/>
  <c r="L384" s="1"/>
  <c r="K388"/>
  <c r="J388"/>
  <c r="J242" s="1"/>
  <c r="J219" s="1"/>
  <c r="D388"/>
  <c r="D242" s="1"/>
  <c r="D219" s="1"/>
  <c r="L382"/>
  <c r="L381" s="1"/>
  <c r="L380" s="1"/>
  <c r="K382"/>
  <c r="K381" s="1"/>
  <c r="K380" s="1"/>
  <c r="J382"/>
  <c r="J381" s="1"/>
  <c r="J380" s="1"/>
  <c r="D382"/>
  <c r="D381" s="1"/>
  <c r="D380" s="1"/>
  <c r="D376"/>
  <c r="L373"/>
  <c r="L372" s="1"/>
  <c r="K373"/>
  <c r="K372" s="1"/>
  <c r="K248" s="1"/>
  <c r="K225" s="1"/>
  <c r="J373"/>
  <c r="J372" s="1"/>
  <c r="J371" s="1"/>
  <c r="J370" s="1"/>
  <c r="D373"/>
  <c r="D372" s="1"/>
  <c r="L368"/>
  <c r="K368"/>
  <c r="J368"/>
  <c r="D368"/>
  <c r="D367"/>
  <c r="D365" s="1"/>
  <c r="L365"/>
  <c r="K365"/>
  <c r="K244" s="1"/>
  <c r="J365"/>
  <c r="J364" s="1"/>
  <c r="J363" s="1"/>
  <c r="D360"/>
  <c r="D359" s="1"/>
  <c r="D358" s="1"/>
  <c r="L360"/>
  <c r="L359" s="1"/>
  <c r="L358" s="1"/>
  <c r="K360"/>
  <c r="K359" s="1"/>
  <c r="K358" s="1"/>
  <c r="J360"/>
  <c r="J359" s="1"/>
  <c r="J358" s="1"/>
  <c r="L347"/>
  <c r="L346" s="1"/>
  <c r="L345" s="1"/>
  <c r="K347"/>
  <c r="K346" s="1"/>
  <c r="K345" s="1"/>
  <c r="J347"/>
  <c r="J346" s="1"/>
  <c r="J345" s="1"/>
  <c r="H347"/>
  <c r="H346" s="1"/>
  <c r="H345" s="1"/>
  <c r="G347"/>
  <c r="G346" s="1"/>
  <c r="G345" s="1"/>
  <c r="F347"/>
  <c r="F273" s="1"/>
  <c r="E347"/>
  <c r="E346" s="1"/>
  <c r="D347"/>
  <c r="D346" s="1"/>
  <c r="D345" s="1"/>
  <c r="L341"/>
  <c r="L340" s="1"/>
  <c r="L339" s="1"/>
  <c r="K341"/>
  <c r="K340" s="1"/>
  <c r="K339" s="1"/>
  <c r="J341"/>
  <c r="J340" s="1"/>
  <c r="J339" s="1"/>
  <c r="D341"/>
  <c r="D340" s="1"/>
  <c r="D339" s="1"/>
  <c r="L335"/>
  <c r="L334" s="1"/>
  <c r="L333" s="1"/>
  <c r="K335"/>
  <c r="K334" s="1"/>
  <c r="K333" s="1"/>
  <c r="J335"/>
  <c r="J334" s="1"/>
  <c r="J333" s="1"/>
  <c r="D335"/>
  <c r="D334" s="1"/>
  <c r="D333" s="1"/>
  <c r="L329"/>
  <c r="L328" s="1"/>
  <c r="L327" s="1"/>
  <c r="K329"/>
  <c r="J329"/>
  <c r="D329"/>
  <c r="D328" s="1"/>
  <c r="D327" s="1"/>
  <c r="L323"/>
  <c r="L322" s="1"/>
  <c r="L321" s="1"/>
  <c r="K323"/>
  <c r="K322" s="1"/>
  <c r="K321" s="1"/>
  <c r="J323"/>
  <c r="J322" s="1"/>
  <c r="J321" s="1"/>
  <c r="D323"/>
  <c r="D322" s="1"/>
  <c r="D321" s="1"/>
  <c r="D320"/>
  <c r="D276" s="1"/>
  <c r="L319"/>
  <c r="L275" s="1"/>
  <c r="L97" s="1"/>
  <c r="K319"/>
  <c r="J317"/>
  <c r="J316" s="1"/>
  <c r="J315" s="1"/>
  <c r="L311"/>
  <c r="L310" s="1"/>
  <c r="L309" s="1"/>
  <c r="K311"/>
  <c r="K310" s="1"/>
  <c r="K309" s="1"/>
  <c r="J311"/>
  <c r="J310" s="1"/>
  <c r="J309" s="1"/>
  <c r="D311"/>
  <c r="D310" s="1"/>
  <c r="D309" s="1"/>
  <c r="L305"/>
  <c r="L304" s="1"/>
  <c r="L303" s="1"/>
  <c r="K305"/>
  <c r="K304" s="1"/>
  <c r="K303" s="1"/>
  <c r="J305"/>
  <c r="J273" s="1"/>
  <c r="D305"/>
  <c r="D304" s="1"/>
  <c r="D303" s="1"/>
  <c r="L299"/>
  <c r="K299"/>
  <c r="J298"/>
  <c r="J297" s="1"/>
  <c r="D299"/>
  <c r="J286"/>
  <c r="D281"/>
  <c r="D256" s="1"/>
  <c r="L280"/>
  <c r="K280"/>
  <c r="J280"/>
  <c r="H280"/>
  <c r="G280"/>
  <c r="F280"/>
  <c r="E280"/>
  <c r="D280"/>
  <c r="L279"/>
  <c r="L101" s="1"/>
  <c r="L205" s="1"/>
  <c r="K279"/>
  <c r="K101" s="1"/>
  <c r="J279"/>
  <c r="J101" s="1"/>
  <c r="H279"/>
  <c r="H102" s="1"/>
  <c r="G279"/>
  <c r="G101" s="1"/>
  <c r="F279"/>
  <c r="F101" s="1"/>
  <c r="E279"/>
  <c r="E101" s="1"/>
  <c r="D279"/>
  <c r="D101" s="1"/>
  <c r="D205" s="1"/>
  <c r="L278"/>
  <c r="L92" s="1"/>
  <c r="L71" s="1"/>
  <c r="K278"/>
  <c r="K92" s="1"/>
  <c r="K71" s="1"/>
  <c r="J278"/>
  <c r="J92" s="1"/>
  <c r="H278"/>
  <c r="H92" s="1"/>
  <c r="H71" s="1"/>
  <c r="G278"/>
  <c r="G92" s="1"/>
  <c r="G71" s="1"/>
  <c r="F278"/>
  <c r="F92" s="1"/>
  <c r="F71" s="1"/>
  <c r="E278"/>
  <c r="E92" s="1"/>
  <c r="D278"/>
  <c r="D92" s="1"/>
  <c r="H277"/>
  <c r="G277"/>
  <c r="F277"/>
  <c r="E277"/>
  <c r="J96"/>
  <c r="J200" s="1"/>
  <c r="H96"/>
  <c r="G96"/>
  <c r="F96"/>
  <c r="L267"/>
  <c r="K267"/>
  <c r="J267"/>
  <c r="D267"/>
  <c r="D240"/>
  <c r="L259"/>
  <c r="L258" s="1"/>
  <c r="K259"/>
  <c r="K258" s="1"/>
  <c r="J259"/>
  <c r="L256"/>
  <c r="K256"/>
  <c r="J256"/>
  <c r="L254"/>
  <c r="K254"/>
  <c r="J254"/>
  <c r="D254"/>
  <c r="L253"/>
  <c r="K253"/>
  <c r="J253"/>
  <c r="D253"/>
  <c r="L252"/>
  <c r="K252"/>
  <c r="J252"/>
  <c r="D252"/>
  <c r="L251"/>
  <c r="K251"/>
  <c r="J251"/>
  <c r="D251"/>
  <c r="L249"/>
  <c r="K249"/>
  <c r="J249"/>
  <c r="D249"/>
  <c r="L247"/>
  <c r="K247"/>
  <c r="J247"/>
  <c r="D247"/>
  <c r="L246"/>
  <c r="K246"/>
  <c r="J246"/>
  <c r="D246"/>
  <c r="L245"/>
  <c r="L222" s="1"/>
  <c r="K245"/>
  <c r="K222" s="1"/>
  <c r="J245"/>
  <c r="J222" s="1"/>
  <c r="D245"/>
  <c r="D222" s="1"/>
  <c r="L243"/>
  <c r="L220" s="1"/>
  <c r="K243"/>
  <c r="K220" s="1"/>
  <c r="J243"/>
  <c r="J220" s="1"/>
  <c r="L241"/>
  <c r="K241"/>
  <c r="J241"/>
  <c r="D241"/>
  <c r="L240"/>
  <c r="K240"/>
  <c r="J240"/>
  <c r="L230"/>
  <c r="K230"/>
  <c r="J230"/>
  <c r="L229"/>
  <c r="L198"/>
  <c r="K198"/>
  <c r="J198"/>
  <c r="H198"/>
  <c r="G198"/>
  <c r="E198"/>
  <c r="L196"/>
  <c r="K196"/>
  <c r="J196"/>
  <c r="D196"/>
  <c r="L194"/>
  <c r="K194"/>
  <c r="J194"/>
  <c r="D194"/>
  <c r="L191"/>
  <c r="K191"/>
  <c r="J191"/>
  <c r="D191"/>
  <c r="L183"/>
  <c r="K183"/>
  <c r="J183"/>
  <c r="D183"/>
  <c r="L179"/>
  <c r="K179"/>
  <c r="J179"/>
  <c r="H179"/>
  <c r="G179"/>
  <c r="F179"/>
  <c r="E179"/>
  <c r="D179"/>
  <c r="L176"/>
  <c r="K176"/>
  <c r="J176"/>
  <c r="D176"/>
  <c r="L173"/>
  <c r="K173"/>
  <c r="J173"/>
  <c r="D173"/>
  <c r="L172"/>
  <c r="K172"/>
  <c r="J172"/>
  <c r="D172"/>
  <c r="D163"/>
  <c r="L160"/>
  <c r="K160"/>
  <c r="J160"/>
  <c r="L158"/>
  <c r="K158"/>
  <c r="J158"/>
  <c r="D158"/>
  <c r="L157"/>
  <c r="K157"/>
  <c r="J157"/>
  <c r="D157"/>
  <c r="L155"/>
  <c r="L154" s="1"/>
  <c r="K155"/>
  <c r="K154" s="1"/>
  <c r="J155"/>
  <c r="J154" s="1"/>
  <c r="D155"/>
  <c r="D154" s="1"/>
  <c r="L153"/>
  <c r="K153"/>
  <c r="J153"/>
  <c r="H153"/>
  <c r="G153"/>
  <c r="F153"/>
  <c r="E153"/>
  <c r="D153"/>
  <c r="L151"/>
  <c r="K151"/>
  <c r="J151"/>
  <c r="H151"/>
  <c r="G151"/>
  <c r="F151"/>
  <c r="E151"/>
  <c r="D151"/>
  <c r="L150"/>
  <c r="K150"/>
  <c r="J150"/>
  <c r="L148"/>
  <c r="L147" s="1"/>
  <c r="K148"/>
  <c r="K147" s="1"/>
  <c r="J148"/>
  <c r="J147" s="1"/>
  <c r="H148"/>
  <c r="H147" s="1"/>
  <c r="G148"/>
  <c r="G147" s="1"/>
  <c r="F148"/>
  <c r="F147" s="1"/>
  <c r="E148"/>
  <c r="E147" s="1"/>
  <c r="D148"/>
  <c r="D147" s="1"/>
  <c r="L145"/>
  <c r="K145"/>
  <c r="J145"/>
  <c r="D145"/>
  <c r="L141"/>
  <c r="K141"/>
  <c r="J141"/>
  <c r="D141"/>
  <c r="L140"/>
  <c r="K140"/>
  <c r="J140"/>
  <c r="D140"/>
  <c r="L139"/>
  <c r="K139"/>
  <c r="J139"/>
  <c r="D139"/>
  <c r="L136"/>
  <c r="K136"/>
  <c r="J136"/>
  <c r="D136"/>
  <c r="L135"/>
  <c r="K135"/>
  <c r="J135"/>
  <c r="D135"/>
  <c r="L134"/>
  <c r="K134"/>
  <c r="J134"/>
  <c r="D134"/>
  <c r="L133"/>
  <c r="K133"/>
  <c r="J133"/>
  <c r="D133"/>
  <c r="L132"/>
  <c r="K132"/>
  <c r="J132"/>
  <c r="D132"/>
  <c r="L131"/>
  <c r="K131"/>
  <c r="J131"/>
  <c r="D131"/>
  <c r="L128"/>
  <c r="K128"/>
  <c r="J128"/>
  <c r="D128"/>
  <c r="L126"/>
  <c r="K126"/>
  <c r="J126"/>
  <c r="D126"/>
  <c r="L125"/>
  <c r="K125"/>
  <c r="J125"/>
  <c r="D125"/>
  <c r="L124"/>
  <c r="K124"/>
  <c r="J124"/>
  <c r="D124"/>
  <c r="L121"/>
  <c r="K121"/>
  <c r="J121"/>
  <c r="D121"/>
  <c r="L120"/>
  <c r="K120"/>
  <c r="J120"/>
  <c r="D120"/>
  <c r="L118"/>
  <c r="L117" s="1"/>
  <c r="K118"/>
  <c r="K117" s="1"/>
  <c r="J118"/>
  <c r="J117" s="1"/>
  <c r="L112"/>
  <c r="K112"/>
  <c r="J112"/>
  <c r="D112"/>
  <c r="L104"/>
  <c r="K104"/>
  <c r="J104"/>
  <c r="L206"/>
  <c r="J206"/>
  <c r="G102"/>
  <c r="F102"/>
  <c r="Q80"/>
  <c r="H80"/>
  <c r="G80"/>
  <c r="F80"/>
  <c r="E80"/>
  <c r="D73"/>
  <c r="L64"/>
  <c r="K64"/>
  <c r="J64"/>
  <c r="D64"/>
  <c r="D160"/>
  <c r="L56"/>
  <c r="K56"/>
  <c r="J56"/>
  <c r="D56"/>
  <c r="L54"/>
  <c r="K54"/>
  <c r="J54"/>
  <c r="D54"/>
  <c r="D49"/>
  <c r="L49"/>
  <c r="K49"/>
  <c r="J49"/>
  <c r="L47"/>
  <c r="L42" s="1"/>
  <c r="L142" s="1"/>
  <c r="K47"/>
  <c r="K42" s="1"/>
  <c r="K142" s="1"/>
  <c r="J47"/>
  <c r="J42" s="1"/>
  <c r="J142" s="1"/>
  <c r="D47"/>
  <c r="D42" s="1"/>
  <c r="D142" s="1"/>
  <c r="L38"/>
  <c r="K38"/>
  <c r="J38"/>
  <c r="D38"/>
  <c r="L29"/>
  <c r="L130" s="1"/>
  <c r="K29"/>
  <c r="K130" s="1"/>
  <c r="J29"/>
  <c r="J130" s="1"/>
  <c r="D29"/>
  <c r="L24"/>
  <c r="L129" s="1"/>
  <c r="K24"/>
  <c r="K129" s="1"/>
  <c r="J24"/>
  <c r="J129" s="1"/>
  <c r="D24"/>
  <c r="D129" s="1"/>
  <c r="L22"/>
  <c r="L127" s="1"/>
  <c r="K22"/>
  <c r="K127" s="1"/>
  <c r="J22"/>
  <c r="J127" s="1"/>
  <c r="L14"/>
  <c r="K14"/>
  <c r="J14"/>
  <c r="D14"/>
  <c r="L12"/>
  <c r="K12"/>
  <c r="J12"/>
  <c r="D12"/>
  <c r="D118" s="1"/>
  <c r="D117" s="1"/>
  <c r="I242" l="1"/>
  <c r="I404"/>
  <c r="I477"/>
  <c r="L699"/>
  <c r="L698" s="1"/>
  <c r="L242"/>
  <c r="L219" s="1"/>
  <c r="K699"/>
  <c r="J699"/>
  <c r="D699"/>
  <c r="I863"/>
  <c r="I410"/>
  <c r="I460"/>
  <c r="I568"/>
  <c r="I413"/>
  <c r="I297"/>
  <c r="G935"/>
  <c r="G218" s="1"/>
  <c r="F438"/>
  <c r="F233" s="1"/>
  <c r="K226"/>
  <c r="J226"/>
  <c r="I486"/>
  <c r="I769"/>
  <c r="I431"/>
  <c r="I675"/>
  <c r="D431"/>
  <c r="I386"/>
  <c r="I298"/>
  <c r="I957"/>
  <c r="I440"/>
  <c r="I414"/>
  <c r="F385"/>
  <c r="I459"/>
  <c r="E857"/>
  <c r="K275"/>
  <c r="D298"/>
  <c r="D297" s="1"/>
  <c r="E273"/>
  <c r="E272" s="1"/>
  <c r="K596"/>
  <c r="G273"/>
  <c r="G272" s="1"/>
  <c r="G266" s="1"/>
  <c r="G257" s="1"/>
  <c r="H273"/>
  <c r="H272" s="1"/>
  <c r="H266" s="1"/>
  <c r="H257" s="1"/>
  <c r="E822"/>
  <c r="E679" s="1"/>
  <c r="L298"/>
  <c r="L297" s="1"/>
  <c r="F783"/>
  <c r="K298"/>
  <c r="K297" s="1"/>
  <c r="I788"/>
  <c r="E1005"/>
  <c r="E983"/>
  <c r="I496"/>
  <c r="F1005"/>
  <c r="F1004" s="1"/>
  <c r="F942" s="1"/>
  <c r="F983"/>
  <c r="G1005"/>
  <c r="G1004" s="1"/>
  <c r="G942" s="1"/>
  <c r="G983"/>
  <c r="H1005"/>
  <c r="H1004" s="1"/>
  <c r="H942" s="1"/>
  <c r="H983"/>
  <c r="L596"/>
  <c r="L1005"/>
  <c r="L1004" s="1"/>
  <c r="L942" s="1"/>
  <c r="L983"/>
  <c r="L981" s="1"/>
  <c r="J1005"/>
  <c r="J1004" s="1"/>
  <c r="J942" s="1"/>
  <c r="J983"/>
  <c r="D477"/>
  <c r="D522"/>
  <c r="I795"/>
  <c r="I370"/>
  <c r="I814"/>
  <c r="E802"/>
  <c r="D277"/>
  <c r="I371"/>
  <c r="H822"/>
  <c r="H679" s="1"/>
  <c r="H436" s="1"/>
  <c r="H228" s="1"/>
  <c r="D809"/>
  <c r="I949"/>
  <c r="I838"/>
  <c r="E753"/>
  <c r="I893"/>
  <c r="D232"/>
  <c r="I988"/>
  <c r="I397"/>
  <c r="F357"/>
  <c r="J414"/>
  <c r="J413" s="1"/>
  <c r="G956"/>
  <c r="G946" s="1"/>
  <c r="J486"/>
  <c r="H956"/>
  <c r="H946" s="1"/>
  <c r="K935"/>
  <c r="G197"/>
  <c r="G186" s="1"/>
  <c r="D980"/>
  <c r="D977" s="1"/>
  <c r="D496"/>
  <c r="K584"/>
  <c r="F753"/>
  <c r="E783"/>
  <c r="F238"/>
  <c r="J643"/>
  <c r="G802"/>
  <c r="H391"/>
  <c r="I781"/>
  <c r="F956"/>
  <c r="F955" s="1"/>
  <c r="L496"/>
  <c r="J916"/>
  <c r="I616"/>
  <c r="G357"/>
  <c r="J596"/>
  <c r="J831"/>
  <c r="J248"/>
  <c r="J225" s="1"/>
  <c r="F197"/>
  <c r="F186" s="1"/>
  <c r="D776"/>
  <c r="K822"/>
  <c r="K679" s="1"/>
  <c r="D393"/>
  <c r="J822"/>
  <c r="J679" s="1"/>
  <c r="L393"/>
  <c r="L616"/>
  <c r="E956"/>
  <c r="E946" s="1"/>
  <c r="F831"/>
  <c r="H217"/>
  <c r="L428"/>
  <c r="D616"/>
  <c r="G987"/>
  <c r="G986" s="1"/>
  <c r="D857"/>
  <c r="E952"/>
  <c r="K149"/>
  <c r="I277"/>
  <c r="L398"/>
  <c r="K616"/>
  <c r="D840"/>
  <c r="I843"/>
  <c r="G384"/>
  <c r="I384" s="1"/>
  <c r="G385"/>
  <c r="I385" s="1"/>
  <c r="J616"/>
  <c r="L802"/>
  <c r="J769"/>
  <c r="D905"/>
  <c r="J440"/>
  <c r="L776"/>
  <c r="L885"/>
  <c r="L809"/>
  <c r="G224"/>
  <c r="E149"/>
  <c r="J197"/>
  <c r="J404"/>
  <c r="J397" s="1"/>
  <c r="F239"/>
  <c r="I239" s="1"/>
  <c r="J119"/>
  <c r="H197"/>
  <c r="H186" s="1"/>
  <c r="D404"/>
  <c r="D397" s="1"/>
  <c r="K486"/>
  <c r="K431"/>
  <c r="L584"/>
  <c r="L438" s="1"/>
  <c r="D783"/>
  <c r="I939"/>
  <c r="E232"/>
  <c r="I147"/>
  <c r="I198"/>
  <c r="D970"/>
  <c r="D969" s="1"/>
  <c r="D968" s="1"/>
  <c r="F950"/>
  <c r="F217"/>
  <c r="D119"/>
  <c r="L138"/>
  <c r="D626"/>
  <c r="K819"/>
  <c r="K674" s="1"/>
  <c r="I937"/>
  <c r="L119"/>
  <c r="K138"/>
  <c r="D156"/>
  <c r="L197"/>
  <c r="L440"/>
  <c r="L235" s="1"/>
  <c r="K436"/>
  <c r="K231" s="1"/>
  <c r="L626"/>
  <c r="D822"/>
  <c r="D679" s="1"/>
  <c r="D436" s="1"/>
  <c r="L902"/>
  <c r="L884" s="1"/>
  <c r="J984"/>
  <c r="J943" s="1"/>
  <c r="G822"/>
  <c r="G679" s="1"/>
  <c r="G436" s="1"/>
  <c r="G228" s="1"/>
  <c r="K119"/>
  <c r="J138"/>
  <c r="K197"/>
  <c r="D317"/>
  <c r="D316" s="1"/>
  <c r="D315" s="1"/>
  <c r="K440"/>
  <c r="K235" s="1"/>
  <c r="K477"/>
  <c r="L822"/>
  <c r="L679" s="1"/>
  <c r="L436" s="1"/>
  <c r="L228" s="1"/>
  <c r="F698"/>
  <c r="H821"/>
  <c r="E438"/>
  <c r="H357"/>
  <c r="D226"/>
  <c r="L769"/>
  <c r="D635"/>
  <c r="D655"/>
  <c r="K769"/>
  <c r="D790"/>
  <c r="K802"/>
  <c r="G821"/>
  <c r="G753"/>
  <c r="G233"/>
  <c r="G217"/>
  <c r="D409"/>
  <c r="L675"/>
  <c r="L881"/>
  <c r="L871" s="1"/>
  <c r="H819"/>
  <c r="H674" s="1"/>
  <c r="H429" s="1"/>
  <c r="H221" s="1"/>
  <c r="H790"/>
  <c r="I102"/>
  <c r="H149"/>
  <c r="D259"/>
  <c r="D258" s="1"/>
  <c r="K755"/>
  <c r="K776"/>
  <c r="K809"/>
  <c r="L831"/>
  <c r="E935"/>
  <c r="E218" s="1"/>
  <c r="G790"/>
  <c r="I672"/>
  <c r="G149"/>
  <c r="J156"/>
  <c r="D197"/>
  <c r="J496"/>
  <c r="L431"/>
  <c r="L224" s="1"/>
  <c r="D596"/>
  <c r="J755"/>
  <c r="J776"/>
  <c r="J809"/>
  <c r="K831"/>
  <c r="J857"/>
  <c r="F821"/>
  <c r="G849"/>
  <c r="F790"/>
  <c r="I398"/>
  <c r="E865"/>
  <c r="E436"/>
  <c r="F205"/>
  <c r="F204" s="1"/>
  <c r="F100"/>
  <c r="H201"/>
  <c r="H200"/>
  <c r="G201"/>
  <c r="G200"/>
  <c r="E933"/>
  <c r="F201"/>
  <c r="F200"/>
  <c r="E984"/>
  <c r="E943" s="1"/>
  <c r="E235" s="1"/>
  <c r="E993"/>
  <c r="D364"/>
  <c r="D363" s="1"/>
  <c r="D362" s="1"/>
  <c r="D244"/>
  <c r="E1004"/>
  <c r="E942" s="1"/>
  <c r="G100"/>
  <c r="G205"/>
  <c r="G204" s="1"/>
  <c r="I963"/>
  <c r="I737"/>
  <c r="K205"/>
  <c r="K100"/>
  <c r="I1017"/>
  <c r="J100"/>
  <c r="J95" s="1"/>
  <c r="J199" s="1"/>
  <c r="J205"/>
  <c r="J204" s="1"/>
  <c r="L371"/>
  <c r="L370" s="1"/>
  <c r="L248"/>
  <c r="L225" s="1"/>
  <c r="E171"/>
  <c r="E104"/>
  <c r="E209"/>
  <c r="I947"/>
  <c r="I944"/>
  <c r="F822"/>
  <c r="F679" s="1"/>
  <c r="F436" s="1"/>
  <c r="D104"/>
  <c r="D208" s="1"/>
  <c r="D209"/>
  <c r="F104"/>
  <c r="F208" s="1"/>
  <c r="F209"/>
  <c r="L818"/>
  <c r="L935"/>
  <c r="I1006"/>
  <c r="I983" s="1"/>
  <c r="I867"/>
  <c r="F750"/>
  <c r="H224"/>
  <c r="G104"/>
  <c r="G208" s="1"/>
  <c r="G209"/>
  <c r="I820"/>
  <c r="F677"/>
  <c r="I677" s="1"/>
  <c r="I995"/>
  <c r="I105"/>
  <c r="F224"/>
  <c r="E96"/>
  <c r="H104"/>
  <c r="H208" s="1"/>
  <c r="H209"/>
  <c r="J244"/>
  <c r="I280"/>
  <c r="J386"/>
  <c r="J385" s="1"/>
  <c r="D414"/>
  <c r="D413" s="1"/>
  <c r="J506"/>
  <c r="J543"/>
  <c r="K626"/>
  <c r="L655"/>
  <c r="D667"/>
  <c r="D762"/>
  <c r="L783"/>
  <c r="J819"/>
  <c r="J674" s="1"/>
  <c r="K849"/>
  <c r="K952"/>
  <c r="G933"/>
  <c r="H932"/>
  <c r="E819"/>
  <c r="E674" s="1"/>
  <c r="F149"/>
  <c r="D386"/>
  <c r="L410"/>
  <c r="D506"/>
  <c r="L635"/>
  <c r="K655"/>
  <c r="D167"/>
  <c r="D166" s="1"/>
  <c r="L762"/>
  <c r="D916"/>
  <c r="I738"/>
  <c r="I279"/>
  <c r="H933"/>
  <c r="I941"/>
  <c r="E750"/>
  <c r="L96"/>
  <c r="L200" s="1"/>
  <c r="L156"/>
  <c r="L401"/>
  <c r="L400" s="1"/>
  <c r="L399" s="1"/>
  <c r="J462"/>
  <c r="L477"/>
  <c r="J459"/>
  <c r="J449" s="1"/>
  <c r="K635"/>
  <c r="D643"/>
  <c r="J655"/>
  <c r="D849"/>
  <c r="K885"/>
  <c r="J918"/>
  <c r="J917" s="1"/>
  <c r="J911" s="1"/>
  <c r="K232"/>
  <c r="I723"/>
  <c r="H952"/>
  <c r="I807"/>
  <c r="F452"/>
  <c r="F441" s="1"/>
  <c r="D138"/>
  <c r="K156"/>
  <c r="J626"/>
  <c r="J635"/>
  <c r="L643"/>
  <c r="L790"/>
  <c r="J821"/>
  <c r="L857"/>
  <c r="J232"/>
  <c r="I1018"/>
  <c r="E821"/>
  <c r="E776"/>
  <c r="I776" s="1"/>
  <c r="L149"/>
  <c r="I278"/>
  <c r="D401"/>
  <c r="L397"/>
  <c r="L414"/>
  <c r="L413" s="1"/>
  <c r="L486"/>
  <c r="D577"/>
  <c r="D440"/>
  <c r="K857"/>
  <c r="K916"/>
  <c r="I1019"/>
  <c r="I885"/>
  <c r="H857"/>
  <c r="G819"/>
  <c r="G674" s="1"/>
  <c r="G429" s="1"/>
  <c r="G221" s="1"/>
  <c r="H809"/>
  <c r="H610"/>
  <c r="I610" s="1"/>
  <c r="H581"/>
  <c r="I581" s="1"/>
  <c r="K414"/>
  <c r="K413" s="1"/>
  <c r="L821"/>
  <c r="G857"/>
  <c r="G809"/>
  <c r="H171"/>
  <c r="H167" s="1"/>
  <c r="H166" s="1"/>
  <c r="D18"/>
  <c r="D17" s="1"/>
  <c r="L277"/>
  <c r="F346"/>
  <c r="F345" s="1"/>
  <c r="K643"/>
  <c r="K428"/>
  <c r="K218" s="1"/>
  <c r="D1005"/>
  <c r="D1004" s="1"/>
  <c r="D942" s="1"/>
  <c r="H101"/>
  <c r="I101" s="1"/>
  <c r="F866"/>
  <c r="F865" s="1"/>
  <c r="F809"/>
  <c r="E452"/>
  <c r="H750"/>
  <c r="G171"/>
  <c r="G167" s="1"/>
  <c r="G166" s="1"/>
  <c r="J522"/>
  <c r="J428"/>
  <c r="K224"/>
  <c r="I728"/>
  <c r="E977"/>
  <c r="F945"/>
  <c r="I834"/>
  <c r="H753"/>
  <c r="G750"/>
  <c r="E224"/>
  <c r="F171"/>
  <c r="F167" s="1"/>
  <c r="F166" s="1"/>
  <c r="F70"/>
  <c r="E205"/>
  <c r="E100"/>
  <c r="K454"/>
  <c r="K443" s="1"/>
  <c r="J584"/>
  <c r="J438" s="1"/>
  <c r="E987"/>
  <c r="I936"/>
  <c r="I852"/>
  <c r="G831"/>
  <c r="H802"/>
  <c r="I532"/>
  <c r="H935"/>
  <c r="H218" s="1"/>
  <c r="H984"/>
  <c r="G984"/>
  <c r="F981"/>
  <c r="F943"/>
  <c r="F235" s="1"/>
  <c r="F993"/>
  <c r="I994"/>
  <c r="H987"/>
  <c r="H986" s="1"/>
  <c r="H976" s="1"/>
  <c r="E427"/>
  <c r="L532"/>
  <c r="K750"/>
  <c r="L217"/>
  <c r="K427"/>
  <c r="K217" s="1"/>
  <c r="J427"/>
  <c r="J217" s="1"/>
  <c r="I428"/>
  <c r="F935"/>
  <c r="F218" s="1"/>
  <c r="I980"/>
  <c r="G977"/>
  <c r="F933"/>
  <c r="I978"/>
  <c r="F987"/>
  <c r="I578"/>
  <c r="I179"/>
  <c r="I153"/>
  <c r="I151"/>
  <c r="I148"/>
  <c r="I80"/>
  <c r="D71"/>
  <c r="D70" s="1"/>
  <c r="H238"/>
  <c r="E238"/>
  <c r="I258"/>
  <c r="I247"/>
  <c r="E345"/>
  <c r="I347"/>
  <c r="I362"/>
  <c r="I357"/>
  <c r="I356" s="1"/>
  <c r="I355" s="1"/>
  <c r="I354" s="1"/>
  <c r="I353" s="1"/>
  <c r="I352" s="1"/>
  <c r="I351" s="1"/>
  <c r="I402"/>
  <c r="G393"/>
  <c r="G401"/>
  <c r="F401"/>
  <c r="F393"/>
  <c r="E392"/>
  <c r="E400"/>
  <c r="G462"/>
  <c r="G452" s="1"/>
  <c r="G441" s="1"/>
  <c r="H453"/>
  <c r="H462"/>
  <c r="H452" s="1"/>
  <c r="H441" s="1"/>
  <c r="I454"/>
  <c r="I545"/>
  <c r="I543"/>
  <c r="G542"/>
  <c r="I569"/>
  <c r="I570"/>
  <c r="H542"/>
  <c r="H541"/>
  <c r="H544"/>
  <c r="H540" s="1"/>
  <c r="H531" s="1"/>
  <c r="G541"/>
  <c r="G544"/>
  <c r="G540" s="1"/>
  <c r="G531" s="1"/>
  <c r="F541"/>
  <c r="F544"/>
  <c r="F540" s="1"/>
  <c r="F531" s="1"/>
  <c r="E541"/>
  <c r="E544"/>
  <c r="H575"/>
  <c r="H576"/>
  <c r="G585"/>
  <c r="G574" s="1"/>
  <c r="G576"/>
  <c r="I587"/>
  <c r="F575"/>
  <c r="F585"/>
  <c r="F574" s="1"/>
  <c r="E586"/>
  <c r="E576"/>
  <c r="I685"/>
  <c r="I684"/>
  <c r="E722"/>
  <c r="I722" s="1"/>
  <c r="E727"/>
  <c r="I727" s="1"/>
  <c r="I733"/>
  <c r="I732"/>
  <c r="H755"/>
  <c r="F749"/>
  <c r="I756"/>
  <c r="G749"/>
  <c r="G755"/>
  <c r="I785"/>
  <c r="H784"/>
  <c r="H783" s="1"/>
  <c r="G783"/>
  <c r="I792"/>
  <c r="I791"/>
  <c r="E790"/>
  <c r="I804"/>
  <c r="I803"/>
  <c r="F802"/>
  <c r="I811"/>
  <c r="E810"/>
  <c r="E749" s="1"/>
  <c r="I829"/>
  <c r="E825"/>
  <c r="E824" s="1"/>
  <c r="E823" s="1"/>
  <c r="H825"/>
  <c r="I826"/>
  <c r="G825"/>
  <c r="G818" s="1"/>
  <c r="F825"/>
  <c r="F819"/>
  <c r="H833"/>
  <c r="H832" s="1"/>
  <c r="H831" s="1"/>
  <c r="E831"/>
  <c r="H842"/>
  <c r="F840"/>
  <c r="H851"/>
  <c r="H850" s="1"/>
  <c r="H849" s="1"/>
  <c r="F850"/>
  <c r="F849" s="1"/>
  <c r="E849"/>
  <c r="I855"/>
  <c r="I860"/>
  <c r="I858"/>
  <c r="F857"/>
  <c r="I859"/>
  <c r="E874"/>
  <c r="I884"/>
  <c r="G889"/>
  <c r="G880" s="1"/>
  <c r="G870" s="1"/>
  <c r="I883"/>
  <c r="H889"/>
  <c r="H880" s="1"/>
  <c r="H870" s="1"/>
  <c r="I890"/>
  <c r="F881"/>
  <c r="F871" s="1"/>
  <c r="E881"/>
  <c r="E871" s="1"/>
  <c r="H876"/>
  <c r="I876" s="1"/>
  <c r="I887"/>
  <c r="G878"/>
  <c r="I878" s="1"/>
  <c r="I872"/>
  <c r="I886"/>
  <c r="F888"/>
  <c r="F879" s="1"/>
  <c r="F869" s="1"/>
  <c r="I873"/>
  <c r="E870"/>
  <c r="E877"/>
  <c r="I882"/>
  <c r="E888"/>
  <c r="I951"/>
  <c r="I934"/>
  <c r="G952"/>
  <c r="I953"/>
  <c r="I950"/>
  <c r="I948"/>
  <c r="I232"/>
  <c r="I940"/>
  <c r="I964"/>
  <c r="I965"/>
  <c r="I966"/>
  <c r="D532"/>
  <c r="D96"/>
  <c r="D681"/>
  <c r="D439" s="1"/>
  <c r="L917"/>
  <c r="L911" s="1"/>
  <c r="L915"/>
  <c r="D993"/>
  <c r="D984"/>
  <c r="D943" s="1"/>
  <c r="K70"/>
  <c r="K171"/>
  <c r="K167" s="1"/>
  <c r="K166" s="1"/>
  <c r="L895"/>
  <c r="D454"/>
  <c r="D443" s="1"/>
  <c r="J171"/>
  <c r="J167" s="1"/>
  <c r="J166" s="1"/>
  <c r="J70"/>
  <c r="L576"/>
  <c r="D186"/>
  <c r="J235"/>
  <c r="D471"/>
  <c r="D459" s="1"/>
  <c r="D449" s="1"/>
  <c r="J546"/>
  <c r="J542" s="1"/>
  <c r="J750"/>
  <c r="J762"/>
  <c r="D802"/>
  <c r="D831"/>
  <c r="L950"/>
  <c r="L459"/>
  <c r="L449" s="1"/>
  <c r="D486"/>
  <c r="K605"/>
  <c r="K581" s="1"/>
  <c r="D675"/>
  <c r="D430" s="1"/>
  <c r="D223" s="1"/>
  <c r="J947"/>
  <c r="J933" s="1"/>
  <c r="L987"/>
  <c r="L100"/>
  <c r="L95" s="1"/>
  <c r="L199" s="1"/>
  <c r="D243"/>
  <c r="D220" s="1"/>
  <c r="K459"/>
  <c r="K449" s="1"/>
  <c r="K522"/>
  <c r="K753"/>
  <c r="D753"/>
  <c r="K987"/>
  <c r="L506"/>
  <c r="L522"/>
  <c r="L543"/>
  <c r="J436"/>
  <c r="J231" s="1"/>
  <c r="J753"/>
  <c r="J802"/>
  <c r="D902"/>
  <c r="L916"/>
  <c r="L876" s="1"/>
  <c r="D947"/>
  <c r="J987"/>
  <c r="J986" s="1"/>
  <c r="J976" s="1"/>
  <c r="K371"/>
  <c r="K370" s="1"/>
  <c r="K506"/>
  <c r="K543"/>
  <c r="K438"/>
  <c r="L578"/>
  <c r="K675"/>
  <c r="K430" s="1"/>
  <c r="K223" s="1"/>
  <c r="L819"/>
  <c r="L674" s="1"/>
  <c r="L849"/>
  <c r="J935"/>
  <c r="D130"/>
  <c r="D123" s="1"/>
  <c r="D122" s="1"/>
  <c r="L385"/>
  <c r="J431"/>
  <c r="J224" s="1"/>
  <c r="D769"/>
  <c r="J849"/>
  <c r="J885"/>
  <c r="J876" s="1"/>
  <c r="D457"/>
  <c r="D445" s="1"/>
  <c r="D543"/>
  <c r="L693"/>
  <c r="L80" s="1"/>
  <c r="J790"/>
  <c r="K790"/>
  <c r="D885"/>
  <c r="L753"/>
  <c r="L993"/>
  <c r="J186"/>
  <c r="L186"/>
  <c r="K404"/>
  <c r="K397" s="1"/>
  <c r="L454"/>
  <c r="L443" s="1"/>
  <c r="K578"/>
  <c r="L430"/>
  <c r="L223" s="1"/>
  <c r="K821"/>
  <c r="D821"/>
  <c r="K993"/>
  <c r="J149"/>
  <c r="K186"/>
  <c r="F272"/>
  <c r="J578"/>
  <c r="J429" s="1"/>
  <c r="J221" s="1"/>
  <c r="K783"/>
  <c r="K532"/>
  <c r="J581"/>
  <c r="K762"/>
  <c r="J783"/>
  <c r="K206"/>
  <c r="K204" s="1"/>
  <c r="L204"/>
  <c r="D100"/>
  <c r="L123"/>
  <c r="L122" s="1"/>
  <c r="K123"/>
  <c r="K122" s="1"/>
  <c r="J123"/>
  <c r="J122" s="1"/>
  <c r="L232"/>
  <c r="J401"/>
  <c r="J393"/>
  <c r="K880"/>
  <c r="K870" s="1"/>
  <c r="K888"/>
  <c r="K915"/>
  <c r="K921"/>
  <c r="K911" s="1"/>
  <c r="L18"/>
  <c r="L17" s="1"/>
  <c r="L755"/>
  <c r="L748" s="1"/>
  <c r="L749"/>
  <c r="J880"/>
  <c r="J870" s="1"/>
  <c r="J888"/>
  <c r="J879" s="1"/>
  <c r="D959"/>
  <c r="D946"/>
  <c r="K18"/>
  <c r="K17" s="1"/>
  <c r="D684"/>
  <c r="D150"/>
  <c r="D149" s="1"/>
  <c r="D206"/>
  <c r="D204" s="1"/>
  <c r="L317"/>
  <c r="L273" s="1"/>
  <c r="K317"/>
  <c r="K316" s="1"/>
  <c r="K315" s="1"/>
  <c r="L392"/>
  <c r="J258"/>
  <c r="J18"/>
  <c r="J17" s="1"/>
  <c r="K364"/>
  <c r="J454"/>
  <c r="J443" s="1"/>
  <c r="N670"/>
  <c r="D987"/>
  <c r="D978"/>
  <c r="J362"/>
  <c r="J357" s="1"/>
  <c r="D755"/>
  <c r="D749"/>
  <c r="L946"/>
  <c r="L932" s="1"/>
  <c r="L955"/>
  <c r="L945" s="1"/>
  <c r="L364"/>
  <c r="L244"/>
  <c r="D587"/>
  <c r="D578"/>
  <c r="K946"/>
  <c r="K932" s="1"/>
  <c r="K955"/>
  <c r="K945" s="1"/>
  <c r="D819"/>
  <c r="D674" s="1"/>
  <c r="K981"/>
  <c r="K938" s="1"/>
  <c r="L462"/>
  <c r="L453"/>
  <c r="L442" s="1"/>
  <c r="J684"/>
  <c r="K462"/>
  <c r="K453"/>
  <c r="K442" s="1"/>
  <c r="D395"/>
  <c r="D371"/>
  <c r="D370" s="1"/>
  <c r="D248"/>
  <c r="D392"/>
  <c r="K393"/>
  <c r="K409"/>
  <c r="K410"/>
  <c r="K392" s="1"/>
  <c r="D581"/>
  <c r="D604"/>
  <c r="D889"/>
  <c r="D881"/>
  <c r="D871" s="1"/>
  <c r="L226"/>
  <c r="J409"/>
  <c r="J410"/>
  <c r="J304"/>
  <c r="J303" s="1"/>
  <c r="K328"/>
  <c r="K327" s="1"/>
  <c r="K277"/>
  <c r="J328"/>
  <c r="J327" s="1"/>
  <c r="J277"/>
  <c r="K242"/>
  <c r="K219" s="1"/>
  <c r="K386"/>
  <c r="D224"/>
  <c r="J478"/>
  <c r="K604"/>
  <c r="J675"/>
  <c r="J430" s="1"/>
  <c r="J223" s="1"/>
  <c r="K749"/>
  <c r="D825"/>
  <c r="K881"/>
  <c r="K871" s="1"/>
  <c r="J946"/>
  <c r="J932" s="1"/>
  <c r="L947"/>
  <c r="L933" s="1"/>
  <c r="J952"/>
  <c r="J945" s="1"/>
  <c r="J981"/>
  <c r="J938" s="1"/>
  <c r="K1005"/>
  <c r="K1004" s="1"/>
  <c r="K942" s="1"/>
  <c r="D463"/>
  <c r="K496"/>
  <c r="J534"/>
  <c r="J533" s="1"/>
  <c r="J532" s="1"/>
  <c r="D570"/>
  <c r="D569" s="1"/>
  <c r="D568" s="1"/>
  <c r="D584"/>
  <c r="D438" s="1"/>
  <c r="L586"/>
  <c r="L605"/>
  <c r="J749"/>
  <c r="L750"/>
  <c r="L841"/>
  <c r="L840" s="1"/>
  <c r="J881"/>
  <c r="J871" s="1"/>
  <c r="L888"/>
  <c r="D896"/>
  <c r="D918"/>
  <c r="K947"/>
  <c r="K933" s="1"/>
  <c r="K901"/>
  <c r="D952"/>
  <c r="D945" s="1"/>
  <c r="D544"/>
  <c r="J545"/>
  <c r="L546"/>
  <c r="K587"/>
  <c r="K842"/>
  <c r="K841" s="1"/>
  <c r="K902"/>
  <c r="K884" s="1"/>
  <c r="K546"/>
  <c r="J587"/>
  <c r="D750"/>
  <c r="J842"/>
  <c r="J902"/>
  <c r="J884" s="1"/>
  <c r="K685"/>
  <c r="D883"/>
  <c r="D873" s="1"/>
  <c r="D672"/>
  <c r="D427" s="1"/>
  <c r="D217" s="1"/>
  <c r="D752"/>
  <c r="D673" s="1"/>
  <c r="D428" s="1"/>
  <c r="D935" l="1"/>
  <c r="D218" s="1"/>
  <c r="D932"/>
  <c r="D235"/>
  <c r="D357"/>
  <c r="D400"/>
  <c r="D399" s="1"/>
  <c r="D391"/>
  <c r="D876"/>
  <c r="D233" s="1"/>
  <c r="I699"/>
  <c r="I274"/>
  <c r="I92" s="1"/>
  <c r="I71" s="1"/>
  <c r="I275"/>
  <c r="I97" s="1"/>
  <c r="I273"/>
  <c r="I276"/>
  <c r="K97"/>
  <c r="K96" s="1"/>
  <c r="K200" s="1"/>
  <c r="E699"/>
  <c r="K876"/>
  <c r="K233" s="1"/>
  <c r="F946"/>
  <c r="F932" s="1"/>
  <c r="D273"/>
  <c r="D272" s="1"/>
  <c r="K273"/>
  <c r="K272" s="1"/>
  <c r="K255" s="1"/>
  <c r="I1005"/>
  <c r="J228"/>
  <c r="J218"/>
  <c r="G255"/>
  <c r="G250" s="1"/>
  <c r="K228"/>
  <c r="G932"/>
  <c r="L231"/>
  <c r="D239"/>
  <c r="J384"/>
  <c r="H70"/>
  <c r="G976"/>
  <c r="I977"/>
  <c r="H237"/>
  <c r="L671"/>
  <c r="D933"/>
  <c r="H231"/>
  <c r="K874"/>
  <c r="G955"/>
  <c r="G945" s="1"/>
  <c r="H255"/>
  <c r="H250" s="1"/>
  <c r="I857"/>
  <c r="G237"/>
  <c r="H955"/>
  <c r="H945" s="1"/>
  <c r="H931" s="1"/>
  <c r="I790"/>
  <c r="I821"/>
  <c r="E932"/>
  <c r="I224"/>
  <c r="I822"/>
  <c r="H748"/>
  <c r="H749"/>
  <c r="I749" s="1"/>
  <c r="G70"/>
  <c r="D231"/>
  <c r="D228"/>
  <c r="L233"/>
  <c r="E955"/>
  <c r="I956"/>
  <c r="I802"/>
  <c r="I993"/>
  <c r="E986"/>
  <c r="E976" s="1"/>
  <c r="J931"/>
  <c r="K400"/>
  <c r="K399" s="1"/>
  <c r="K391" s="1"/>
  <c r="J915"/>
  <c r="J874" s="1"/>
  <c r="I753"/>
  <c r="I345"/>
  <c r="I346"/>
  <c r="D429"/>
  <c r="D221" s="1"/>
  <c r="L218"/>
  <c r="I149"/>
  <c r="D748"/>
  <c r="G238"/>
  <c r="I238" s="1"/>
  <c r="F95"/>
  <c r="F199" s="1"/>
  <c r="L938"/>
  <c r="G231"/>
  <c r="F678"/>
  <c r="F433" s="1"/>
  <c r="F683"/>
  <c r="J233"/>
  <c r="J869"/>
  <c r="I866"/>
  <c r="L816"/>
  <c r="I865"/>
  <c r="E233"/>
  <c r="I438"/>
  <c r="L879"/>
  <c r="L869" s="1"/>
  <c r="F681"/>
  <c r="F439" s="1"/>
  <c r="I679"/>
  <c r="I209"/>
  <c r="E197"/>
  <c r="D542"/>
  <c r="H574"/>
  <c r="E167"/>
  <c r="I171"/>
  <c r="F255"/>
  <c r="F266"/>
  <c r="F257" s="1"/>
  <c r="F237" s="1"/>
  <c r="I819"/>
  <c r="F674"/>
  <c r="F429" s="1"/>
  <c r="F221" s="1"/>
  <c r="G698"/>
  <c r="G681"/>
  <c r="G439" s="1"/>
  <c r="E231"/>
  <c r="E228"/>
  <c r="I436"/>
  <c r="L986"/>
  <c r="G671"/>
  <c r="G426" s="1"/>
  <c r="G216" s="1"/>
  <c r="I104"/>
  <c r="E208"/>
  <c r="I208" s="1"/>
  <c r="I1004"/>
  <c r="I942" s="1"/>
  <c r="J272"/>
  <c r="J255" s="1"/>
  <c r="J250" s="1"/>
  <c r="L452"/>
  <c r="L441" s="1"/>
  <c r="G95"/>
  <c r="G199" s="1"/>
  <c r="E429"/>
  <c r="D540"/>
  <c r="D531" s="1"/>
  <c r="L874"/>
  <c r="F748"/>
  <c r="D384"/>
  <c r="D385"/>
  <c r="D238" s="1"/>
  <c r="E95"/>
  <c r="E201"/>
  <c r="I201" s="1"/>
  <c r="E200"/>
  <c r="I200" s="1"/>
  <c r="I96"/>
  <c r="L678"/>
  <c r="E204"/>
  <c r="I750"/>
  <c r="D200"/>
  <c r="D201"/>
  <c r="J748"/>
  <c r="H100"/>
  <c r="H95" s="1"/>
  <c r="H199" s="1"/>
  <c r="H205"/>
  <c r="H204" s="1"/>
  <c r="F231"/>
  <c r="F228"/>
  <c r="D986"/>
  <c r="K748"/>
  <c r="J239"/>
  <c r="I877"/>
  <c r="H818"/>
  <c r="H671" s="1"/>
  <c r="H426" s="1"/>
  <c r="H216" s="1"/>
  <c r="E255"/>
  <c r="E266"/>
  <c r="E981"/>
  <c r="E938" s="1"/>
  <c r="H698"/>
  <c r="H681"/>
  <c r="H439" s="1"/>
  <c r="I952"/>
  <c r="I933"/>
  <c r="L391"/>
  <c r="H233"/>
  <c r="I987"/>
  <c r="H981"/>
  <c r="H938" s="1"/>
  <c r="H943"/>
  <c r="H235" s="1"/>
  <c r="G943"/>
  <c r="G981"/>
  <c r="G938" s="1"/>
  <c r="I984"/>
  <c r="F938"/>
  <c r="F986"/>
  <c r="F976" s="1"/>
  <c r="I427"/>
  <c r="E217"/>
  <c r="I217" s="1"/>
  <c r="I218"/>
  <c r="I935"/>
  <c r="I272"/>
  <c r="I393"/>
  <c r="G400"/>
  <c r="G399" s="1"/>
  <c r="G391" s="1"/>
  <c r="G392"/>
  <c r="F400"/>
  <c r="F399" s="1"/>
  <c r="F391" s="1"/>
  <c r="F392"/>
  <c r="I401"/>
  <c r="E399"/>
  <c r="I452"/>
  <c r="H442"/>
  <c r="I453"/>
  <c r="I462"/>
  <c r="I542"/>
  <c r="I541"/>
  <c r="E540"/>
  <c r="I544"/>
  <c r="I576"/>
  <c r="E585"/>
  <c r="E575"/>
  <c r="I575" s="1"/>
  <c r="I586"/>
  <c r="G748"/>
  <c r="I755"/>
  <c r="I784"/>
  <c r="I783"/>
  <c r="I810"/>
  <c r="E809"/>
  <c r="I809" s="1"/>
  <c r="E818"/>
  <c r="E671" s="1"/>
  <c r="E817"/>
  <c r="E670" s="1"/>
  <c r="H824"/>
  <c r="G824"/>
  <c r="G817" s="1"/>
  <c r="G670" s="1"/>
  <c r="G425" s="1"/>
  <c r="F824"/>
  <c r="F818"/>
  <c r="F671" s="1"/>
  <c r="F426" s="1"/>
  <c r="F216" s="1"/>
  <c r="I825"/>
  <c r="E816"/>
  <c r="I832"/>
  <c r="I831"/>
  <c r="I833"/>
  <c r="H841"/>
  <c r="I842"/>
  <c r="I851"/>
  <c r="I849"/>
  <c r="I850"/>
  <c r="I874"/>
  <c r="G888"/>
  <c r="G879" s="1"/>
  <c r="G869" s="1"/>
  <c r="I889"/>
  <c r="I870"/>
  <c r="H888"/>
  <c r="H879" s="1"/>
  <c r="H869" s="1"/>
  <c r="I880"/>
  <c r="I871"/>
  <c r="I881"/>
  <c r="E879"/>
  <c r="L681"/>
  <c r="L439" s="1"/>
  <c r="D95"/>
  <c r="D199" s="1"/>
  <c r="D698"/>
  <c r="D678" s="1"/>
  <c r="D433" s="1"/>
  <c r="K429"/>
  <c r="K221" s="1"/>
  <c r="K986"/>
  <c r="L429"/>
  <c r="L221" s="1"/>
  <c r="D981"/>
  <c r="D938" s="1"/>
  <c r="L70"/>
  <c r="L171"/>
  <c r="L167" s="1"/>
  <c r="L166" s="1"/>
  <c r="L817"/>
  <c r="L670" s="1"/>
  <c r="D541"/>
  <c r="K879"/>
  <c r="K869" s="1"/>
  <c r="K542"/>
  <c r="K545"/>
  <c r="K576"/>
  <c r="K586"/>
  <c r="J576"/>
  <c r="J586"/>
  <c r="L683"/>
  <c r="L669" s="1"/>
  <c r="J698"/>
  <c r="J678" s="1"/>
  <c r="J433" s="1"/>
  <c r="J681"/>
  <c r="J439" s="1"/>
  <c r="J392"/>
  <c r="J400"/>
  <c r="J399" s="1"/>
  <c r="J391" s="1"/>
  <c r="L585"/>
  <c r="L575"/>
  <c r="K384"/>
  <c r="K385"/>
  <c r="D225"/>
  <c r="N240"/>
  <c r="L363"/>
  <c r="L239"/>
  <c r="K818"/>
  <c r="K671" s="1"/>
  <c r="J818"/>
  <c r="J671" s="1"/>
  <c r="J841"/>
  <c r="L604"/>
  <c r="L581"/>
  <c r="K817"/>
  <c r="K840"/>
  <c r="K816" s="1"/>
  <c r="D824"/>
  <c r="D818"/>
  <c r="D671" s="1"/>
  <c r="J477"/>
  <c r="J452" s="1"/>
  <c r="J441" s="1"/>
  <c r="J453"/>
  <c r="J442" s="1"/>
  <c r="D888"/>
  <c r="D880"/>
  <c r="D870" s="1"/>
  <c r="N671"/>
  <c r="J238"/>
  <c r="L272"/>
  <c r="L316"/>
  <c r="L315" s="1"/>
  <c r="K684"/>
  <c r="D895"/>
  <c r="D884"/>
  <c r="K363"/>
  <c r="K239"/>
  <c r="J541"/>
  <c r="J544"/>
  <c r="J540" s="1"/>
  <c r="J531" s="1"/>
  <c r="D462"/>
  <c r="D452" s="1"/>
  <c r="D441" s="1"/>
  <c r="D453"/>
  <c r="D442" s="1"/>
  <c r="K452"/>
  <c r="K441" s="1"/>
  <c r="L542"/>
  <c r="L545"/>
  <c r="D917"/>
  <c r="D911" s="1"/>
  <c r="D915"/>
  <c r="D576"/>
  <c r="D586"/>
  <c r="K681"/>
  <c r="K439" s="1"/>
  <c r="K698"/>
  <c r="K678" s="1"/>
  <c r="K433" s="1"/>
  <c r="L426" l="1"/>
  <c r="L216" s="1"/>
  <c r="K95"/>
  <c r="K199" s="1"/>
  <c r="F11"/>
  <c r="L433"/>
  <c r="I946"/>
  <c r="H234"/>
  <c r="G931"/>
  <c r="G234"/>
  <c r="K976"/>
  <c r="K931" s="1"/>
  <c r="D976"/>
  <c r="D931" s="1"/>
  <c r="L976"/>
  <c r="L931" s="1"/>
  <c r="I932"/>
  <c r="J234"/>
  <c r="I986"/>
  <c r="I976" s="1"/>
  <c r="G215"/>
  <c r="I233"/>
  <c r="J227"/>
  <c r="J61" s="1"/>
  <c r="J161" s="1"/>
  <c r="I955"/>
  <c r="E945"/>
  <c r="I945" s="1"/>
  <c r="J266"/>
  <c r="J257" s="1"/>
  <c r="J237" s="1"/>
  <c r="I674"/>
  <c r="D255"/>
  <c r="D266"/>
  <c r="D257" s="1"/>
  <c r="D237" s="1"/>
  <c r="I266"/>
  <c r="E257"/>
  <c r="I671"/>
  <c r="E221"/>
  <c r="I221" s="1"/>
  <c r="I429"/>
  <c r="E70"/>
  <c r="I70" s="1"/>
  <c r="H678"/>
  <c r="H433" s="1"/>
  <c r="H227" s="1"/>
  <c r="H683"/>
  <c r="F250"/>
  <c r="F227" s="1"/>
  <c r="F234"/>
  <c r="I204"/>
  <c r="G11"/>
  <c r="I205"/>
  <c r="E186"/>
  <c r="I186" s="1"/>
  <c r="I197"/>
  <c r="G678"/>
  <c r="G433" s="1"/>
  <c r="G227" s="1"/>
  <c r="G683"/>
  <c r="K266"/>
  <c r="K257" s="1"/>
  <c r="H11"/>
  <c r="H817"/>
  <c r="H670" s="1"/>
  <c r="H425" s="1"/>
  <c r="I231"/>
  <c r="E681"/>
  <c r="E698"/>
  <c r="I95"/>
  <c r="E199"/>
  <c r="I199" s="1"/>
  <c r="E748"/>
  <c r="I748" s="1"/>
  <c r="I100"/>
  <c r="I228"/>
  <c r="E250"/>
  <c r="I255"/>
  <c r="E166"/>
  <c r="I166" s="1"/>
  <c r="I167"/>
  <c r="I981"/>
  <c r="G235"/>
  <c r="I235" s="1"/>
  <c r="I943"/>
  <c r="I938"/>
  <c r="F931"/>
  <c r="I400"/>
  <c r="I392"/>
  <c r="E391"/>
  <c r="I391" s="1"/>
  <c r="I399"/>
  <c r="I540"/>
  <c r="E531"/>
  <c r="I531" s="1"/>
  <c r="E574"/>
  <c r="I574" s="1"/>
  <c r="I585"/>
  <c r="I818"/>
  <c r="G823"/>
  <c r="G816" s="1"/>
  <c r="H823"/>
  <c r="F823"/>
  <c r="F817"/>
  <c r="I824"/>
  <c r="H840"/>
  <c r="I840" s="1"/>
  <c r="I841"/>
  <c r="I888"/>
  <c r="I879"/>
  <c r="E869"/>
  <c r="D683"/>
  <c r="J426"/>
  <c r="J216" s="1"/>
  <c r="N216"/>
  <c r="L362"/>
  <c r="L357" s="1"/>
  <c r="L238"/>
  <c r="K541"/>
  <c r="K544"/>
  <c r="K540" s="1"/>
  <c r="K531" s="1"/>
  <c r="D426"/>
  <c r="D216" s="1"/>
  <c r="D879"/>
  <c r="D869" s="1"/>
  <c r="D823"/>
  <c r="D816" s="1"/>
  <c r="D817"/>
  <c r="D670" s="1"/>
  <c r="D575"/>
  <c r="D585"/>
  <c r="D574" s="1"/>
  <c r="J817"/>
  <c r="J670" s="1"/>
  <c r="J840"/>
  <c r="J816" s="1"/>
  <c r="K575"/>
  <c r="K585"/>
  <c r="K574" s="1"/>
  <c r="L574"/>
  <c r="L541"/>
  <c r="L425" s="1"/>
  <c r="L544"/>
  <c r="L540" s="1"/>
  <c r="L531" s="1"/>
  <c r="K670"/>
  <c r="K683"/>
  <c r="K669" s="1"/>
  <c r="J683"/>
  <c r="J575"/>
  <c r="J585"/>
  <c r="J574" s="1"/>
  <c r="D874"/>
  <c r="L266"/>
  <c r="L257" s="1"/>
  <c r="L255"/>
  <c r="K234"/>
  <c r="K250"/>
  <c r="K227" s="1"/>
  <c r="O670"/>
  <c r="P670" s="1"/>
  <c r="K362"/>
  <c r="K357" s="1"/>
  <c r="K238"/>
  <c r="K426"/>
  <c r="K216" s="1"/>
  <c r="K61" l="1"/>
  <c r="K62" s="1"/>
  <c r="K59" s="1"/>
  <c r="K37" s="1"/>
  <c r="K11" s="1"/>
  <c r="J62"/>
  <c r="J59" s="1"/>
  <c r="J37" s="1"/>
  <c r="J11" s="1"/>
  <c r="E931"/>
  <c r="I931" s="1"/>
  <c r="G669"/>
  <c r="G424" s="1"/>
  <c r="G214" s="1"/>
  <c r="G1022" s="1"/>
  <c r="G61" s="1"/>
  <c r="G62" s="1"/>
  <c r="K237"/>
  <c r="D250"/>
  <c r="D227" s="1"/>
  <c r="D234"/>
  <c r="N228" s="1"/>
  <c r="J425"/>
  <c r="J215" s="1"/>
  <c r="I817"/>
  <c r="F670"/>
  <c r="E439"/>
  <c r="I681"/>
  <c r="I257"/>
  <c r="E237"/>
  <c r="I237" s="1"/>
  <c r="E678"/>
  <c r="I698"/>
  <c r="E683"/>
  <c r="J669"/>
  <c r="J424" s="1"/>
  <c r="J214" s="1"/>
  <c r="I250"/>
  <c r="H816"/>
  <c r="H669" s="1"/>
  <c r="H424" s="1"/>
  <c r="H214" s="1"/>
  <c r="H1022" s="1"/>
  <c r="H61" s="1"/>
  <c r="D425"/>
  <c r="D215" s="1"/>
  <c r="H215"/>
  <c r="F816"/>
  <c r="I823"/>
  <c r="I869"/>
  <c r="D669"/>
  <c r="D424" s="1"/>
  <c r="D214" s="1"/>
  <c r="K424"/>
  <c r="L237"/>
  <c r="L424"/>
  <c r="L234"/>
  <c r="L250"/>
  <c r="L227" s="1"/>
  <c r="L61" s="1"/>
  <c r="J182"/>
  <c r="J181" s="1"/>
  <c r="J180" s="1"/>
  <c r="J159"/>
  <c r="L215"/>
  <c r="K425"/>
  <c r="K215" s="1"/>
  <c r="K161" l="1"/>
  <c r="K159" s="1"/>
  <c r="J1022"/>
  <c r="K214"/>
  <c r="K1022" s="1"/>
  <c r="H62"/>
  <c r="H161"/>
  <c r="H182" s="1"/>
  <c r="H181" s="1"/>
  <c r="H180" s="1"/>
  <c r="I678"/>
  <c r="E433"/>
  <c r="E669"/>
  <c r="I683"/>
  <c r="F425"/>
  <c r="F215" s="1"/>
  <c r="I670"/>
  <c r="J137"/>
  <c r="J116" s="1"/>
  <c r="I816"/>
  <c r="F669"/>
  <c r="F424" s="1"/>
  <c r="F214" s="1"/>
  <c r="F1022" s="1"/>
  <c r="F61" s="1"/>
  <c r="F62" s="1"/>
  <c r="I439"/>
  <c r="E234"/>
  <c r="I234" s="1"/>
  <c r="G161"/>
  <c r="G159" s="1"/>
  <c r="G137" s="1"/>
  <c r="G116" s="1"/>
  <c r="L214"/>
  <c r="L161"/>
  <c r="L62"/>
  <c r="L59" s="1"/>
  <c r="L37" s="1"/>
  <c r="L11" s="1"/>
  <c r="K182" l="1"/>
  <c r="K181" s="1"/>
  <c r="K180" s="1"/>
  <c r="F161"/>
  <c r="F159" s="1"/>
  <c r="F137" s="1"/>
  <c r="F116" s="1"/>
  <c r="I669"/>
  <c r="K137"/>
  <c r="K116" s="1"/>
  <c r="E227"/>
  <c r="I227" s="1"/>
  <c r="I433"/>
  <c r="H159"/>
  <c r="H137" s="1"/>
  <c r="H116" s="1"/>
  <c r="G182"/>
  <c r="G181" s="1"/>
  <c r="G180" s="1"/>
  <c r="L1022"/>
  <c r="L182"/>
  <c r="L181" s="1"/>
  <c r="L180" s="1"/>
  <c r="L159"/>
  <c r="F182" l="1"/>
  <c r="F181" s="1"/>
  <c r="F180" s="1"/>
  <c r="L137"/>
  <c r="L116" s="1"/>
  <c r="D37" l="1"/>
  <c r="D11" s="1"/>
  <c r="D1022" s="1"/>
  <c r="D61" s="1"/>
  <c r="D62" l="1"/>
  <c r="D161"/>
  <c r="D159" l="1"/>
  <c r="D137" s="1"/>
  <c r="D116" s="1"/>
  <c r="D182"/>
  <c r="D181" s="1"/>
  <c r="D180" s="1"/>
  <c r="I447"/>
  <c r="I520"/>
  <c r="E518"/>
  <c r="E517" s="1"/>
  <c r="E447"/>
  <c r="E430" s="1"/>
  <c r="E442" l="1"/>
  <c r="I517"/>
  <c r="E516"/>
  <c r="E22" s="1"/>
  <c r="I430"/>
  <c r="E223"/>
  <c r="I223" s="1"/>
  <c r="E443"/>
  <c r="I518"/>
  <c r="I516" l="1"/>
  <c r="E441"/>
  <c r="E425"/>
  <c r="I442"/>
  <c r="E426"/>
  <c r="I443"/>
  <c r="E215" l="1"/>
  <c r="I215" s="1"/>
  <c r="I425"/>
  <c r="E127"/>
  <c r="I22"/>
  <c r="E18"/>
  <c r="I441"/>
  <c r="E424"/>
  <c r="I426"/>
  <c r="E216"/>
  <c r="I216" s="1"/>
  <c r="E123" l="1"/>
  <c r="I127"/>
  <c r="E17"/>
  <c r="I18"/>
  <c r="I424"/>
  <c r="E214"/>
  <c r="I214" s="1"/>
  <c r="I17" l="1"/>
  <c r="E11"/>
  <c r="I123"/>
  <c r="E122"/>
  <c r="I11" l="1"/>
  <c r="I1022" s="1"/>
  <c r="E1022"/>
  <c r="E61" s="1"/>
  <c r="I122"/>
  <c r="E161" l="1"/>
  <c r="E62"/>
  <c r="I62" s="1"/>
  <c r="I61"/>
  <c r="E159" l="1"/>
  <c r="I161"/>
  <c r="E182"/>
  <c r="E137" l="1"/>
  <c r="E116" s="1"/>
  <c r="I116" s="1"/>
  <c r="I159"/>
  <c r="I137" s="1"/>
  <c r="I182"/>
  <c r="E181"/>
  <c r="E180" l="1"/>
  <c r="I180" s="1"/>
  <c r="I181"/>
</calcChain>
</file>

<file path=xl/comments1.xml><?xml version="1.0" encoding="utf-8"?>
<comments xmlns="http://schemas.openxmlformats.org/spreadsheetml/2006/main">
  <authors>
    <author>larisa</author>
    <author>corina</author>
  </authors>
  <commentList>
    <comment ref="D20" authorId="0">
      <text>
        <r>
          <rPr>
            <b/>
            <sz val="9"/>
            <color indexed="81"/>
            <rFont val="Tahoma"/>
            <family val="2"/>
            <charset val="238"/>
          </rPr>
          <t>larisa:</t>
        </r>
        <r>
          <rPr>
            <sz val="9"/>
            <color indexed="81"/>
            <rFont val="Tahoma"/>
            <family val="2"/>
            <charset val="238"/>
          </rPr>
          <t xml:space="preserve">
total 45750*90%=41175 mii lei</t>
        </r>
      </text>
    </comment>
    <comment ref="I20" authorId="0">
      <text>
        <r>
          <rPr>
            <b/>
            <sz val="9"/>
            <color indexed="81"/>
            <rFont val="Tahoma"/>
            <family val="2"/>
            <charset val="238"/>
          </rPr>
          <t>larisa:</t>
        </r>
        <r>
          <rPr>
            <sz val="9"/>
            <color indexed="81"/>
            <rFont val="Tahoma"/>
            <family val="2"/>
            <charset val="238"/>
          </rPr>
          <t xml:space="preserve">
total 45750*90%=41175 mii lei</t>
        </r>
      </text>
    </comment>
    <comment ref="D21" authorId="0">
      <text>
        <r>
          <rPr>
            <b/>
            <sz val="9"/>
            <color indexed="81"/>
            <rFont val="Tahoma"/>
            <family val="2"/>
            <charset val="238"/>
          </rPr>
          <t>larisa:</t>
        </r>
        <r>
          <rPr>
            <sz val="9"/>
            <color indexed="81"/>
            <rFont val="Tahoma"/>
            <family val="2"/>
            <charset val="238"/>
          </rPr>
          <t xml:space="preserve">
cost 2019: 713 conf standard cost
713*90%=641 mii lei </t>
        </r>
      </text>
    </comment>
    <comment ref="I21" authorId="0">
      <text>
        <r>
          <rPr>
            <b/>
            <sz val="9"/>
            <color indexed="81"/>
            <rFont val="Tahoma"/>
            <family val="2"/>
            <charset val="238"/>
          </rPr>
          <t>larisa:</t>
        </r>
        <r>
          <rPr>
            <sz val="9"/>
            <color indexed="81"/>
            <rFont val="Tahoma"/>
            <family val="2"/>
            <charset val="238"/>
          </rPr>
          <t xml:space="preserve">
cost 2019: 713 conf standard cost
713*90%=641 mii lei </t>
        </r>
      </text>
    </comment>
    <comment ref="D91" authorId="0">
      <text>
        <r>
          <rPr>
            <b/>
            <sz val="9"/>
            <color indexed="81"/>
            <rFont val="Tahoma"/>
            <family val="2"/>
            <charset val="238"/>
          </rPr>
          <t>larisa:</t>
        </r>
        <r>
          <rPr>
            <sz val="9"/>
            <color indexed="81"/>
            <rFont val="Tahoma"/>
            <family val="2"/>
            <charset val="238"/>
          </rPr>
          <t xml:space="preserve">
Pod Babana si 
 DJ 725</t>
        </r>
      </text>
    </comment>
    <comment ref="D926" authorId="1">
      <text>
        <r>
          <rPr>
            <b/>
            <sz val="9"/>
            <color indexed="81"/>
            <rFont val="Tahoma"/>
            <family val="2"/>
            <charset val="238"/>
          </rPr>
          <t>corina:</t>
        </r>
        <r>
          <rPr>
            <sz val="9"/>
            <color indexed="81"/>
            <rFont val="Tahoma"/>
            <family val="2"/>
            <charset val="238"/>
          </rPr>
          <t xml:space="preserve">
Discutat cu Violeta 19,01,2017</t>
        </r>
      </text>
    </comment>
    <comment ref="I926" authorId="1">
      <text>
        <r>
          <rPr>
            <b/>
            <sz val="9"/>
            <color indexed="81"/>
            <rFont val="Tahoma"/>
            <family val="2"/>
            <charset val="238"/>
          </rPr>
          <t>corina:</t>
        </r>
        <r>
          <rPr>
            <sz val="9"/>
            <color indexed="81"/>
            <rFont val="Tahoma"/>
            <family val="2"/>
            <charset val="238"/>
          </rPr>
          <t xml:space="preserve">
Discutat cu Violeta 19,01,2017</t>
        </r>
      </text>
    </comment>
  </commentList>
</comments>
</file>

<file path=xl/sharedStrings.xml><?xml version="1.0" encoding="utf-8"?>
<sst xmlns="http://schemas.openxmlformats.org/spreadsheetml/2006/main" count="1776" uniqueCount="819">
  <si>
    <t>CONSILIUL JUDETEAN ARGES</t>
  </si>
  <si>
    <t>PROIECT</t>
  </si>
  <si>
    <t>Nr. crt.</t>
  </si>
  <si>
    <t>DENUMIRE INDICATORI</t>
  </si>
  <si>
    <t>COD</t>
  </si>
  <si>
    <t>I</t>
  </si>
  <si>
    <t>II</t>
  </si>
  <si>
    <t>III</t>
  </si>
  <si>
    <t>IV</t>
  </si>
  <si>
    <t>ANUL 2020</t>
  </si>
  <si>
    <t>A</t>
  </si>
  <si>
    <t>IMPOZIT PE PROFIT</t>
  </si>
  <si>
    <t xml:space="preserve">Impozit pe profit de la agentii economici </t>
  </si>
  <si>
    <t>01.02.01</t>
  </si>
  <si>
    <t>B</t>
  </si>
  <si>
    <t>COTE SI SUME DEF DIN IMPOZITUL PE VENIT</t>
  </si>
  <si>
    <t>.04.02.01</t>
  </si>
  <si>
    <t>.04.02.04</t>
  </si>
  <si>
    <t>C</t>
  </si>
  <si>
    <t>SUME DEFALCATE DIN TVA (1+2+3)</t>
  </si>
  <si>
    <t>11.02.</t>
  </si>
  <si>
    <t>11.02.01</t>
  </si>
  <si>
    <t xml:space="preserve">Sustinerea sistemului de protectie a copilului </t>
  </si>
  <si>
    <t>c</t>
  </si>
  <si>
    <t>Camine persoane varstnice</t>
  </si>
  <si>
    <t>d</t>
  </si>
  <si>
    <t>e</t>
  </si>
  <si>
    <t>Fructe</t>
  </si>
  <si>
    <t>1.salarii, sporuri , indemnizatii si alte drepturi salariale</t>
  </si>
  <si>
    <t>Cultura si culte din care (1+2 ):</t>
  </si>
  <si>
    <t xml:space="preserve">            1.   personal neclerical</t>
  </si>
  <si>
    <t xml:space="preserve">            2.  institutii de cultura preluate</t>
  </si>
  <si>
    <t>Sume def din TVA pentru evidenta populatiei</t>
  </si>
  <si>
    <t>h.</t>
  </si>
  <si>
    <t>Sume def din TVA reprez. drepturi pt copii cu cerinte educationale speciale integrati in invatamantul de masa H.G. 904/2014</t>
  </si>
  <si>
    <t>Sume def din TVA  pentru drumuri</t>
  </si>
  <si>
    <t>11.02.05</t>
  </si>
  <si>
    <t>Sume def din TVA  pt echil bugete locale</t>
  </si>
  <si>
    <t>11.02.06</t>
  </si>
  <si>
    <t>D</t>
  </si>
  <si>
    <t>Taxe pe utilizarea bunurilor, autoriz. utiliz. bunurilor</t>
  </si>
  <si>
    <t>Impozit asupra mijloacelor de transport pers fizice</t>
  </si>
  <si>
    <t>16.02.02.01</t>
  </si>
  <si>
    <t>Impozit asupra mijloacelor de transport pers juridice</t>
  </si>
  <si>
    <t>16.02.02.02</t>
  </si>
  <si>
    <t>Taxe si tarife pt elib de licente, autorizatii de functionare</t>
  </si>
  <si>
    <t>16.02.03</t>
  </si>
  <si>
    <t>Venituri din proprietate(30.02+31.02)</t>
  </si>
  <si>
    <t>00.13</t>
  </si>
  <si>
    <t>Varsaminte din profitul net</t>
  </si>
  <si>
    <t>30.02.01</t>
  </si>
  <si>
    <t>Restituiri de fonduri din anii precedenti</t>
  </si>
  <si>
    <t>30.02.03</t>
  </si>
  <si>
    <t>Venituri din concesiuni si inchirieri</t>
  </si>
  <si>
    <t>30.02.05</t>
  </si>
  <si>
    <t>Venituri din dividende</t>
  </si>
  <si>
    <t>30.02.08</t>
  </si>
  <si>
    <t>Venituri din dobanzi</t>
  </si>
  <si>
    <t>31.02</t>
  </si>
  <si>
    <t>Alte venituri din dobanzi</t>
  </si>
  <si>
    <t>31.02.03</t>
  </si>
  <si>
    <t>Venituri din prestari servicii si alte activitati</t>
  </si>
  <si>
    <t>Contributia lunara a parintilor</t>
  </si>
  <si>
    <t>33.02.27</t>
  </si>
  <si>
    <t>Venituri din recuperarea cheltuielilor</t>
  </si>
  <si>
    <t>33.02.28</t>
  </si>
  <si>
    <t>33.02.50</t>
  </si>
  <si>
    <t>Amenzi, penalitati si confiscari</t>
  </si>
  <si>
    <t>Venituri din amenzi si alte sanctiuni</t>
  </si>
  <si>
    <t>35.02.01</t>
  </si>
  <si>
    <t>Diverse venituri</t>
  </si>
  <si>
    <t xml:space="preserve">Sume provenite din finantarea </t>
  </si>
  <si>
    <t>36.02.01</t>
  </si>
  <si>
    <t>Alte venituri</t>
  </si>
  <si>
    <t>36.02.50</t>
  </si>
  <si>
    <t>Transferuri voluntare</t>
  </si>
  <si>
    <t>Donatii si sponsorizari</t>
  </si>
  <si>
    <t>37.02.01</t>
  </si>
  <si>
    <t>Varsaminte din sectiunea de functionare pentru finantarea sectiunii de dezvoltare a bugetului local</t>
  </si>
  <si>
    <t>37.02.03</t>
  </si>
  <si>
    <t>Varsaminte din sectiunea de dezvoltare</t>
  </si>
  <si>
    <t>37.02.04</t>
  </si>
  <si>
    <t>Alte transferuri voluntare</t>
  </si>
  <si>
    <t>37.02.50</t>
  </si>
  <si>
    <t>Venituri din capital</t>
  </si>
  <si>
    <t>Venituri din valorif unor bunuri ale instit publice</t>
  </si>
  <si>
    <t>39.02.01</t>
  </si>
  <si>
    <t>Venituri din vanzarea unor bunuri dom. Privat</t>
  </si>
  <si>
    <t>39,02,07</t>
  </si>
  <si>
    <t>Incasari  din rambursarea imprumuturilor acordate</t>
  </si>
  <si>
    <t>Sume din execedentul bugetului</t>
  </si>
  <si>
    <t>E</t>
  </si>
  <si>
    <t>SUBVENTII</t>
  </si>
  <si>
    <t>.00.17</t>
  </si>
  <si>
    <t>Subventii de la bugetul de stat</t>
  </si>
  <si>
    <t xml:space="preserve">Subventii fin prog de pietruire drumuri </t>
  </si>
  <si>
    <t>42.02.09.01</t>
  </si>
  <si>
    <t>Subventii pt finantarea investitiilor in sanatate</t>
  </si>
  <si>
    <t>42.02.16</t>
  </si>
  <si>
    <t>Subv pt.fin aparatura medicala si echip comunic urgenta in sanatate</t>
  </si>
  <si>
    <t>42.02.16.01</t>
  </si>
  <si>
    <t>Subv pt fin rep capitale in sanatate</t>
  </si>
  <si>
    <t>42.02.16.02</t>
  </si>
  <si>
    <t xml:space="preserve">Subv.ptr finant altor investitii in sanatate </t>
  </si>
  <si>
    <t>42.02.16.03</t>
  </si>
  <si>
    <t>Subventii din veniturile proprii ale ministerului Sanatatii catre bug locale pt fin  investitiilor in sanatate</t>
  </si>
  <si>
    <t>42.02.18</t>
  </si>
  <si>
    <t>Asistenta in pregatirea proiectelor prin Programul  Op reg 2007-2013</t>
  </si>
  <si>
    <t>42.02.19</t>
  </si>
  <si>
    <t>Subventii pt sustinerea Proiecte FEN postaderare</t>
  </si>
  <si>
    <t>42.02.20</t>
  </si>
  <si>
    <t>Finantarea drepturilor persoanelor cu handicap</t>
  </si>
  <si>
    <t>42.02.21</t>
  </si>
  <si>
    <t>Subventii primite din Fondul de Interventie</t>
  </si>
  <si>
    <t>42.02.28</t>
  </si>
  <si>
    <t>Subventii din bugetul de stat pentru finantarea sanatatii</t>
  </si>
  <si>
    <t>42.02.41</t>
  </si>
  <si>
    <t>Subventii primite in cadrul prog FEGA  implementate de APIA</t>
  </si>
  <si>
    <t>42.02.42</t>
  </si>
  <si>
    <t>Subventii pt finantarea UAMS</t>
  </si>
  <si>
    <t>42.02.35</t>
  </si>
  <si>
    <t>Subventii  pentru finantarea camerelor agricole</t>
  </si>
  <si>
    <t>42.02.44</t>
  </si>
  <si>
    <t>Subventii ptr realizarea obiectivelor de inv in turism</t>
  </si>
  <si>
    <t>42.02.40</t>
  </si>
  <si>
    <t>Subventii primite de la bugetul de stat pt finantarea unor programe de interes national</t>
  </si>
  <si>
    <t>42.02.51.01</t>
  </si>
  <si>
    <t>Subventii de la bugetul de stat pt. fin. investitiilor pt. instit. publ. de asist. soc. si UAMS</t>
  </si>
  <si>
    <t>42.02.52</t>
  </si>
  <si>
    <t>Subventii primite de la bugetul de stat pt finantarea subprogramului infrastructura la nivel judetean</t>
  </si>
  <si>
    <t>42.02.59</t>
  </si>
  <si>
    <t>Sume alocate din bugetul de stat aferente corectiilor financiare</t>
  </si>
  <si>
    <t>42.02.62</t>
  </si>
  <si>
    <t>Finantarea Programului National de Dezvoltare Locala</t>
  </si>
  <si>
    <t>42.02.65</t>
  </si>
  <si>
    <t>F</t>
  </si>
  <si>
    <t>Sume primite in contul platilor efectuate in anul curent</t>
  </si>
  <si>
    <t>Sume primite in contul platilor efectuate in anii anteriori</t>
  </si>
  <si>
    <t>Prefinantare</t>
  </si>
  <si>
    <t>45.02.02.02</t>
  </si>
  <si>
    <t xml:space="preserve">PCF PER 2007-2013 </t>
  </si>
  <si>
    <t>Sume primite in contul platilor efectuate in anii curent</t>
  </si>
  <si>
    <t>PROGRAMUL NORVEGIAN</t>
  </si>
  <si>
    <t>45.02.18</t>
  </si>
  <si>
    <t>VENITURI - SECTIUNEA FUNCTIONARE</t>
  </si>
  <si>
    <t xml:space="preserve">Cote defalcate din impozitul pe venit </t>
  </si>
  <si>
    <t xml:space="preserve">Sume din impozit pe venit  pentru echilibrare </t>
  </si>
  <si>
    <t>Sume def din TVA pt fin chelt descentraliz</t>
  </si>
  <si>
    <t>Invatamant special</t>
  </si>
  <si>
    <t>Cultura si culte din care:</t>
  </si>
  <si>
    <t xml:space="preserve">               personal neclerical</t>
  </si>
  <si>
    <t xml:space="preserve">               institutii de cultura preluate</t>
  </si>
  <si>
    <t>VENITURI PROPRII  (1+2+3)</t>
  </si>
  <si>
    <t>Taxe pe utilizarea bunurilor, autorizarea uiliz bunurilor</t>
  </si>
  <si>
    <t>Taxe si tarife pt elib de licente, autorizatii de funct</t>
  </si>
  <si>
    <t>Venituri din aplicarea prescriptiei extinctive</t>
  </si>
  <si>
    <t>Varsaminte din sectiunea de functionare</t>
  </si>
  <si>
    <t>Incasari din ramb imprum acordate</t>
  </si>
  <si>
    <t>Subventii pt fin UMS</t>
  </si>
  <si>
    <t>Subventii primite de la bugetul de stat pt finantarea unor programe de interes national destinate sectiunii de functionare a bugetului local</t>
  </si>
  <si>
    <t>VENITURI - SECTIUNEA  DE DEZVOLTARE</t>
  </si>
  <si>
    <t>Transferuri voluntare, altele decat subventiile</t>
  </si>
  <si>
    <t>37.02</t>
  </si>
  <si>
    <t>42.02</t>
  </si>
  <si>
    <t>Subventii pt sustinerea Proiectelor FEN postaderare</t>
  </si>
  <si>
    <t>TOTAL CHELTUIELI (I+II+III+IV+V)</t>
  </si>
  <si>
    <t>SECTIUNEA DE FUNCTIONARE</t>
  </si>
  <si>
    <t>Cheltuieli curente</t>
  </si>
  <si>
    <t xml:space="preserve">  I.             cheltuieli de personal</t>
  </si>
  <si>
    <t xml:space="preserve"> II.              cheltuieli materiale</t>
  </si>
  <si>
    <t>III. Dobanzi aferente datoriei publice interne</t>
  </si>
  <si>
    <t>V. Fond de rezerva bugetara</t>
  </si>
  <si>
    <t>VI. Transferuri catre institutii publice</t>
  </si>
  <si>
    <t>VII Alte transferuri interne</t>
  </si>
  <si>
    <t>VIII Asistenta sociala</t>
  </si>
  <si>
    <t xml:space="preserve">IX Alte cheltuieli </t>
  </si>
  <si>
    <t>Operatiuni financiare</t>
  </si>
  <si>
    <t>Plati efectuate in anii precedenti si recuperate in anul curent</t>
  </si>
  <si>
    <t>SECTIUNEA DE DEZVOLTARE</t>
  </si>
  <si>
    <t xml:space="preserve">Transferuri intre unitati ale administratiei publice </t>
  </si>
  <si>
    <t>Transferuri pentru finantarea investitiilor la spitale</t>
  </si>
  <si>
    <t>51.02.12</t>
  </si>
  <si>
    <t>Transferuri pt fin chelt de capital din domeniul sanatatii</t>
  </si>
  <si>
    <t>51.02.28</t>
  </si>
  <si>
    <t>Alte transferuri  de capital catre institutii publice</t>
  </si>
  <si>
    <t>51.02.29</t>
  </si>
  <si>
    <t xml:space="preserve">Alte transferuri </t>
  </si>
  <si>
    <t>Proiecte cu finantare FEN</t>
  </si>
  <si>
    <t>X Cheltuieli de capital</t>
  </si>
  <si>
    <t>V. fond de rezerva bugetara</t>
  </si>
  <si>
    <t>Ajutoare sociale in numerar</t>
  </si>
  <si>
    <t>Alte cheltuieli</t>
  </si>
  <si>
    <t>VI Transferuri intre unitati ale admin. Publice</t>
  </si>
  <si>
    <t>Alte transf. de capital catre institutii publice</t>
  </si>
  <si>
    <t>Transferuri interne</t>
  </si>
  <si>
    <t>AUTORITATI PUBLICE SI ACTIUNI EXTERNE</t>
  </si>
  <si>
    <t>51.02.01.03</t>
  </si>
  <si>
    <t>Alte transferuri curente interne</t>
  </si>
  <si>
    <t>55.01.18</t>
  </si>
  <si>
    <t>57.02</t>
  </si>
  <si>
    <t xml:space="preserve">Transferuri de capital   </t>
  </si>
  <si>
    <t>51.02</t>
  </si>
  <si>
    <t>Transferuri din bugetele proprii ale judetelor catre bugetele locale in vederea asig fd necesare implementarii proiectelor finantate din FEN</t>
  </si>
  <si>
    <t>51.02.45</t>
  </si>
  <si>
    <t>55.01</t>
  </si>
  <si>
    <t>Programe de dezvoltare</t>
  </si>
  <si>
    <t>55.01.13</t>
  </si>
  <si>
    <t>X. Cheltuieli de capital</t>
  </si>
  <si>
    <t>Constructii</t>
  </si>
  <si>
    <t>71.01.01</t>
  </si>
  <si>
    <t>Masini, echipamente si mijloace de transport</t>
  </si>
  <si>
    <t>71.01.02</t>
  </si>
  <si>
    <t>Mobilier, aparatura birotica</t>
  </si>
  <si>
    <t>71.01.03</t>
  </si>
  <si>
    <t>Alte active fixe</t>
  </si>
  <si>
    <t>71.01.30</t>
  </si>
  <si>
    <t>Reparatii capitale</t>
  </si>
  <si>
    <t>71.03</t>
  </si>
  <si>
    <t xml:space="preserve">Finanatare nationala </t>
  </si>
  <si>
    <t>56.01.01</t>
  </si>
  <si>
    <t>Finantare de la UE</t>
  </si>
  <si>
    <t>56.01.02</t>
  </si>
  <si>
    <t>56.01.03</t>
  </si>
  <si>
    <t>Cheltuieli neeligibile</t>
  </si>
  <si>
    <t>ALTE SERVICII PUBLICE GENERALE (2.a+2.b+2.c)</t>
  </si>
  <si>
    <t>54.02</t>
  </si>
  <si>
    <t>2.a</t>
  </si>
  <si>
    <t>V. FONDURI DE REZERVA</t>
  </si>
  <si>
    <t xml:space="preserve"> Fond de rezerva bugetara la dispozitia autoritatilor locale</t>
  </si>
  <si>
    <t>50.04</t>
  </si>
  <si>
    <t>2.b</t>
  </si>
  <si>
    <t>DIRECTIA JUDETEANA PENTRU EVIDENTA PERSOANELOR PITESTI</t>
  </si>
  <si>
    <t>54.02.10</t>
  </si>
  <si>
    <t>51.01.01</t>
  </si>
  <si>
    <t xml:space="preserve"> Alte  transferuri de capital catre institutii publice</t>
  </si>
  <si>
    <t>2.c</t>
  </si>
  <si>
    <t xml:space="preserve">   RAMBURSARI DE CREDITE</t>
  </si>
  <si>
    <t>54.02.50</t>
  </si>
  <si>
    <t>XIII. Rambursari de credite</t>
  </si>
  <si>
    <t xml:space="preserve">Rambursare imprumuturi interne </t>
  </si>
  <si>
    <t>81.02.05</t>
  </si>
  <si>
    <t>Rambursare imprumuturi externe</t>
  </si>
  <si>
    <t>81.01.05</t>
  </si>
  <si>
    <t>2.d</t>
  </si>
  <si>
    <t>ALTE SERVICII PUBLICE GENERALE - ALEGERI</t>
  </si>
  <si>
    <t>CAPITAL</t>
  </si>
  <si>
    <t>2.e</t>
  </si>
  <si>
    <t xml:space="preserve"> TRANFERURI CATRE UNITATILE IN EXTREMA DIFICULTATE</t>
  </si>
  <si>
    <t>Transferuri din bugetele consiliilor locale şi judeţene pentru acordarea unor ajutoare către unităţile administrativ-teritoriale în situaţii de extremă dificultate</t>
  </si>
  <si>
    <t>51.01.24</t>
  </si>
  <si>
    <t xml:space="preserve">TRANZACTII PRIVIND DATORIA PUBLICA </t>
  </si>
  <si>
    <t>55.02</t>
  </si>
  <si>
    <t>20.24.02</t>
  </si>
  <si>
    <t xml:space="preserve">III. Dobanzi aferente datoriei publice </t>
  </si>
  <si>
    <t xml:space="preserve">         Dobanzi aferente datoriei publice interne</t>
  </si>
  <si>
    <t>30.01.01</t>
  </si>
  <si>
    <t xml:space="preserve">         Dobanzi aferente datoriei publice externe</t>
  </si>
  <si>
    <t>Alte cheltuieli - ajutoare calamitati</t>
  </si>
  <si>
    <t>59.02</t>
  </si>
  <si>
    <t>APARARE (1.a+1.b)</t>
  </si>
  <si>
    <t>1.a</t>
  </si>
  <si>
    <t>CENTRUL MILITAR JUDETEAN ARGES</t>
  </si>
  <si>
    <t>60.02.02</t>
  </si>
  <si>
    <t>Masini , echipamente si mijloace de transport</t>
  </si>
  <si>
    <t>1.b</t>
  </si>
  <si>
    <t>STRUCTURA TERITORIALA PENTRU PROBLEME SPECIALE ARGES</t>
  </si>
  <si>
    <t>ORDINE PUBLICA SI SIGURANTA NATIONALA (2.a)</t>
  </si>
  <si>
    <t>INSPECTORATUL GENERAL PENTRU SITUATII DE URGENTA</t>
  </si>
  <si>
    <t>61.02.05.02</t>
  </si>
  <si>
    <t>VI Transferuri</t>
  </si>
  <si>
    <t>85.01</t>
  </si>
  <si>
    <t>Transferuri de capital - pt fin investitiilor la spitale</t>
  </si>
  <si>
    <t>Alte transferuri</t>
  </si>
  <si>
    <t>INVATAMANT (1.1+1.2)</t>
  </si>
  <si>
    <t>65.02</t>
  </si>
  <si>
    <t>1.1.</t>
  </si>
  <si>
    <t xml:space="preserve">  INVATAMANT SPECIAL (1.1.a+1.1.b+1.1.c+1.1.d+1.1.e+1.1f)</t>
  </si>
  <si>
    <t>65.02.07.04</t>
  </si>
  <si>
    <t>Asistenta sociala</t>
  </si>
  <si>
    <t>1.1.a</t>
  </si>
  <si>
    <t>CENTRUL SCOLAR DE EDUCATIE INCLUZIVA "SF. FILOFTEIA" STEFANESTI</t>
  </si>
  <si>
    <t>65.02.07.04.01</t>
  </si>
  <si>
    <t xml:space="preserve">Ajutoare sociale </t>
  </si>
  <si>
    <t>1.1.b</t>
  </si>
  <si>
    <t>CENTRUL SCOLAR DE EDUCATIE INCLUZIVA "SF. NICOLAE" CAMPULUNG</t>
  </si>
  <si>
    <t>65.02.07.04.02</t>
  </si>
  <si>
    <t>1.1.c</t>
  </si>
  <si>
    <t>SCOALA SPECIALA PENTRU COPII CU DEFICIENTE ASOCIATE "SF. STELIAN" COSTESTI</t>
  </si>
  <si>
    <t>65.02.07.04.03</t>
  </si>
  <si>
    <t>Asistenta sociala- Ajutoare sociale in numerar</t>
  </si>
  <si>
    <t>57.02.01</t>
  </si>
  <si>
    <t xml:space="preserve">X. Cheltuieli de capital  </t>
  </si>
  <si>
    <t>1.1.d</t>
  </si>
  <si>
    <t>GRADINITA SPECIALA " SF. ELENA" PITESTI</t>
  </si>
  <si>
    <t>65.02.07.04.04</t>
  </si>
  <si>
    <t>1.1.e</t>
  </si>
  <si>
    <t>1.2.</t>
  </si>
  <si>
    <t>65.02.50</t>
  </si>
  <si>
    <t>Transferuri de la bugetul judetului catre bugetele locale pentru plata drepturilor de care beneficiaza copiii cu cerinte educationale speciale integrati in invatamantul de masa</t>
  </si>
  <si>
    <t>51.01.64</t>
  </si>
  <si>
    <t>Ajutoare sociale in natura</t>
  </si>
  <si>
    <t>57.02.02</t>
  </si>
  <si>
    <t>1.1.f</t>
  </si>
  <si>
    <t>CENTRUL JUDETEAN DE RESURSE SI ASISTENTA EDUCATIONALA</t>
  </si>
  <si>
    <t>65.02.11.30</t>
  </si>
  <si>
    <t>SANATATE (2.1+2.2)</t>
  </si>
  <si>
    <t>2.1.</t>
  </si>
  <si>
    <t>ALTE INSTITUTII SI ACTIUNI SANITARE</t>
  </si>
  <si>
    <t>66.02.50.50</t>
  </si>
  <si>
    <t>VI Transferuri curente, din care:</t>
  </si>
  <si>
    <t>51.01</t>
  </si>
  <si>
    <t>Actiuni de sanatate</t>
  </si>
  <si>
    <t>51.01.03</t>
  </si>
  <si>
    <t>2.2.</t>
  </si>
  <si>
    <t>UNITATI DE ASISTENTA MEDICO-SOCIALE (2.2.a+2.2.b+2.2.c+2.2.d+2.2.e)</t>
  </si>
  <si>
    <t>66.02.06.03</t>
  </si>
  <si>
    <t>VI Transferuri pt fin UMS</t>
  </si>
  <si>
    <t>51.01.39</t>
  </si>
  <si>
    <t>2.2.a</t>
  </si>
  <si>
    <t>UNITATEA DE ASISTENTA MEDICO-SOCIALA CALINESTI</t>
  </si>
  <si>
    <t>2.2.b</t>
  </si>
  <si>
    <t>UNITATEA DE ASISTENTA MEDICO-SOCIALA DEDULESTI</t>
  </si>
  <si>
    <t>2.2.c</t>
  </si>
  <si>
    <t>UNITATEA DE ASISTENTA MEDICO-SOCIALA  SUICI</t>
  </si>
  <si>
    <t>2.2.d</t>
  </si>
  <si>
    <t xml:space="preserve">UNITATEA DE ASISTENTA MEDICO-SOCIALA RUCAR </t>
  </si>
  <si>
    <t>2.2.e</t>
  </si>
  <si>
    <t>UNITATEA DE ASISTENTA MEDICO-SOCIALA  DOMNESTI</t>
  </si>
  <si>
    <t>67.02</t>
  </si>
  <si>
    <t>3.1.</t>
  </si>
  <si>
    <t>BIBLIOTECA JUDETEANA "DINICU GOLESCU"</t>
  </si>
  <si>
    <t>67.02.03</t>
  </si>
  <si>
    <t>56.16.03</t>
  </si>
  <si>
    <t>3.2.</t>
  </si>
  <si>
    <t>MUZEUL JUDETEAN ARGES</t>
  </si>
  <si>
    <t>67.02.03.02.01</t>
  </si>
  <si>
    <t>PROIECT " Muzeul Judetean Arges - mostenire culturala, istorie si continuitate</t>
  </si>
  <si>
    <t>67.02.03.02</t>
  </si>
  <si>
    <t>Finantare nationala</t>
  </si>
  <si>
    <t>PROIECT " Castru Jidova simbol al Romei la granita imperiu si lumea barbara"</t>
  </si>
  <si>
    <t>67.02.50</t>
  </si>
  <si>
    <t>Finantare UE</t>
  </si>
  <si>
    <t>MUZEUL VITICULTURII SI POMICULTURII GOLESTI</t>
  </si>
  <si>
    <t>67.02.03.02.02</t>
  </si>
  <si>
    <t>TEATRUL "AL. DAVILA" PITESTI</t>
  </si>
  <si>
    <t>67.02.03.04</t>
  </si>
  <si>
    <t>SCOALA POPULARA DE ARTE SI MESERII PITESTI</t>
  </si>
  <si>
    <t>67.02.03.05</t>
  </si>
  <si>
    <t>67.02.03.08</t>
  </si>
  <si>
    <t>PERSONAL NECLERICAL</t>
  </si>
  <si>
    <t>67.02.50.02</t>
  </si>
  <si>
    <t>IX Alte cheltuieli - contrib salariz pers neclerical</t>
  </si>
  <si>
    <t>CENTRUL DE CULTURA "BRATIANU" STEFANESTI</t>
  </si>
  <si>
    <t>67.02.50.01</t>
  </si>
  <si>
    <t>Programe Phare si alte progr. cu finantare neramb.</t>
  </si>
  <si>
    <t>55.01.08</t>
  </si>
  <si>
    <t>SERVICII RECREATIVE SI SPORTIVE</t>
  </si>
  <si>
    <t>67.02.05.02</t>
  </si>
  <si>
    <t>ASIGURARI SI ASIST. SOCIALA (4.1+4.2+4.3+4.4)</t>
  </si>
  <si>
    <t>68.02.06</t>
  </si>
  <si>
    <t>Ajutoare sociale in natura -tichete</t>
  </si>
  <si>
    <t xml:space="preserve">Alte cheltuieli </t>
  </si>
  <si>
    <t>Drepturi persoane cu handicap</t>
  </si>
  <si>
    <t xml:space="preserve">        Cheltuieli materiale - drepturi pers handicap</t>
  </si>
  <si>
    <t xml:space="preserve">        Asist. Soc.- drepturi pers cu handicap</t>
  </si>
  <si>
    <t xml:space="preserve">Ajutoare sociale in natura </t>
  </si>
  <si>
    <t>57.01.02</t>
  </si>
  <si>
    <t>Fnantare nationala</t>
  </si>
  <si>
    <t>56.02</t>
  </si>
  <si>
    <t>Mobilier , aparatura birotica</t>
  </si>
  <si>
    <t>4.2.</t>
  </si>
  <si>
    <t>68.02.04</t>
  </si>
  <si>
    <t>4.2.a</t>
  </si>
  <si>
    <t>CENTRUL DE INGRIJIRE SI ASISTENTA PITESTI</t>
  </si>
  <si>
    <t>68.02.04.01</t>
  </si>
  <si>
    <t>4.2.b</t>
  </si>
  <si>
    <t>CENTRUL DE INGRIJIRE SI ASISTENTA BASCOVELE</t>
  </si>
  <si>
    <t>68.02.04.02</t>
  </si>
  <si>
    <t>4.2.c.1</t>
  </si>
  <si>
    <t>CENTRUL DE INTEGRARE PRIN TERAPIE OCUPATIONALA TIGVENI</t>
  </si>
  <si>
    <t>68.02.05.02.01</t>
  </si>
  <si>
    <t>COMPLEXUL DE LOCUINTE PROTEJATE TIGVENI</t>
  </si>
  <si>
    <t>CENTRUL DE RECUPERARE SI REABILITARE NEUROPSIHIATRICA CALINESTI</t>
  </si>
  <si>
    <t>COMPLEXUL DE SERVICII PENTRU PERSOANE CU DIZABILITATI VULTURESTI</t>
  </si>
  <si>
    <t>68.02.05.02.03</t>
  </si>
  <si>
    <t>CENTRUL VULTURESTI</t>
  </si>
  <si>
    <t>68.02.05.02.04</t>
  </si>
  <si>
    <t>COMPLEXUL DE LOCUINTE PROTEJATE BUZOIESTI</t>
  </si>
  <si>
    <t>4.2.e</t>
  </si>
  <si>
    <t>CAMIN PERSOANE VARSTNICE MOZACENI</t>
  </si>
  <si>
    <t>4.3.</t>
  </si>
  <si>
    <t>UNITATI DE ASISTENTA MEDICO-SOCIALE (4.3.a+4.3.b+4.3.c+4.3.d+4.3.e)</t>
  </si>
  <si>
    <t>68.02.50</t>
  </si>
  <si>
    <t>4.3.a</t>
  </si>
  <si>
    <t>68.02.50.01</t>
  </si>
  <si>
    <t>4.3.b</t>
  </si>
  <si>
    <t>68.02.50.02</t>
  </si>
  <si>
    <t>4.3.c</t>
  </si>
  <si>
    <t>UNITATEA DE ASISTENTA MEDICO-SOCIALA SUICI</t>
  </si>
  <si>
    <t>68.02.50.03</t>
  </si>
  <si>
    <t>4.3.d</t>
  </si>
  <si>
    <t>UNITATEA DE ASISTENTA MEDICO-SOCIALA RUCAR</t>
  </si>
  <si>
    <t>4.3.e</t>
  </si>
  <si>
    <t>UNITATEA DE ASISTENTA MEDICO-SOCIALA DOMNESTI</t>
  </si>
  <si>
    <t>4.4.</t>
  </si>
  <si>
    <t>ALTE ACTIUNI DE ASISTENTA SOCIALA</t>
  </si>
  <si>
    <t>68.02.50.04</t>
  </si>
  <si>
    <t>SERVICIUL PUBLIC JUDETEAN SALVAMONT ARGES</t>
  </si>
  <si>
    <t>70.02.50</t>
  </si>
  <si>
    <t>PROIECT "Zona montana a Argesului  si Muscelului diversitate si unicitate in Romania"</t>
  </si>
  <si>
    <t>1.3.</t>
  </si>
  <si>
    <t>PROIECT "Extindere si reabilitare  infrastructura de apa si apa uzata"</t>
  </si>
  <si>
    <t>70.02.05.01</t>
  </si>
  <si>
    <t>1.4.</t>
  </si>
  <si>
    <t>20.30.30</t>
  </si>
  <si>
    <t>PROTECTIA MEDIULUI (2.1+2.2)</t>
  </si>
  <si>
    <t>Cheltuieli materiale</t>
  </si>
  <si>
    <t>Sume FEN postaderare</t>
  </si>
  <si>
    <t>COLECTARE , TRATARE  DESEURI - UIP</t>
  </si>
  <si>
    <t>74.02.05.02</t>
  </si>
  <si>
    <t>MANAGEMENTUL INTEGRAT AL DESEURILOR SOLIDE JUDETUL ARGES</t>
  </si>
  <si>
    <t>Finanatare de la UE</t>
  </si>
  <si>
    <t xml:space="preserve">Cheltuieli neeligibile </t>
  </si>
  <si>
    <t>V</t>
  </si>
  <si>
    <t>Transferuri curente</t>
  </si>
  <si>
    <t>VII ALTE TRANSFERURI - Progr de dezvoltare</t>
  </si>
  <si>
    <t>Transferuri din bugetul local către asociaţiile de dezvoltare intercomunitară</t>
  </si>
  <si>
    <t>55.01.42</t>
  </si>
  <si>
    <t>ACTIUNI GENERALE ECONOMICE (1.1+1.2)</t>
  </si>
  <si>
    <t xml:space="preserve"> II.  cheltuieli materiale</t>
  </si>
  <si>
    <t>PROGRAME DE DEZVOLTARE REGIONALA</t>
  </si>
  <si>
    <t>80.02.01.10</t>
  </si>
  <si>
    <t>80.02.01.30</t>
  </si>
  <si>
    <t xml:space="preserve"> II.   cheltuieli materiale</t>
  </si>
  <si>
    <t>20.30.02</t>
  </si>
  <si>
    <t>PREVENIRE SI COMBATERE INUNDATII</t>
  </si>
  <si>
    <t>80.02.01.06</t>
  </si>
  <si>
    <t>Alte cheltuieli  - alte ajutoare</t>
  </si>
  <si>
    <t>AGRICULTURA SI SILVICULTURA</t>
  </si>
  <si>
    <t>Alte cheltuieli in domeniul agriculturii</t>
  </si>
  <si>
    <t>83.02.03</t>
  </si>
  <si>
    <t>CAMERA AGRICOLA ARGES</t>
  </si>
  <si>
    <t>83.02.03.07</t>
  </si>
  <si>
    <t>Transferuri  din bugetele locale pentru finantarea camerelor agricole</t>
  </si>
  <si>
    <t>51.01.49</t>
  </si>
  <si>
    <t xml:space="preserve">TRANSPORTURI </t>
  </si>
  <si>
    <t xml:space="preserve">DRUMURI SI PODURI JUDETENE </t>
  </si>
  <si>
    <t>84.02.03.01</t>
  </si>
  <si>
    <t>CHELTUIELI DE CAPITAL  - INVESTITII</t>
  </si>
  <si>
    <t>87,02,04</t>
  </si>
  <si>
    <t>ProiecteFEN</t>
  </si>
  <si>
    <t xml:space="preserve"> DEFICIT</t>
  </si>
  <si>
    <t>Finantare din excedentul bugetului local</t>
  </si>
  <si>
    <t>Proiect "Sprijin pentru pregatirea aplicatiei de finantare si a documentatiiilor de atribuire  pentru Proiectul Regional de Dezvoltare a Infrastructurii de apa si apa uzata  din judetul Arges in perioada 2014-2020"</t>
  </si>
  <si>
    <t xml:space="preserve">Programe din Fondul European de Dezvoltare Regionala </t>
  </si>
  <si>
    <t>58,01,03</t>
  </si>
  <si>
    <t>ANUL 2021</t>
  </si>
  <si>
    <t xml:space="preserve">Contributia de intretinere a persoanelor asitate </t>
  </si>
  <si>
    <t>33,02,13</t>
  </si>
  <si>
    <t>PROIECT "Restaurarea galeriei de Arta"Rudolf Schweitzer-Cumpana"-Consolidarea, protejarea si valorificarea patrimoniului cultural</t>
  </si>
  <si>
    <t>PROIECT "Restaurarea Muzeului Judetean Arges- Consolidarea, protejarea  si valorificarea patrimoniului cultural"</t>
  </si>
  <si>
    <t>PROIECT "Conservarea si consolidarea Cetatii Poienari"</t>
  </si>
  <si>
    <t xml:space="preserve">PROIECT "Cresterea eficientei energetice a Spitalului de Recuperare Bradet </t>
  </si>
  <si>
    <t>PROIECT "Modernizarea drumului judetean DJ504 lim Jud Teleorman-Popesti-Izvoru-Recea-Cornatel-Vulpesti(DN 65A),km 110+700-136+695, L=25,995 km, pe raza Com. Popesti, Izvoru, Recea, Buzoiesti, Jud Arges</t>
  </si>
  <si>
    <t xml:space="preserve">Despagubiri civile </t>
  </si>
  <si>
    <t xml:space="preserve"> Servicii de expertiza tehnica structurala, studii de teren, audit energetic, DALI/SF, documentatii, avize solicitate  prin Certificat de Urbanism pentru obiectivul "Extindere modernizare si dotare spatii Urgenta Spitalul de Pediatrie  Pitesti</t>
  </si>
  <si>
    <t xml:space="preserve"> Servicii de expertiza tehnica structurala, studii de teren, audit energetic, DALI/SF, documentatii, avize solicitate  prin Certificat de Urbanism pentru obiectivul"Extindere si dotare spatii Urgenta si amenajari incinta Spitalul de Urgenta  Pitesti</t>
  </si>
  <si>
    <t xml:space="preserve">SF Extindere spatiu  Ambulatoriu integrat al Spitalului Judetean de Urgenta Pitesti precum si dotarea acestuia </t>
  </si>
  <si>
    <t>SFExtindere, modernizarea si dotarea  Ambulatoriului Integrat al spitalului cu componentele structurale Centrul de Sanatate Mintala si Laboratorul de recuperare, medicina fizica si balneologie (baza de tratament)</t>
  </si>
  <si>
    <t>Sume def din TVA pentru finantarea cheltuielilor descentralizate  :</t>
  </si>
  <si>
    <t>hotarari judecatoresti</t>
  </si>
  <si>
    <t xml:space="preserve">       Drepturi copii cu cerinte educationale speciale care frecventeaza invatamantul special </t>
  </si>
  <si>
    <t>mii lei</t>
  </si>
  <si>
    <t xml:space="preserve">ASOCIATIA DE DEZVOLTARE INTERCOMUNITARA MOLIVISU - </t>
  </si>
  <si>
    <t xml:space="preserve">ALTE ACTIUNI ECONOMICE </t>
  </si>
  <si>
    <t xml:space="preserve">Servicii de expertiza tehnica structurala , studii de teren SF , documentatii, avize solicitate prin Certificatul de Urbanism pentru obiectivul de investitii Cale de acces mecanizata Cetatea Poienari </t>
  </si>
  <si>
    <t>4.2.d</t>
  </si>
  <si>
    <t>4.2.f</t>
  </si>
  <si>
    <t>4.2.g</t>
  </si>
  <si>
    <t>4.2.h</t>
  </si>
  <si>
    <t>SUME PRIMITE DE LA UE /ALTI DONATORI IN CONTUL PLATILOR EFECTUATE SI PREFINANTARI AFERENTE CADRULUI FINANCIAR 2014-2020</t>
  </si>
  <si>
    <t>48.02.01.01</t>
  </si>
  <si>
    <t>48.02.01.02</t>
  </si>
  <si>
    <t>48.02.01.03</t>
  </si>
  <si>
    <t>48.02.01</t>
  </si>
  <si>
    <t>48.02</t>
  </si>
  <si>
    <t>Proiecte cu finantare FEN aferente cadrului financiar 2014-2020</t>
  </si>
  <si>
    <t xml:space="preserve">Finantare externa nerambursabila </t>
  </si>
  <si>
    <t>58.01.02</t>
  </si>
  <si>
    <t>58.01.03</t>
  </si>
  <si>
    <t>SF + PT - Marirea capacitatii sistemului de alimentare cu apa in Comuna Cuca si Moraresti</t>
  </si>
  <si>
    <t xml:space="preserve">Expertiza tehnica si PT pentru reamplasarea punctului termic si a instalatiilor aferente existente - centrul de Radioterapie - Spitalul Judetean de Urgenta </t>
  </si>
  <si>
    <t xml:space="preserve">CENTRUL   CULTURAL JUDETEAN ARGES </t>
  </si>
  <si>
    <t xml:space="preserve">                alte cheltuieli</t>
  </si>
  <si>
    <t xml:space="preserve">                 alte cheltuieli</t>
  </si>
  <si>
    <t>VENITURI - TOTAL( A+B+C+D+E+F )</t>
  </si>
  <si>
    <t>b</t>
  </si>
  <si>
    <t>a</t>
  </si>
  <si>
    <t>g</t>
  </si>
  <si>
    <t xml:space="preserve">Centrele pentru persoane adulte cu handicap </t>
  </si>
  <si>
    <t xml:space="preserve">Programul pentru scoli  al Romaniei </t>
  </si>
  <si>
    <t>.3.6</t>
  </si>
  <si>
    <t>.3.7</t>
  </si>
  <si>
    <t>.3.8</t>
  </si>
  <si>
    <t>.3.9</t>
  </si>
  <si>
    <t>.3.10</t>
  </si>
  <si>
    <t>CULTURA, RECREERE SI RELIGIE (3.1+3.2+3.3+3.4+3.5+3.6+3.7+3.8+3.9+3.10+3.11)</t>
  </si>
  <si>
    <t>CENTRE DE ASISTENTA (4.2.a+4.2.b+4.2.c+4.2.d+4.2.e+4.2.f+4.2.g+4.2.h)</t>
  </si>
  <si>
    <t>LOCUINTE SERVICII SI DEZVOLTARE PUBLICA (1.1+1.2+1.3)</t>
  </si>
  <si>
    <t>.2.1</t>
  </si>
  <si>
    <t>.2.2</t>
  </si>
  <si>
    <t>.3.1</t>
  </si>
  <si>
    <t xml:space="preserve"> Cheltuieli de capital - Total, din care:</t>
  </si>
  <si>
    <t xml:space="preserve">  ALTE CHELTUIELI - PROGRAMUL PENTRU SCOLI AL ROMANIEI </t>
  </si>
  <si>
    <t xml:space="preserve">      Cheltuieli cu bunuri si servicii</t>
  </si>
  <si>
    <r>
      <t xml:space="preserve">                                                                                                                            </t>
    </r>
    <r>
      <rPr>
        <b/>
        <u/>
        <sz val="11"/>
        <rFont val="Times New Roman"/>
        <family val="1"/>
        <charset val="238"/>
      </rPr>
      <t xml:space="preserve"> PARTEA I SERVICII PUBLICE  GENERALE (1+2+3)</t>
    </r>
    <r>
      <rPr>
        <b/>
        <sz val="11"/>
        <rFont val="Times New Roman"/>
        <family val="1"/>
        <charset val="238"/>
      </rPr>
      <t xml:space="preserve"> </t>
    </r>
  </si>
  <si>
    <r>
      <t xml:space="preserve">                                                                                                                   </t>
    </r>
    <r>
      <rPr>
        <b/>
        <u/>
        <sz val="11"/>
        <rFont val="Times New Roman"/>
        <family val="1"/>
        <charset val="238"/>
      </rPr>
      <t>PARTEA II APARARE, ORDINE PUBLICA (1+2</t>
    </r>
    <r>
      <rPr>
        <b/>
        <sz val="11"/>
        <rFont val="Times New Roman"/>
        <family val="1"/>
        <charset val="238"/>
      </rPr>
      <t>)</t>
    </r>
  </si>
  <si>
    <r>
      <t xml:space="preserve">                                                                                                   </t>
    </r>
    <r>
      <rPr>
        <b/>
        <u/>
        <sz val="11"/>
        <rFont val="Times New Roman"/>
        <family val="1"/>
        <charset val="238"/>
      </rPr>
      <t>PARTEA III CHELT SOCIAL- CULTURALE (1+2+3+4</t>
    </r>
    <r>
      <rPr>
        <b/>
        <sz val="11"/>
        <rFont val="Times New Roman"/>
        <family val="1"/>
        <charset val="238"/>
      </rPr>
      <t>)</t>
    </r>
  </si>
  <si>
    <r>
      <t xml:space="preserve">  I.             cheltuieli de personal </t>
    </r>
    <r>
      <rPr>
        <b/>
        <sz val="11"/>
        <rFont val="Times New Roman"/>
        <family val="1"/>
        <charset val="238"/>
      </rPr>
      <t>din care:</t>
    </r>
  </si>
  <si>
    <r>
      <t xml:space="preserve">sume pentru aplicarea Legii nr. </t>
    </r>
    <r>
      <rPr>
        <b/>
        <sz val="11"/>
        <rFont val="Times New Roman"/>
        <family val="1"/>
        <charset val="238"/>
      </rPr>
      <t>85/2016 (hotarari judecatoresti)</t>
    </r>
  </si>
  <si>
    <r>
      <t xml:space="preserve">       </t>
    </r>
    <r>
      <rPr>
        <b/>
        <u/>
        <sz val="11"/>
        <rFont val="Times New Roman"/>
        <family val="1"/>
        <charset val="238"/>
      </rPr>
      <t>PARTEA  IV  SERVICII SI DEZVOLTARE PUBLICA (1+2</t>
    </r>
    <r>
      <rPr>
        <b/>
        <sz val="11"/>
        <rFont val="Times New Roman"/>
        <family val="1"/>
        <charset val="238"/>
      </rPr>
      <t>)</t>
    </r>
  </si>
  <si>
    <r>
      <t xml:space="preserve">                                                                                                      </t>
    </r>
    <r>
      <rPr>
        <b/>
        <u/>
        <sz val="11"/>
        <rFont val="Times New Roman"/>
        <family val="1"/>
        <charset val="238"/>
      </rPr>
      <t>PARTEA V ACTIUNI ECONOMICE (1+2+3</t>
    </r>
    <r>
      <rPr>
        <b/>
        <sz val="11"/>
        <rFont val="Times New Roman"/>
        <family val="1"/>
        <charset val="238"/>
      </rPr>
      <t>)</t>
    </r>
  </si>
  <si>
    <t xml:space="preserve">ESTIMARI </t>
  </si>
  <si>
    <t>Invatamant special , din care :</t>
  </si>
  <si>
    <t xml:space="preserve"> DIRECTIA GENERALA DE ASISTENTA SOCIALA SI PROTECTIA COPILULUI ARGES</t>
  </si>
  <si>
    <t>.4.1.1</t>
  </si>
  <si>
    <t>.4.1.2</t>
  </si>
  <si>
    <t>ALTE CHELTUIELI PENTRU ACTIUNI GENERALE ECONOMICE</t>
  </si>
  <si>
    <t>71,01,02</t>
  </si>
  <si>
    <t xml:space="preserve">Alte chelt </t>
  </si>
  <si>
    <t>ANUL 2022</t>
  </si>
  <si>
    <t>SI ESTIMARILE PE ANII 2020-2022</t>
  </si>
  <si>
    <t>CENTRUL DE  EDUCATIE INCLUZIVA SF.  MARINA
 CURTEA DE ARGES</t>
  </si>
  <si>
    <t xml:space="preserve">          Finantare nationala</t>
  </si>
  <si>
    <t>58.01.01</t>
  </si>
  <si>
    <t xml:space="preserve">          Fonduri externe nerambursabile</t>
  </si>
  <si>
    <t xml:space="preserve">         Cofinantare si chelt neeligibile</t>
  </si>
  <si>
    <t>PROIECT "Cresterea eficientei energetice a Palatului Administrativ, Pitesti Piata Vasile Milea nr. 1, Jud Arges</t>
  </si>
  <si>
    <t>PROIECT " Certificarea activitatilor Consiliului Judetean Arges si dezvoltarea abilitatilor personalului in concordanta cu prevederile SCAP  (PROGRAMUL Operational Capacitate Administrativa )</t>
  </si>
  <si>
    <t>PNDL I</t>
  </si>
  <si>
    <t>PNDL II</t>
  </si>
  <si>
    <t xml:space="preserve">ALTE OBIECTIVE </t>
  </si>
  <si>
    <t>PNDL II Consolidare si Reabilitare Spital Judetean De Urgenta Pitesti</t>
  </si>
  <si>
    <t>Subventii pt sustinerea Proiecte FEN postaderare AFERENTE 2014-2020</t>
  </si>
  <si>
    <t>42.02.69</t>
  </si>
  <si>
    <t>?????????</t>
  </si>
  <si>
    <t>58.02.01</t>
  </si>
  <si>
    <t>58.02.02</t>
  </si>
  <si>
    <t>58.02.03</t>
  </si>
  <si>
    <t xml:space="preserve">Subventii pentru realizarea activitatii de colectare transport depozitare si neutralizare a deseurilor de origine animala </t>
  </si>
  <si>
    <t>42.02.73</t>
  </si>
  <si>
    <t xml:space="preserve">ALTE SUME PRIMITE DE LA UNIUNEA EUROPEANA </t>
  </si>
  <si>
    <t>46.02</t>
  </si>
  <si>
    <t>48.02.02</t>
  </si>
  <si>
    <t>48.02.02.01</t>
  </si>
  <si>
    <t>48.02.02.02</t>
  </si>
  <si>
    <t>48.02.02.03</t>
  </si>
  <si>
    <t>48.02.15</t>
  </si>
  <si>
    <t>48.02.15.01</t>
  </si>
  <si>
    <t>48.02.15.02</t>
  </si>
  <si>
    <t>48.02.15.03</t>
  </si>
  <si>
    <t>PROIECT " Imbunatatirea accesului populatiei din judetele Arges, Teleorman si Calarasi la servicii medicale de urgenta "</t>
  </si>
  <si>
    <t>PROIECT " Asigurarea accesului la servicii de sanatate in regim ambulatoriu pentru populatia judetelor  Arges, Teleorman si Calarasi"</t>
  </si>
  <si>
    <t xml:space="preserve">s a term </t>
  </si>
  <si>
    <t xml:space="preserve">alin syoicea </t>
  </si>
  <si>
    <t xml:space="preserve">PROIECT "TEAM-UP: Progres in calitatea ingrijirii alternative a copiilor </t>
  </si>
  <si>
    <t>58.15.01</t>
  </si>
  <si>
    <t>58.15.02</t>
  </si>
  <si>
    <t>58.15.03</t>
  </si>
  <si>
    <t>PROIECT " Alternative for Social Suport Inspiring Transformation" ASSIST- 785710</t>
  </si>
  <si>
    <t>plati efectuate in anii precedenti si recuperate in anul curen85,01</t>
  </si>
  <si>
    <t>Plati</t>
  </si>
  <si>
    <t>Plati efectuate in anii precedenti</t>
  </si>
  <si>
    <t xml:space="preserve">TOTAL </t>
  </si>
  <si>
    <t>57.02,01</t>
  </si>
  <si>
    <t>TRIM I</t>
  </si>
  <si>
    <t>TRIM II</t>
  </si>
  <si>
    <t>TRIM III</t>
  </si>
  <si>
    <t>TRIM IV</t>
  </si>
  <si>
    <t>PROIECT "Extindere, modernizare si dotare spatii urgenta  Spitalul de Pediatrie Pitesti"</t>
  </si>
  <si>
    <t xml:space="preserve">FONDUL EUROPEAN DE DEZVOLTARE REGIONALA </t>
  </si>
  <si>
    <t xml:space="preserve">FONDUL SOCIAL EUROPEAN </t>
  </si>
  <si>
    <t>58.02</t>
  </si>
  <si>
    <r>
      <t xml:space="preserve">Cote defalcate din impozitul pe venit </t>
    </r>
    <r>
      <rPr>
        <b/>
        <sz val="11"/>
        <rFont val="Times New Roman"/>
        <family val="1"/>
        <charset val="238"/>
      </rPr>
      <t xml:space="preserve">(15% </t>
    </r>
    <r>
      <rPr>
        <sz val="11"/>
        <rFont val="Times New Roman"/>
        <family val="1"/>
        <charset val="238"/>
      </rPr>
      <t>)</t>
    </r>
  </si>
  <si>
    <r>
      <t>Sume din impozit pe venit  pentru echil.</t>
    </r>
    <r>
      <rPr>
        <b/>
        <sz val="11"/>
        <rFont val="Times New Roman"/>
        <family val="1"/>
        <charset val="238"/>
      </rPr>
      <t xml:space="preserve"> (17.5% )</t>
    </r>
  </si>
  <si>
    <t>42,02,73</t>
  </si>
  <si>
    <t>Cap. 51.02 - AUTORITATI EXECUTIVE</t>
  </si>
  <si>
    <t>Cofinantare Proiecte cu finantare FEN</t>
  </si>
  <si>
    <t>"Restaurarea Galeriei de Arta Rudolf Schweitzer-Cumpana - Consolidarea, protejarea si valorificarea patrimoniului cultural"</t>
  </si>
  <si>
    <t>"Restaurarea Muzeului Judetean Arges- consolidarea, protejarea si valorificarea patrimoniului cultural"</t>
  </si>
  <si>
    <t xml:space="preserve">"Conservarea si Consolidarea Cetatii Poienari Arges" </t>
  </si>
  <si>
    <t>"Cresterea eficientei energetice a Spitalului de Recuperare Bradet"</t>
  </si>
  <si>
    <t>"Cresterea eficientei energetice a Palatului Administrativ situat in Pitesti- Piata Vasile Milea nr. 1"</t>
  </si>
  <si>
    <t xml:space="preserve">"Certificarea activitatilor CJ Arges si dezvoltarea abilitatilor personalului coordonat cu prevederile SCAP" </t>
  </si>
  <si>
    <t xml:space="preserve">"Asigurarea accesului la servicii de sanatate in regim ambulatoriu pentru populatia judetelor Arges, Teleorman si Calarasi" </t>
  </si>
  <si>
    <t xml:space="preserve">"Imbunatatirea accesului populatiei din judetele Arges, Teleorman si Calarasi la servicii medicale de urgenta" </t>
  </si>
  <si>
    <t xml:space="preserve"> "Extindere, modernizare si dotare spatii urgenta Spitalul de Pediatrie Pitesti"</t>
  </si>
  <si>
    <t>Cofinantare Proiecte din Programul National de Dezvoltare Locala I</t>
  </si>
  <si>
    <t>Consolidare si reabilitare Spital Judetean de Urgenta Pitesti</t>
  </si>
  <si>
    <t>Cheltuieli de capital</t>
  </si>
  <si>
    <t>Servicii elaborare Plan de Amenajare a Teritoriului Judetean Arges</t>
  </si>
  <si>
    <t>Software specializat CAD</t>
  </si>
  <si>
    <t>Software specializat GIS</t>
  </si>
  <si>
    <t>Copiator</t>
  </si>
  <si>
    <t>Calculator PC (10 buc)</t>
  </si>
  <si>
    <t>Scaner (2 buc)</t>
  </si>
  <si>
    <t>Licente Antivirus bitDefender statie CAL</t>
  </si>
  <si>
    <t>Aparat foto DSRL+obiectiv</t>
  </si>
  <si>
    <t>Microbuz transport persoane capacitate min 18+1; max 22+1</t>
  </si>
  <si>
    <t>Autoutilitara cu cabina dubla - 7 locuri si bena basculabila</t>
  </si>
  <si>
    <t>Servicii de expertiza tehnica structurala, studii de teren SF, documentatii avize solicitate prin Certificat de Urbanism pentru obiectivul de investitii "Cale de acces mecanizata Cetatea Poienari"</t>
  </si>
  <si>
    <t>Amenajare cale de acces mecanizata Cetatea Poienari - Plan Urbanistic Zonal</t>
  </si>
  <si>
    <t>Achizitionare si montare grup de pompare automatizat  cu turatie variabila complet automatizat in statia de repompare Trivale</t>
  </si>
  <si>
    <t>Autospeciala misiuni pirotehnice</t>
  </si>
  <si>
    <t>Cap. 65.02 - INVATAMANT</t>
  </si>
  <si>
    <t>Microbuz de persoane cu 22+1+1 locuri</t>
  </si>
  <si>
    <t>Cap. 66.02 - SANATATE</t>
  </si>
  <si>
    <t>3.1</t>
  </si>
  <si>
    <t>SPITALUL JUDETEAN DE URGENTA PITESTI</t>
  </si>
  <si>
    <t>Studiu de fezabilitate Centru de Radioterapie</t>
  </si>
  <si>
    <t>Servicii de proiectare tehnica pentru construire Corp cladire nou la SJUP</t>
  </si>
  <si>
    <t>Sistem de computer tomografie cu 64 slice-uri</t>
  </si>
  <si>
    <t>Sistem de rotablatie</t>
  </si>
  <si>
    <t>Monitor functii vitale</t>
  </si>
  <si>
    <t>SPITALUL DE PEDIATRIE PITESTI</t>
  </si>
  <si>
    <t>Lucrari de proiectare si executie in vederea montarii unui rezervor stocare apa de 150 mc</t>
  </si>
  <si>
    <t>SPITALUL PNF VALEA IASULUI</t>
  </si>
  <si>
    <t>Reparatie capitala si modernizare statie de epurare</t>
  </si>
  <si>
    <t>SPITALUL DE PSIHIATRIE VEDEA</t>
  </si>
  <si>
    <t>Vitrina frigorifica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</si>
  <si>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</si>
  <si>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SPITALUL CALINESTI</t>
  </si>
  <si>
    <t>Sistem de detectie si avertizare la incendiu</t>
  </si>
  <si>
    <t>Sistem antiefractie</t>
  </si>
  <si>
    <t>Sistem supraveghere video</t>
  </si>
  <si>
    <t>Sistem retea informatica cu implementare intranet</t>
  </si>
  <si>
    <t>Sistem de avertizare/alarmare grupuri sanitare</t>
  </si>
  <si>
    <t>Defibrilator</t>
  </si>
  <si>
    <t>Geanta de urgente  complet echipata</t>
  </si>
  <si>
    <t>Monitor functii vitale pacient</t>
  </si>
  <si>
    <t>Cap. 67.02 - CULTURA, RECREERE SI RELIGIE</t>
  </si>
  <si>
    <t>5.1</t>
  </si>
  <si>
    <t>BIBLIOTECA JUDETEANA " DINICU GOLESCU" PITESTI</t>
  </si>
  <si>
    <t>Proiect "Centrul Europe Direct Arges"</t>
  </si>
  <si>
    <t>5.2</t>
  </si>
  <si>
    <t>1</t>
  </si>
  <si>
    <t>5.3</t>
  </si>
  <si>
    <t>Remontare gospodarie pomi-viticola Palos-Brasov</t>
  </si>
  <si>
    <t>Remontare gospodarie pomi-viticola Palos-Brasov Casa Gh. Cernea</t>
  </si>
  <si>
    <t>5.4</t>
  </si>
  <si>
    <t>CENTRUL CULTURAL JUDETEAN ARGES</t>
  </si>
  <si>
    <t>Reabilitare si modernizare cladire Centrul Cultural Judetean Arges in Municipiul Pitesti,B-dul Nicolae Balcescu,nr.141,judetul Arges</t>
  </si>
  <si>
    <t>Cap. 68.02 - ASIGURARI SI ASISTENTA SOCIALA</t>
  </si>
  <si>
    <t>6.1</t>
  </si>
  <si>
    <t>DIRECTIA GENERALA DE ASISTENTA SOCIALA SI PROTECTIA COPILULUI ARGES</t>
  </si>
  <si>
    <t>Taxa ISC Arhiva</t>
  </si>
  <si>
    <t>6.2</t>
  </si>
  <si>
    <t>Proiectare si executie imprejmuire si porti acces la CIA Bascovele</t>
  </si>
  <si>
    <t>6.3</t>
  </si>
  <si>
    <t>Achizitie si montare pompa submersibila 5,5 kw</t>
  </si>
  <si>
    <t>Achizitionare masina de spalat rufe capacitate 15 kg/ciclu spalare (3 buc)</t>
  </si>
  <si>
    <t>Achizitionare si montare centrala termica pe combustibil solid</t>
  </si>
  <si>
    <t>Achizitionare si montare boiler termoelectric capacitate 500 l</t>
  </si>
  <si>
    <t>6.4</t>
  </si>
  <si>
    <t>Achizitionarea si montarea 2 centrale termice 25 kW pe combustibil solid</t>
  </si>
  <si>
    <t>6.5</t>
  </si>
  <si>
    <t>COMPLEXUL DE LOCUINTE PROTEJATE BUZOESTI</t>
  </si>
  <si>
    <t>Racordare retea de canalizare</t>
  </si>
  <si>
    <t>CAMINUL DE PERSOANE VARSTNICE MOZACENI</t>
  </si>
  <si>
    <t>Masina de spalat industriala</t>
  </si>
  <si>
    <t>6.6</t>
  </si>
  <si>
    <t>UNITATEA DE ASISTENTA MEDICO SOCIALA CALINESTI</t>
  </si>
  <si>
    <t>Masina de spalat profesionala</t>
  </si>
  <si>
    <t>6.7</t>
  </si>
  <si>
    <t>UNITATEA DE ASISTENTA MEDICO SOCIALA DEDULESTI</t>
  </si>
  <si>
    <t>Reabilitare, refunctionalizare si modernizare (extindere) a UAMS Dedulesti (Constructie Corp B Spital)</t>
  </si>
  <si>
    <t>Proiectare si executie corp de legatura intre Corpul A si Corpul B</t>
  </si>
  <si>
    <t>Canapea consultatie hidraulica cu suport</t>
  </si>
  <si>
    <t>Carucior pentru instrumentar</t>
  </si>
  <si>
    <t>Cuptor electric</t>
  </si>
  <si>
    <t>Frigider dublu- dulap frigorific</t>
  </si>
  <si>
    <t>Generator 50 kva + automatizare</t>
  </si>
  <si>
    <t>Hota</t>
  </si>
  <si>
    <t>Masina de gatit pe gaz 6 focuri</t>
  </si>
  <si>
    <t>Masina de spalat vase</t>
  </si>
  <si>
    <t>Masina de gatit electrica 6 plite</t>
  </si>
  <si>
    <t>Pat spital cadru inox, actionat mecanic, laterale culisante</t>
  </si>
  <si>
    <t>Achizitie si montaj bazin GPL 3000 litri</t>
  </si>
  <si>
    <t>6.8</t>
  </si>
  <si>
    <t>UNITATEA DE ASISTENTA MEDICO SOCIALA RUCAR</t>
  </si>
  <si>
    <t>Sistem de detectare si alarmare la incendiu</t>
  </si>
  <si>
    <t>Cap. 70.02 LOCUINTE, SERVICII SI DEZVOLTARE ECONOMICA</t>
  </si>
  <si>
    <t>7.1</t>
  </si>
  <si>
    <t xml:space="preserve">UTV </t>
  </si>
  <si>
    <t xml:space="preserve">Targa UT 2000 </t>
  </si>
  <si>
    <t xml:space="preserve">Defibrilator </t>
  </si>
  <si>
    <t>Baza modulara zona Voina</t>
  </si>
  <si>
    <t>Cap. 84.02 TRANSPORTURI</t>
  </si>
  <si>
    <t xml:space="preserve">Proiect "Modernizarea drumului judetean  DJ504 lim jud. Teloeorman-Popesti-Izvoru-Recea-Cornatel-Vulpesti (DN 65A) km 110+700-136+695, L=25,995 km, pe raza com.Popesti, Izvoru, Recea, Buzoesti, jud. Arges" </t>
  </si>
  <si>
    <t>Cofinantare Proiecte din Programul National de Dezvoltare Locala I si II</t>
  </si>
  <si>
    <t>Modernizare DJ 725 Stoenesti-Dragoslavele, km 3+313-6+626, L=3,313 km, in comunele Stoenesti si Dragoslavele</t>
  </si>
  <si>
    <t>Pod pe DJ 731 B Samara - Babana - Cocu, km 3+964 peste paraul Vartej, L=24 m, in comuna Babana</t>
  </si>
  <si>
    <t>Modernizare DJ 703 B Moraresti - Uda, km 17+753 - 20+253, L = 2,5 km, la Uda</t>
  </si>
  <si>
    <t xml:space="preserve"> Modernizare DJ 702 A Ciupa - Ratesti, km 33+030 - 35+696, la Ratesti</t>
  </si>
  <si>
    <t>Pod pe DJ 741 Pitesti - Valea Mare - Fagetu - Mioveni, km 2+060, peste paraul Valea Mare (Ploscaru), la Stefanesti</t>
  </si>
  <si>
    <t>Modernizare DJ 703 B Costesti (DN 65 A) - Serbanesti (DJ 659), km 60+325 - 68+783, L = 8,458 km, la Costesti si Rociu</t>
  </si>
  <si>
    <t>Pod pe DJ 703 H Curtea de Arges (DN 7 C) - Valea Danului - Cepari, km 0+597, L = 152 m, in comuna Valea Danului</t>
  </si>
  <si>
    <t xml:space="preserve"> Pod pe DJ 738 Jugur - Draghici - Mihaesti peste riul Tirgului, km 21+900, in com. Mihaesti</t>
  </si>
  <si>
    <t>Modernizare DJ 703 B Serbanesti (DJ 659) - Silistea, km 70+410-77+826, L = 7,416 km, in comunele Rociu si Cateasca</t>
  </si>
  <si>
    <t>Cheltuieli de capital - dotari independente</t>
  </si>
  <si>
    <t>Repartizator mixturi asfaltice</t>
  </si>
  <si>
    <t>Incarcator frontal (2,7-3,2 mc)</t>
  </si>
  <si>
    <t>Autogreder &gt;18 t</t>
  </si>
  <si>
    <t>Lama zapada (2 buc)</t>
  </si>
  <si>
    <t>Masina de taiat asfalt (2 buc)</t>
  </si>
  <si>
    <t>Cheltuieli de capital - Drumuri Judetene</t>
  </si>
  <si>
    <t>Pod peste raul Neajlov, in satul Silistea, comuna Cateasca, judetul Arges</t>
  </si>
  <si>
    <t>I.B.U. DJ 742 Leordeni (DJ 703 B)-Glimbocata (DN 7), km 0+000-11+050, in com.Leordeni</t>
  </si>
  <si>
    <t>I.B.U. pe DJ 679 C Caldararu (DN 65A)-Izvoru-Mozaceni (DJ 659), km 22+215-23+515, L=1 km, la Mozaceni</t>
  </si>
  <si>
    <t>Modernizare DJ 659 A Bradu-Costesti, km 5+060-9+744, L=4,684 km, la Costesti</t>
  </si>
  <si>
    <t>Modernizare pe DJ 679 D Negrasi (DJ 659) - Mozacu, km 34+500 - 39+500, L = 5,0 km, comuna Negrasi</t>
  </si>
  <si>
    <t xml:space="preserve">Modernizare DJ 704H Merisani-Baiculesti-Curtea de Arges, km 13+035-17+600, L=4,565 km </t>
  </si>
  <si>
    <t>Pod pe DC 64 Rancaciov - Priboieni, km 1+400, peste Valea Glodu, la Calinesti</t>
  </si>
  <si>
    <t>Documentatie de avizare a lucrarilor de interventie pentru obiectivul "Modernizare pe DJ 703 B lim. jud. Olt - Marghia - Padureti, km 41+275 - 41+775, L=0,500 km, com. Lunca Corbului, jud. Arges"</t>
  </si>
  <si>
    <t>Documentatie de avizare a lucrarilor de interventie pentru obiectivul "Modernizare pe DJ 742 Leordeni - Baloteasca - Cotu Malului - Glambocata, km 5+100 - 6+100, L=1,000 km, com. Leordeni, jud. Arges"</t>
  </si>
  <si>
    <t>Documentatie de avizare a lucrarilor de interventie pentru obiectivul "Modernizare pe DJ 508 Teiu - Buta, km 12+400-17+217, L= 4,817 km, comunele Teiu si Negrasi, jud. Arges"</t>
  </si>
  <si>
    <t>Documentatie de avizare a lucrarilor de interventie pentru obiectivul "Modernizare pe DJ 703 Moraresti - Cuca - Ciomagesti - lim. jud. Olt, km 13+400 - 16+600, L= 3,200 km, comuna Cuca, jud. Arges"</t>
  </si>
  <si>
    <t>Studii, Expertiza tehnica, Documentatii avize, DALI, PT, Verificare tehnica, Asistenta tehnica pentru obiectivul "Modernizare DJ 731 D, km 7+450 - 19+674, L=12,224 km, judetul Arges"</t>
  </si>
  <si>
    <t>Servicii expertiza si DALI + PT+CS+DE+Asistenta tehnica Modernizare DJ 703B Padureti (DJ 679) - Costesti (DN 65 A), km 48+975-59+287, L=10,312 km, la Lunca Corbului si Costesti</t>
  </si>
  <si>
    <t>Cap. 87.02 ALTE ACTIUNI ECONOMICE</t>
  </si>
  <si>
    <t>Transferuri din bugetul local catre asociatii de dezvoltare inercomunitara</t>
  </si>
  <si>
    <t>Construire Partie de Schi Vidraru A1 Ghitu-Molivisu</t>
  </si>
  <si>
    <t>ANEXA 1</t>
  </si>
  <si>
    <t xml:space="preserve">Contributia de intretinere a persoanelor asistate </t>
  </si>
  <si>
    <t>PROIECT "Complex de 3 Locuinte protejate si centru  de zi, Comuna Babana, sat Lupueni, Judetul Arges"</t>
  </si>
  <si>
    <t>PROIECT "Complex de 4 Locuinte protejate si centru  de zi, Comuna Tigveni, sat Barsestii de Jos, Judetul Arges"</t>
  </si>
  <si>
    <t>PROIECT "Complex de 4 Locuinte protejate si centru  de zi, Comuna Tigveni, sat Balilesti, Judetul Arges"</t>
  </si>
  <si>
    <t>PROIECT "Complex de 4 Locuinte protejate si centru  de zi, Comuna Ciofrangeni, sat Ciofrangeni, Judetul Arges"</t>
  </si>
  <si>
    <t xml:space="preserve">X. Cheltuieli de capital </t>
  </si>
  <si>
    <t xml:space="preserve"> Fondul European de Dezvoltare Regională (FEDR)  </t>
  </si>
  <si>
    <t>Fondul Social European (FSE)</t>
  </si>
  <si>
    <t>Alte programe comunitare finantate in perioada 2014-2020(APC)</t>
  </si>
  <si>
    <t>Cap. 61.02 - ORDINE PUBLICA SI SIGURANTA NATIONALA</t>
  </si>
  <si>
    <t>2.1</t>
  </si>
  <si>
    <t>INSPECTORATUL PENTRU SITUATII DE URGENTA ARGES</t>
  </si>
  <si>
    <t>4.1</t>
  </si>
  <si>
    <t>Contruire corp nou de cladire la SJUP</t>
  </si>
  <si>
    <t xml:space="preserve">Expertiza tehnica structura cladire sectia Oncologie </t>
  </si>
  <si>
    <t>Expertiza tehnica structura cladire sectia Boli Infectioase</t>
  </si>
  <si>
    <t>Autoclav</t>
  </si>
  <si>
    <t>Expertiza tehnica a constructiei aferente sediului Serviciului Judetean de Medicina Legala Arges</t>
  </si>
  <si>
    <t>Documentatie tehnico-economica (DALI,PAC,PT, DDE,CS) privind reabilitarea constructiei aferenta sediului Serviciului Judetean de Medicina Legala Arges</t>
  </si>
  <si>
    <t>4.2</t>
  </si>
  <si>
    <t>Analizor de gaze sanguine</t>
  </si>
  <si>
    <t>Analizor automat de hematologie</t>
  </si>
  <si>
    <t>Distilator 4l/h</t>
  </si>
  <si>
    <t>Centrifuga de masa cu 12 locuri cu rotor unghiular</t>
  </si>
  <si>
    <t>Perdea de aer cu rezistenta electrica</t>
  </si>
  <si>
    <t>Aparat electroterapie</t>
  </si>
  <si>
    <t>Lucrari de proiectare a sistemelor si instalatiilor de semnalizare, alarmare si alertare in caz de incendiu</t>
  </si>
  <si>
    <t>Documentatie de securitate la incendiu</t>
  </si>
  <si>
    <t>4.3</t>
  </si>
  <si>
    <t>SPITALUL ORASENESC "REGELE CAROL I" COSTESTI</t>
  </si>
  <si>
    <t>Trusa endoscopie digestiva High Definition</t>
  </si>
  <si>
    <t>Trusa de baza pentru endourologie joasa</t>
  </si>
  <si>
    <t>Instalatie de sterilizare 320 litri</t>
  </si>
  <si>
    <t>Sonda convexa C362</t>
  </si>
  <si>
    <t>Instalatie de sterilizare cu plasma 64 l</t>
  </si>
  <si>
    <t>Ecograf 4D endocrinologie</t>
  </si>
  <si>
    <t>Ecograf 4D Medicina interna - modul cardio</t>
  </si>
  <si>
    <t>Analizor automat biochimie</t>
  </si>
  <si>
    <t>4.4</t>
  </si>
  <si>
    <t>4.5</t>
  </si>
  <si>
    <t>SPITALUL PNF LEORDENI</t>
  </si>
  <si>
    <t>Ecocardiograf cu sonda transtoracica si abdominala</t>
  </si>
  <si>
    <t>4.6</t>
  </si>
  <si>
    <t>SPITALUL DE BOLI CRONICE SI GERIATRIE STEFANESTI</t>
  </si>
  <si>
    <r>
      <t>S</t>
    </r>
    <r>
      <rPr>
        <sz val="11"/>
        <rFont val="Times New Roman"/>
        <family val="1"/>
      </rPr>
      <t>ubzidire cladire Laborator - Farmacie</t>
    </r>
  </si>
  <si>
    <t>Aparat RONTGEN digital cu developeza uscata</t>
  </si>
  <si>
    <t>4.7</t>
  </si>
  <si>
    <t>Amenajare statii decantare la Pavilionul I si Pavilionul II</t>
  </si>
  <si>
    <t>Plan de interventie in caz de incendiu</t>
  </si>
  <si>
    <t xml:space="preserve">"Castrul Jidova simbol al Romei la granita dintre imperiu si lumea barbara" </t>
  </si>
  <si>
    <t xml:space="preserve">Dezumidificator </t>
  </si>
  <si>
    <t>Construire a 2 casute de tip familial si a unui centru de zi in Comuna Rucar, studiu fezabilitate, studii de teren (studiu geotehnic, studiu topografic), studiu privind utilizarea resurselor regenerabile pentru cladiri si incadrarea necesarului de energie in nivelurile actuale , documentatii pentru obtinerea CU, documentatii pentru obtinerea avizelor mentionate in CU</t>
  </si>
  <si>
    <t>Construire a 2 casute de tip familial si a unui centru de zi in Orasul Costesti, studiu fezabilitate, studii de teren (studiu geotehnic, studiu topografic), studiu privind utilizarea resurselor regenerabile pentru cladiri si incadrarea necesarului de energie in nivelurile actuale , documentatii pentru obtinerea CU, documentatii pentru obtinerea avizelor mentionate in CU</t>
  </si>
  <si>
    <t>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 documentatii pentru obtinerea CU, documentatii pentru obtinerea avizelor mentionate in CU</t>
  </si>
  <si>
    <t>"Alternative for Social Suport Inspiring Transformation" ASSIST</t>
  </si>
  <si>
    <t xml:space="preserve">"TEAM-UP Progres in calitatea ingrijirii alternative a copiilor" </t>
  </si>
  <si>
    <t>"Complex de 3 Locuinte protejate si Centru de zi, comuna Babana, sat Lupeni"</t>
  </si>
  <si>
    <t>"Complex de 4 Locuinte protejate si Centru de zi, comuna Tigveni, sat Barsestii de Jos"</t>
  </si>
  <si>
    <t xml:space="preserve">"Complex de 4 Locuinte protejate si Centru de zi, comuna Tigveni, sat Balilesti" </t>
  </si>
  <si>
    <t>6.10</t>
  </si>
  <si>
    <t>Cap. 80.02 ACTIUNI GENERALE ECONOMICE</t>
  </si>
  <si>
    <t>8.1</t>
  </si>
  <si>
    <t>Program de Dezvoltare Regionala</t>
  </si>
  <si>
    <t>Cheltuieli de capital pentru elaborarea studiilor de prefezabilitate, a studiilor de fezabilitate, a proiectelor si a altor studii aferente obiectivelor de investitii</t>
  </si>
  <si>
    <t>TOTAL GENERAL, din care:</t>
  </si>
  <si>
    <t>4.8,</t>
  </si>
  <si>
    <t>PROIECT "Modernizarea drumului judetean DJ 503 lim. Jud. Dambovita- Slobozia - Rociu - Oarja - Catanele  (DJ702 G - KM 3+824), KM 98+000 -140+034 (42,034 KM) , Jud Arges</t>
  </si>
  <si>
    <t>.2.3</t>
  </si>
  <si>
    <t xml:space="preserve">Finantare nationala </t>
  </si>
  <si>
    <t xml:space="preserve"> "Extindere si dotare spatii urgenta  Spitalul  Judetean de Urgenta Pitesti"</t>
  </si>
  <si>
    <t>PROIECT " VENUS - Impreuna pentru o viata in siguranta " ASSIST- 128085</t>
  </si>
  <si>
    <t xml:space="preserve">COLECTARE  TRATARE   SI DISTRUGERE DESEURI </t>
  </si>
  <si>
    <t>Constructie Laborator de Radioterapie SJUP</t>
  </si>
  <si>
    <t>Proiect tehnic si detalii de executie Laborator de radioterapie Spitalul Judetean de Urgenta Pitesti</t>
  </si>
  <si>
    <t>f</t>
  </si>
  <si>
    <t>h</t>
  </si>
  <si>
    <t>i</t>
  </si>
  <si>
    <t xml:space="preserve">RK instalatii de incalzire centrala, apa calda si caldura la Sectiile Boli infectioase Copii si Adulti </t>
  </si>
  <si>
    <t xml:space="preserve">Elaborare Documentatie tehnico-economica (SF,PAC,PT)  aferente instalatiei de rezerva de apa la sectiile exterioare Spital Judetean nr.2 Sectiile Oncologie si Boli Infectioase </t>
  </si>
  <si>
    <t>VENITURI PROPRII  ( 1+2+3+4+5+6)</t>
  </si>
  <si>
    <t>.3.3</t>
  </si>
  <si>
    <t>.3.4.</t>
  </si>
  <si>
    <t>.3.5</t>
  </si>
  <si>
    <t>BUGET DE VENITURI SI CHELTUIELI PE ANUL 2019</t>
  </si>
  <si>
    <t>PROIECT "Extindere si dotare spatii urgenta si amenajari incinta  Spitalul  Judetean de Urgenta Pitesti"</t>
  </si>
  <si>
    <t>la Hotararea C.J. nr.</t>
  </si>
</sst>
</file>

<file path=xl/styles.xml><?xml version="1.0" encoding="utf-8"?>
<styleSheet xmlns="http://schemas.openxmlformats.org/spreadsheetml/2006/main">
  <fonts count="39">
    <font>
      <sz val="10"/>
      <name val="Arial"/>
    </font>
    <font>
      <b/>
      <sz val="10"/>
      <name val="Arial"/>
      <family val="2"/>
      <charset val="238"/>
    </font>
    <font>
      <sz val="10"/>
      <name val="Arial"/>
      <family val="2"/>
      <charset val="238"/>
    </font>
    <font>
      <sz val="8"/>
      <name val="Arial"/>
      <family val="2"/>
      <charset val="238"/>
    </font>
    <font>
      <sz val="11"/>
      <color theme="1"/>
      <name val="Times New Roman"/>
      <family val="1"/>
      <charset val="238"/>
    </font>
    <font>
      <b/>
      <sz val="9"/>
      <color indexed="81"/>
      <name val="Tahoma"/>
      <family val="2"/>
      <charset val="238"/>
    </font>
    <font>
      <sz val="9"/>
      <color indexed="81"/>
      <name val="Tahoma"/>
      <family val="2"/>
      <charset val="238"/>
    </font>
    <font>
      <b/>
      <sz val="10"/>
      <name val="Times New Roman"/>
      <family val="1"/>
      <charset val="238"/>
    </font>
    <font>
      <b/>
      <sz val="8"/>
      <name val="Times New Roman"/>
      <family val="1"/>
      <charset val="238"/>
    </font>
    <font>
      <b/>
      <sz val="12"/>
      <name val="Times New Roman"/>
      <family val="1"/>
      <charset val="238"/>
    </font>
    <font>
      <b/>
      <sz val="14"/>
      <name val="Times New Roman"/>
      <family val="1"/>
      <charset val="238"/>
    </font>
    <font>
      <sz val="10"/>
      <name val="Times New Roman"/>
      <family val="1"/>
      <charset val="238"/>
    </font>
    <font>
      <b/>
      <u/>
      <sz val="14"/>
      <name val="Times New Roman"/>
      <family val="1"/>
      <charset val="238"/>
    </font>
    <font>
      <sz val="8"/>
      <name val="Times New Roman"/>
      <family val="1"/>
      <charset val="238"/>
    </font>
    <font>
      <b/>
      <u/>
      <sz val="10"/>
      <name val="Times New Roman"/>
      <family val="1"/>
      <charset val="238"/>
    </font>
    <font>
      <b/>
      <u/>
      <sz val="8"/>
      <name val="Times New Roman"/>
      <family val="1"/>
      <charset val="238"/>
    </font>
    <font>
      <i/>
      <sz val="8"/>
      <name val="Times New Roman"/>
      <family val="1"/>
      <charset val="238"/>
    </font>
    <font>
      <u/>
      <sz val="8"/>
      <name val="Times New Roman"/>
      <family val="1"/>
      <charset val="238"/>
    </font>
    <font>
      <sz val="10"/>
      <color rgb="FFFF0000"/>
      <name val="Times New Roman"/>
      <family val="1"/>
      <charset val="238"/>
    </font>
    <font>
      <b/>
      <sz val="11"/>
      <name val="Times New Roman"/>
      <family val="1"/>
      <charset val="238"/>
    </font>
    <font>
      <sz val="11"/>
      <name val="Times New Roman"/>
      <family val="1"/>
      <charset val="238"/>
    </font>
    <font>
      <b/>
      <u/>
      <sz val="11"/>
      <name val="Times New Roman"/>
      <family val="1"/>
      <charset val="238"/>
    </font>
    <font>
      <i/>
      <sz val="11"/>
      <name val="Times New Roman"/>
      <family val="1"/>
      <charset val="238"/>
    </font>
    <font>
      <sz val="10"/>
      <color theme="1"/>
      <name val="Times New Roman"/>
      <family val="1"/>
      <charset val="238"/>
    </font>
    <font>
      <b/>
      <sz val="10"/>
      <color theme="1"/>
      <name val="Times New Roman"/>
      <family val="1"/>
      <charset val="238"/>
    </font>
    <font>
      <b/>
      <sz val="10"/>
      <color rgb="FFFF0000"/>
      <name val="Times New Roman"/>
      <family val="1"/>
      <charset val="238"/>
    </font>
    <font>
      <sz val="10"/>
      <color rgb="FFC00000"/>
      <name val="Times New Roman"/>
      <family val="1"/>
      <charset val="238"/>
    </font>
    <font>
      <b/>
      <sz val="11"/>
      <color theme="1"/>
      <name val="Times New Roman"/>
      <family val="1"/>
    </font>
    <font>
      <sz val="11"/>
      <color theme="1"/>
      <name val="Times New Roman"/>
      <family val="1"/>
    </font>
    <font>
      <sz val="11"/>
      <name val="Times New Roman"/>
      <family val="1"/>
    </font>
    <font>
      <b/>
      <sz val="11"/>
      <name val="Times New Roman"/>
      <family val="1"/>
    </font>
    <font>
      <sz val="10"/>
      <name val="Arial"/>
      <family val="2"/>
    </font>
    <font>
      <sz val="11"/>
      <color theme="1"/>
      <name val="Calibri"/>
      <family val="2"/>
      <scheme val="minor"/>
    </font>
    <font>
      <b/>
      <sz val="12"/>
      <color theme="1"/>
      <name val="Times New Roman"/>
      <family val="1"/>
    </font>
    <font>
      <b/>
      <sz val="8"/>
      <name val="Arial"/>
      <family val="2"/>
      <charset val="238"/>
    </font>
    <font>
      <b/>
      <sz val="9"/>
      <name val="Arial"/>
      <family val="2"/>
      <charset val="238"/>
    </font>
    <font>
      <b/>
      <sz val="10"/>
      <name val="Times New Roman"/>
      <family val="1"/>
    </font>
    <font>
      <sz val="11"/>
      <color rgb="FF000000"/>
      <name val="Times New Roman"/>
      <family val="1"/>
    </font>
    <font>
      <b/>
      <sz val="10"/>
      <color theme="1"/>
      <name val="Times New Roman"/>
      <family val="1"/>
    </font>
  </fonts>
  <fills count="2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99CCFF"/>
        <bgColor indexed="64"/>
      </patternFill>
    </fill>
    <fill>
      <patternFill patternType="solid">
        <fgColor rgb="FFFFFF00"/>
        <bgColor indexed="64"/>
      </patternFill>
    </fill>
    <fill>
      <patternFill patternType="solid">
        <fgColor indexed="9"/>
        <bgColor indexed="64"/>
      </patternFill>
    </fill>
    <fill>
      <patternFill patternType="solid">
        <fgColor indexed="42"/>
        <bgColor indexed="64"/>
      </patternFill>
    </fill>
    <fill>
      <patternFill patternType="solid">
        <fgColor rgb="FF00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B050"/>
        <bgColor indexed="64"/>
      </patternFill>
    </fill>
    <fill>
      <patternFill patternType="solid">
        <fgColor theme="9" tint="0.79998168889431442"/>
        <bgColor indexed="64"/>
      </patternFill>
    </fill>
    <fill>
      <patternFill patternType="solid">
        <fgColor rgb="FFFFFFFF"/>
        <bgColor indexed="64"/>
      </patternFill>
    </fill>
    <fill>
      <patternFill patternType="solid">
        <fgColor theme="2" tint="-0.249977111117893"/>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8"/>
      </right>
      <top style="hair">
        <color indexed="8"/>
      </top>
      <bottom style="hair">
        <color indexed="8"/>
      </bottom>
      <diagonal/>
    </border>
    <border>
      <left/>
      <right/>
      <top style="thin">
        <color indexed="64"/>
      </top>
      <bottom style="thin">
        <color indexed="64"/>
      </bottom>
      <diagonal/>
    </border>
    <border>
      <left style="hair">
        <color indexed="8"/>
      </left>
      <right/>
      <top style="hair">
        <color indexed="8"/>
      </top>
      <bottom style="hair">
        <color indexed="8"/>
      </bottom>
      <diagonal/>
    </border>
  </borders>
  <cellStyleXfs count="4">
    <xf numFmtId="0" fontId="0" fillId="0" borderId="0"/>
    <xf numFmtId="0" fontId="2" fillId="0" borderId="0"/>
    <xf numFmtId="0" fontId="31" fillId="0" borderId="0"/>
    <xf numFmtId="0" fontId="32" fillId="0" borderId="0"/>
  </cellStyleXfs>
  <cellXfs count="281">
    <xf numFmtId="0" fontId="0" fillId="0" borderId="0" xfId="0"/>
    <xf numFmtId="0" fontId="1" fillId="0" borderId="0" xfId="0" applyFont="1" applyFill="1"/>
    <xf numFmtId="0" fontId="2" fillId="0" borderId="0" xfId="0" applyFont="1" applyFill="1"/>
    <xf numFmtId="0" fontId="2" fillId="2" borderId="0" xfId="0" applyFont="1" applyFill="1"/>
    <xf numFmtId="0" fontId="4" fillId="0" borderId="2" xfId="0" applyFont="1" applyBorder="1" applyAlignment="1">
      <alignment horizontal="left" wrapText="1"/>
    </xf>
    <xf numFmtId="0" fontId="3" fillId="0" borderId="0" xfId="0" applyFont="1" applyFill="1"/>
    <xf numFmtId="2" fontId="2" fillId="2" borderId="0" xfId="0" applyNumberFormat="1" applyFont="1" applyFill="1"/>
    <xf numFmtId="0" fontId="7" fillId="0" borderId="0" xfId="0" applyFont="1" applyFill="1"/>
    <xf numFmtId="0" fontId="8" fillId="0" borderId="0" xfId="0" applyFont="1" applyFill="1"/>
    <xf numFmtId="0" fontId="10" fillId="0" borderId="0" xfId="0" applyFont="1" applyFill="1" applyBorder="1" applyAlignment="1">
      <alignment horizontal="center"/>
    </xf>
    <xf numFmtId="0" fontId="11" fillId="0" borderId="0" xfId="0" applyFont="1" applyFill="1"/>
    <xf numFmtId="0" fontId="8" fillId="0" borderId="0" xfId="0" applyFont="1" applyFill="1" applyAlignment="1">
      <alignment horizontal="right"/>
    </xf>
    <xf numFmtId="0" fontId="7" fillId="0" borderId="0" xfId="0" applyFont="1" applyFill="1" applyBorder="1"/>
    <xf numFmtId="0" fontId="11" fillId="0" borderId="0" xfId="0" applyFont="1" applyFill="1" applyBorder="1"/>
    <xf numFmtId="0" fontId="13" fillId="0" borderId="0" xfId="0" applyFont="1" applyFill="1" applyBorder="1" applyAlignment="1">
      <alignment horizontal="right"/>
    </xf>
    <xf numFmtId="0" fontId="11" fillId="0" borderId="0" xfId="0" applyFont="1" applyFill="1" applyAlignment="1">
      <alignment horizontal="right"/>
    </xf>
    <xf numFmtId="0" fontId="7" fillId="0" borderId="1" xfId="0" applyFont="1" applyFill="1" applyBorder="1" applyAlignment="1">
      <alignment horizontal="center"/>
    </xf>
    <xf numFmtId="0" fontId="8" fillId="0" borderId="1" xfId="0" applyFont="1" applyFill="1" applyBorder="1" applyAlignment="1">
      <alignment horizontal="center"/>
    </xf>
    <xf numFmtId="0" fontId="7" fillId="0" borderId="2" xfId="0" applyFont="1" applyFill="1" applyBorder="1" applyAlignment="1">
      <alignment horizontal="center"/>
    </xf>
    <xf numFmtId="0" fontId="7" fillId="0" borderId="3" xfId="0" applyFont="1" applyFill="1" applyBorder="1" applyAlignment="1">
      <alignment horizontal="center"/>
    </xf>
    <xf numFmtId="0" fontId="8" fillId="0" borderId="3" xfId="0" applyFont="1" applyFill="1" applyBorder="1" applyAlignment="1">
      <alignment horizontal="center"/>
    </xf>
    <xf numFmtId="0" fontId="13" fillId="0" borderId="4" xfId="0" applyFont="1" applyFill="1" applyBorder="1" applyAlignment="1">
      <alignment horizontal="center"/>
    </xf>
    <xf numFmtId="0" fontId="16" fillId="0" borderId="2" xfId="0" applyFont="1" applyFill="1" applyBorder="1" applyAlignment="1">
      <alignment horizontal="center" wrapText="1"/>
    </xf>
    <xf numFmtId="0" fontId="13" fillId="0" borderId="2" xfId="0" applyFont="1" applyFill="1" applyBorder="1" applyAlignment="1">
      <alignment horizontal="center" wrapText="1"/>
    </xf>
    <xf numFmtId="0" fontId="8" fillId="0" borderId="2" xfId="0" applyFont="1" applyFill="1" applyBorder="1" applyAlignment="1">
      <alignment horizontal="center"/>
    </xf>
    <xf numFmtId="0" fontId="19" fillId="7" borderId="11" xfId="0" applyFont="1" applyFill="1" applyBorder="1" applyAlignment="1">
      <alignment horizontal="left"/>
    </xf>
    <xf numFmtId="0" fontId="15" fillId="0" borderId="0" xfId="0" applyFont="1" applyFill="1" applyBorder="1"/>
    <xf numFmtId="0" fontId="20" fillId="0" borderId="0" xfId="0" applyFont="1" applyFill="1"/>
    <xf numFmtId="0" fontId="19" fillId="0" borderId="0" xfId="0" applyFont="1" applyFill="1" applyBorder="1"/>
    <xf numFmtId="0" fontId="20" fillId="0" borderId="0" xfId="0" applyFont="1" applyFill="1" applyBorder="1"/>
    <xf numFmtId="0" fontId="19" fillId="0" borderId="2" xfId="0" applyFont="1" applyFill="1" applyBorder="1" applyAlignment="1">
      <alignment horizontal="center"/>
    </xf>
    <xf numFmtId="0" fontId="19" fillId="0" borderId="2" xfId="0" applyFont="1" applyFill="1" applyBorder="1" applyAlignment="1">
      <alignment wrapText="1"/>
    </xf>
    <xf numFmtId="0" fontId="20" fillId="0" borderId="2" xfId="0" applyFont="1" applyFill="1" applyBorder="1"/>
    <xf numFmtId="0" fontId="19" fillId="3" borderId="3" xfId="0" applyFont="1" applyFill="1" applyBorder="1"/>
    <xf numFmtId="0" fontId="19" fillId="3" borderId="5" xfId="0" applyFont="1" applyFill="1" applyBorder="1"/>
    <xf numFmtId="0" fontId="19" fillId="0" borderId="5" xfId="0" applyFont="1" applyFill="1" applyBorder="1"/>
    <xf numFmtId="0" fontId="20" fillId="0" borderId="5" xfId="0" applyFont="1" applyFill="1" applyBorder="1"/>
    <xf numFmtId="0" fontId="19" fillId="0" borderId="7" xfId="0" applyFont="1" applyFill="1" applyBorder="1"/>
    <xf numFmtId="2" fontId="20" fillId="0" borderId="7" xfId="0" applyNumberFormat="1" applyFont="1" applyFill="1" applyBorder="1"/>
    <xf numFmtId="2" fontId="20" fillId="0" borderId="7" xfId="0" applyNumberFormat="1" applyFont="1" applyFill="1" applyBorder="1" applyAlignment="1">
      <alignment wrapText="1"/>
    </xf>
    <xf numFmtId="0" fontId="20" fillId="2" borderId="2" xfId="0" applyFont="1" applyFill="1" applyBorder="1"/>
    <xf numFmtId="0" fontId="19" fillId="0" borderId="2" xfId="0" applyFont="1" applyFill="1" applyBorder="1" applyAlignment="1">
      <alignment horizontal="right"/>
    </xf>
    <xf numFmtId="0" fontId="19" fillId="0" borderId="7" xfId="0" applyFont="1" applyFill="1" applyBorder="1" applyAlignment="1">
      <alignment wrapText="1"/>
    </xf>
    <xf numFmtId="0" fontId="20" fillId="0" borderId="7" xfId="0" applyFont="1" applyFill="1" applyBorder="1" applyAlignment="1">
      <alignment wrapText="1"/>
    </xf>
    <xf numFmtId="0" fontId="20" fillId="0" borderId="7" xfId="0" applyFont="1" applyFill="1" applyBorder="1"/>
    <xf numFmtId="0" fontId="19" fillId="0" borderId="2" xfId="0" applyFont="1" applyFill="1" applyBorder="1"/>
    <xf numFmtId="0" fontId="20" fillId="0" borderId="2" xfId="0" applyFont="1" applyFill="1" applyBorder="1" applyAlignment="1">
      <alignment wrapText="1"/>
    </xf>
    <xf numFmtId="0" fontId="22" fillId="0" borderId="2" xfId="0" applyFont="1" applyFill="1" applyBorder="1" applyAlignment="1">
      <alignment horizontal="left" wrapText="1"/>
    </xf>
    <xf numFmtId="0" fontId="19" fillId="0" borderId="3" xfId="0" applyFont="1" applyFill="1" applyBorder="1"/>
    <xf numFmtId="0" fontId="20" fillId="0" borderId="5" xfId="0" applyFont="1" applyFill="1" applyBorder="1" applyAlignment="1">
      <alignment wrapText="1"/>
    </xf>
    <xf numFmtId="0" fontId="19" fillId="0" borderId="4" xfId="0" applyFont="1" applyFill="1" applyBorder="1"/>
    <xf numFmtId="0" fontId="19" fillId="0" borderId="1" xfId="0" applyFont="1" applyFill="1" applyBorder="1"/>
    <xf numFmtId="0" fontId="19" fillId="3" borderId="2" xfId="0" applyFont="1" applyFill="1" applyBorder="1"/>
    <xf numFmtId="0" fontId="21" fillId="3" borderId="2" xfId="0" applyFont="1" applyFill="1" applyBorder="1"/>
    <xf numFmtId="0" fontId="19" fillId="3" borderId="7" xfId="0" applyFont="1" applyFill="1" applyBorder="1" applyAlignment="1">
      <alignment wrapText="1"/>
    </xf>
    <xf numFmtId="0" fontId="21" fillId="0" borderId="2" xfId="0" applyFont="1" applyFill="1" applyBorder="1"/>
    <xf numFmtId="0" fontId="19" fillId="3" borderId="7" xfId="0" applyFont="1" applyFill="1" applyBorder="1"/>
    <xf numFmtId="0" fontId="20" fillId="2" borderId="7" xfId="0" applyFont="1" applyFill="1" applyBorder="1"/>
    <xf numFmtId="0" fontId="20" fillId="2" borderId="2" xfId="0" applyFont="1" applyFill="1" applyBorder="1" applyAlignment="1">
      <alignment wrapText="1"/>
    </xf>
    <xf numFmtId="0" fontId="20" fillId="2" borderId="7" xfId="0" applyFont="1" applyFill="1" applyBorder="1" applyAlignment="1">
      <alignment wrapText="1"/>
    </xf>
    <xf numFmtId="0" fontId="19" fillId="10" borderId="7" xfId="0" applyFont="1" applyFill="1" applyBorder="1" applyAlignment="1">
      <alignment wrapText="1"/>
    </xf>
    <xf numFmtId="0" fontId="19" fillId="2" borderId="7" xfId="0" applyFont="1" applyFill="1" applyBorder="1" applyAlignment="1">
      <alignment wrapText="1"/>
    </xf>
    <xf numFmtId="0" fontId="20" fillId="0" borderId="8" xfId="1" applyFont="1" applyFill="1" applyBorder="1" applyAlignment="1">
      <alignment wrapText="1"/>
    </xf>
    <xf numFmtId="0" fontId="19" fillId="2" borderId="7" xfId="0" applyFont="1" applyFill="1" applyBorder="1"/>
    <xf numFmtId="16" fontId="19" fillId="0" borderId="2" xfId="0" applyNumberFormat="1" applyFont="1" applyFill="1" applyBorder="1"/>
    <xf numFmtId="16" fontId="20" fillId="0" borderId="2" xfId="0" applyNumberFormat="1" applyFont="1" applyFill="1" applyBorder="1"/>
    <xf numFmtId="0" fontId="19" fillId="0" borderId="4" xfId="0" applyFont="1" applyFill="1" applyBorder="1" applyAlignment="1">
      <alignment horizontal="left" wrapText="1"/>
    </xf>
    <xf numFmtId="2" fontId="19" fillId="0" borderId="2" xfId="0" applyNumberFormat="1" applyFont="1" applyFill="1" applyBorder="1"/>
    <xf numFmtId="0" fontId="19" fillId="3" borderId="7" xfId="0" applyFont="1" applyFill="1" applyBorder="1" applyAlignment="1">
      <alignment horizontal="left" wrapText="1"/>
    </xf>
    <xf numFmtId="0" fontId="19" fillId="2" borderId="9" xfId="0" applyFont="1" applyFill="1" applyBorder="1" applyAlignment="1">
      <alignment wrapText="1"/>
    </xf>
    <xf numFmtId="0" fontId="20" fillId="6" borderId="10" xfId="1" applyFont="1" applyFill="1" applyBorder="1" applyAlignment="1">
      <alignment wrapText="1"/>
    </xf>
    <xf numFmtId="0" fontId="20" fillId="6" borderId="0" xfId="1" applyFont="1" applyFill="1" applyBorder="1"/>
    <xf numFmtId="0" fontId="19" fillId="8" borderId="2" xfId="0" applyFont="1" applyFill="1" applyBorder="1"/>
    <xf numFmtId="0" fontId="21" fillId="8" borderId="2" xfId="0" applyFont="1" applyFill="1" applyBorder="1"/>
    <xf numFmtId="0" fontId="21" fillId="0" borderId="0" xfId="0" applyFont="1" applyFill="1" applyBorder="1"/>
    <xf numFmtId="0" fontId="19" fillId="0" borderId="12" xfId="0" applyFont="1" applyFill="1" applyBorder="1" applyAlignment="1">
      <alignment wrapText="1"/>
    </xf>
    <xf numFmtId="0" fontId="19" fillId="0" borderId="0" xfId="0" applyFont="1" applyFill="1" applyBorder="1" applyAlignment="1">
      <alignment wrapText="1"/>
    </xf>
    <xf numFmtId="0" fontId="19" fillId="12" borderId="2" xfId="0" applyFont="1" applyFill="1" applyBorder="1"/>
    <xf numFmtId="4" fontId="7" fillId="4" borderId="2" xfId="0" applyNumberFormat="1" applyFont="1" applyFill="1" applyBorder="1"/>
    <xf numFmtId="4" fontId="13" fillId="0" borderId="2" xfId="0" applyNumberFormat="1" applyFont="1" applyFill="1" applyBorder="1"/>
    <xf numFmtId="4" fontId="11" fillId="0" borderId="2" xfId="0" applyNumberFormat="1" applyFont="1" applyFill="1" applyBorder="1"/>
    <xf numFmtId="4" fontId="14" fillId="4" borderId="2" xfId="0" applyNumberFormat="1" applyFont="1" applyFill="1" applyBorder="1"/>
    <xf numFmtId="4" fontId="11" fillId="2" borderId="2" xfId="0" applyNumberFormat="1" applyFont="1" applyFill="1" applyBorder="1"/>
    <xf numFmtId="4" fontId="11" fillId="5" borderId="2" xfId="0" applyNumberFormat="1" applyFont="1" applyFill="1" applyBorder="1"/>
    <xf numFmtId="4" fontId="7" fillId="14" borderId="2" xfId="0" applyNumberFormat="1" applyFont="1" applyFill="1" applyBorder="1"/>
    <xf numFmtId="4" fontId="11" fillId="4" borderId="2" xfId="0" applyNumberFormat="1" applyFont="1" applyFill="1" applyBorder="1"/>
    <xf numFmtId="4" fontId="11" fillId="13" borderId="2" xfId="0" applyNumberFormat="1" applyFont="1" applyFill="1" applyBorder="1"/>
    <xf numFmtId="4" fontId="11" fillId="11" borderId="2" xfId="0" applyNumberFormat="1" applyFont="1" applyFill="1" applyBorder="1"/>
    <xf numFmtId="4" fontId="7" fillId="5" borderId="2" xfId="0" applyNumberFormat="1" applyFont="1" applyFill="1" applyBorder="1"/>
    <xf numFmtId="4" fontId="11" fillId="9" borderId="2" xfId="0" applyNumberFormat="1" applyFont="1" applyFill="1" applyBorder="1"/>
    <xf numFmtId="4" fontId="7" fillId="2" borderId="2" xfId="0" applyNumberFormat="1" applyFont="1" applyFill="1" applyBorder="1"/>
    <xf numFmtId="4" fontId="14" fillId="5" borderId="2" xfId="0" applyNumberFormat="1" applyFont="1" applyFill="1" applyBorder="1"/>
    <xf numFmtId="4" fontId="7" fillId="10" borderId="2" xfId="0" applyNumberFormat="1" applyFont="1" applyFill="1" applyBorder="1"/>
    <xf numFmtId="4" fontId="11" fillId="10" borderId="2" xfId="0" applyNumberFormat="1" applyFont="1" applyFill="1" applyBorder="1"/>
    <xf numFmtId="4" fontId="7" fillId="0" borderId="2" xfId="0" applyNumberFormat="1" applyFont="1" applyFill="1" applyBorder="1"/>
    <xf numFmtId="4" fontId="14" fillId="8" borderId="2" xfId="0" applyNumberFormat="1" applyFont="1" applyFill="1" applyBorder="1"/>
    <xf numFmtId="0" fontId="8" fillId="3" borderId="6" xfId="0" applyFont="1" applyFill="1" applyBorder="1" applyAlignment="1">
      <alignment horizontal="center"/>
    </xf>
    <xf numFmtId="0" fontId="8" fillId="0" borderId="6" xfId="0" applyFont="1" applyFill="1" applyBorder="1" applyAlignment="1">
      <alignment horizontal="center"/>
    </xf>
    <xf numFmtId="0" fontId="13" fillId="0" borderId="6" xfId="0" applyFont="1" applyFill="1" applyBorder="1" applyAlignment="1">
      <alignment horizontal="center"/>
    </xf>
    <xf numFmtId="0" fontId="8" fillId="0" borderId="4" xfId="0" applyFont="1" applyFill="1" applyBorder="1" applyAlignment="1">
      <alignment horizontal="center"/>
    </xf>
    <xf numFmtId="0" fontId="11" fillId="0" borderId="14" xfId="0" applyFont="1" applyBorder="1" applyAlignment="1">
      <alignment horizontal="center" vertical="justify"/>
    </xf>
    <xf numFmtId="0" fontId="13" fillId="0" borderId="0" xfId="0" applyFont="1" applyFill="1" applyBorder="1" applyAlignment="1">
      <alignment horizontal="center"/>
    </xf>
    <xf numFmtId="0" fontId="8" fillId="3" borderId="2" xfId="0" applyFont="1" applyFill="1" applyBorder="1" applyAlignment="1">
      <alignment horizontal="center"/>
    </xf>
    <xf numFmtId="0" fontId="15" fillId="3" borderId="4" xfId="0" applyFont="1" applyFill="1" applyBorder="1" applyAlignment="1">
      <alignment horizontal="center"/>
    </xf>
    <xf numFmtId="0" fontId="15" fillId="0" borderId="4" xfId="0" applyFont="1" applyFill="1" applyBorder="1" applyAlignment="1">
      <alignment horizontal="center"/>
    </xf>
    <xf numFmtId="0" fontId="8" fillId="3" borderId="4" xfId="0" applyFont="1" applyFill="1" applyBorder="1" applyAlignment="1">
      <alignment horizontal="center"/>
    </xf>
    <xf numFmtId="0" fontId="13" fillId="0" borderId="2" xfId="0" applyFont="1" applyFill="1" applyBorder="1" applyAlignment="1">
      <alignment horizontal="center"/>
    </xf>
    <xf numFmtId="0" fontId="8" fillId="10" borderId="4" xfId="0" applyFont="1" applyFill="1" applyBorder="1" applyAlignment="1">
      <alignment horizontal="center"/>
    </xf>
    <xf numFmtId="0" fontId="13" fillId="10" borderId="4" xfId="0" applyFont="1" applyFill="1" applyBorder="1" applyAlignment="1">
      <alignment horizontal="center"/>
    </xf>
    <xf numFmtId="0" fontId="17" fillId="3" borderId="4" xfId="0" applyFont="1" applyFill="1" applyBorder="1" applyAlignment="1">
      <alignment horizontal="center"/>
    </xf>
    <xf numFmtId="0" fontId="17" fillId="0" borderId="4" xfId="0" applyFont="1" applyFill="1" applyBorder="1" applyAlignment="1">
      <alignment horizontal="center"/>
    </xf>
    <xf numFmtId="0" fontId="13" fillId="0" borderId="9" xfId="0" applyFont="1" applyFill="1" applyBorder="1" applyAlignment="1">
      <alignment horizontal="center"/>
    </xf>
    <xf numFmtId="0" fontId="13" fillId="0" borderId="4" xfId="0" applyFont="1" applyFill="1" applyBorder="1" applyAlignment="1">
      <alignment horizontal="center" wrapText="1"/>
    </xf>
    <xf numFmtId="49" fontId="13" fillId="6" borderId="10" xfId="1" applyNumberFormat="1" applyFont="1" applyFill="1" applyBorder="1" applyAlignment="1">
      <alignment horizontal="center"/>
    </xf>
    <xf numFmtId="0" fontId="8" fillId="2" borderId="4" xfId="0" applyFont="1" applyFill="1" applyBorder="1" applyAlignment="1">
      <alignment horizontal="center"/>
    </xf>
    <xf numFmtId="49" fontId="13" fillId="6" borderId="0" xfId="1" applyNumberFormat="1" applyFont="1" applyFill="1" applyBorder="1" applyAlignment="1">
      <alignment horizontal="center"/>
    </xf>
    <xf numFmtId="0" fontId="15" fillId="8" borderId="4" xfId="0" applyFont="1" applyFill="1" applyBorder="1" applyAlignment="1">
      <alignment horizontal="center"/>
    </xf>
    <xf numFmtId="0" fontId="19" fillId="12" borderId="3" xfId="0" applyFont="1" applyFill="1" applyBorder="1"/>
    <xf numFmtId="0" fontId="19" fillId="12" borderId="5" xfId="0" applyFont="1" applyFill="1" applyBorder="1"/>
    <xf numFmtId="0" fontId="13" fillId="12" borderId="4" xfId="0" applyFont="1" applyFill="1" applyBorder="1" applyAlignment="1">
      <alignment horizontal="center"/>
    </xf>
    <xf numFmtId="4" fontId="7" fillId="12" borderId="2" xfId="0" applyNumberFormat="1" applyFont="1" applyFill="1" applyBorder="1"/>
    <xf numFmtId="0" fontId="8" fillId="12" borderId="6" xfId="0" applyFont="1" applyFill="1" applyBorder="1" applyAlignment="1">
      <alignment horizontal="center"/>
    </xf>
    <xf numFmtId="0" fontId="19" fillId="12" borderId="7" xfId="0" applyFont="1" applyFill="1" applyBorder="1"/>
    <xf numFmtId="4" fontId="23" fillId="0" borderId="2" xfId="0" applyNumberFormat="1" applyFont="1" applyFill="1" applyBorder="1"/>
    <xf numFmtId="4" fontId="23" fillId="5" borderId="2" xfId="0" applyNumberFormat="1" applyFont="1" applyFill="1" applyBorder="1"/>
    <xf numFmtId="4" fontId="24" fillId="5" borderId="2" xfId="0" applyNumberFormat="1" applyFont="1" applyFill="1" applyBorder="1"/>
    <xf numFmtId="14" fontId="8" fillId="0" borderId="2" xfId="0" applyNumberFormat="1" applyFont="1" applyFill="1" applyBorder="1"/>
    <xf numFmtId="0" fontId="8" fillId="0" borderId="2" xfId="0" applyFont="1" applyFill="1" applyBorder="1"/>
    <xf numFmtId="4" fontId="8" fillId="0" borderId="13" xfId="0" applyNumberFormat="1" applyFont="1" applyFill="1" applyBorder="1"/>
    <xf numFmtId="4" fontId="8" fillId="0" borderId="0" xfId="0" applyNumberFormat="1" applyFont="1" applyFill="1" applyBorder="1"/>
    <xf numFmtId="4" fontId="8" fillId="0" borderId="2" xfId="0" applyNumberFormat="1" applyFont="1" applyFill="1" applyBorder="1"/>
    <xf numFmtId="2" fontId="2" fillId="0" borderId="0" xfId="0" applyNumberFormat="1" applyFont="1" applyFill="1"/>
    <xf numFmtId="0" fontId="20" fillId="15" borderId="2" xfId="0" applyFont="1" applyFill="1" applyBorder="1"/>
    <xf numFmtId="0" fontId="20" fillId="15" borderId="7" xfId="0" applyFont="1" applyFill="1" applyBorder="1" applyAlignment="1">
      <alignment wrapText="1"/>
    </xf>
    <xf numFmtId="0" fontId="13" fillId="15" borderId="4" xfId="0" applyFont="1" applyFill="1" applyBorder="1" applyAlignment="1">
      <alignment horizontal="center"/>
    </xf>
    <xf numFmtId="4" fontId="11" fillId="15" borderId="2" xfId="0" applyNumberFormat="1" applyFont="1" applyFill="1" applyBorder="1"/>
    <xf numFmtId="0" fontId="19" fillId="16" borderId="7" xfId="0" applyFont="1" applyFill="1" applyBorder="1"/>
    <xf numFmtId="0" fontId="13" fillId="16" borderId="4" xfId="0" applyFont="1" applyFill="1" applyBorder="1" applyAlignment="1">
      <alignment horizontal="center"/>
    </xf>
    <xf numFmtId="4" fontId="7" fillId="16" borderId="2" xfId="0" applyNumberFormat="1" applyFont="1" applyFill="1" applyBorder="1"/>
    <xf numFmtId="4" fontId="8" fillId="4" borderId="2" xfId="0" applyNumberFormat="1" applyFont="1" applyFill="1" applyBorder="1"/>
    <xf numFmtId="4" fontId="11" fillId="2" borderId="1" xfId="0" applyNumberFormat="1" applyFont="1" applyFill="1" applyBorder="1"/>
    <xf numFmtId="4" fontId="11" fillId="2" borderId="0" xfId="0" applyNumberFormat="1" applyFont="1" applyFill="1" applyBorder="1"/>
    <xf numFmtId="4" fontId="7" fillId="12" borderId="3" xfId="0" applyNumberFormat="1" applyFont="1" applyFill="1" applyBorder="1"/>
    <xf numFmtId="4" fontId="14" fillId="2" borderId="2" xfId="0" applyNumberFormat="1" applyFont="1" applyFill="1" applyBorder="1"/>
    <xf numFmtId="4" fontId="7" fillId="15" borderId="2" xfId="0" applyNumberFormat="1" applyFont="1" applyFill="1" applyBorder="1"/>
    <xf numFmtId="4" fontId="18" fillId="0" borderId="2" xfId="0" applyNumberFormat="1" applyFont="1" applyFill="1" applyBorder="1"/>
    <xf numFmtId="4" fontId="18" fillId="2" borderId="2" xfId="0" applyNumberFormat="1" applyFont="1" applyFill="1" applyBorder="1"/>
    <xf numFmtId="4" fontId="8" fillId="2" borderId="4" xfId="0" applyNumberFormat="1" applyFont="1" applyFill="1" applyBorder="1" applyAlignment="1">
      <alignment horizontal="right"/>
    </xf>
    <xf numFmtId="4" fontId="8" fillId="0" borderId="4" xfId="0" applyNumberFormat="1" applyFont="1" applyFill="1" applyBorder="1" applyAlignment="1">
      <alignment horizontal="right"/>
    </xf>
    <xf numFmtId="4" fontId="11" fillId="14" borderId="2" xfId="0" applyNumberFormat="1" applyFont="1" applyFill="1" applyBorder="1"/>
    <xf numFmtId="4" fontId="18" fillId="14" borderId="2" xfId="0" applyNumberFormat="1" applyFont="1" applyFill="1" applyBorder="1"/>
    <xf numFmtId="0" fontId="13" fillId="2" borderId="4" xfId="0" applyFont="1" applyFill="1" applyBorder="1" applyAlignment="1">
      <alignment horizontal="center"/>
    </xf>
    <xf numFmtId="0" fontId="19" fillId="2" borderId="2" xfId="0" applyFont="1" applyFill="1" applyBorder="1"/>
    <xf numFmtId="4" fontId="26" fillId="2" borderId="2" xfId="0" applyNumberFormat="1" applyFont="1" applyFill="1" applyBorder="1"/>
    <xf numFmtId="4" fontId="26" fillId="0" borderId="2" xfId="0" applyNumberFormat="1" applyFont="1" applyFill="1" applyBorder="1"/>
    <xf numFmtId="0" fontId="19" fillId="14" borderId="2" xfId="0" applyFont="1" applyFill="1" applyBorder="1"/>
    <xf numFmtId="0" fontId="19" fillId="14" borderId="7" xfId="0" applyFont="1" applyFill="1" applyBorder="1"/>
    <xf numFmtId="0" fontId="8" fillId="14" borderId="4" xfId="0" applyFont="1" applyFill="1" applyBorder="1" applyAlignment="1">
      <alignment horizontal="center"/>
    </xf>
    <xf numFmtId="0" fontId="13" fillId="0" borderId="2" xfId="0" applyFont="1" applyFill="1" applyBorder="1"/>
    <xf numFmtId="0" fontId="2" fillId="16" borderId="0" xfId="0" applyFont="1" applyFill="1"/>
    <xf numFmtId="0" fontId="19" fillId="15" borderId="7" xfId="0" applyFont="1" applyFill="1" applyBorder="1" applyAlignment="1">
      <alignment wrapText="1"/>
    </xf>
    <xf numFmtId="4" fontId="2" fillId="0" borderId="0" xfId="0" applyNumberFormat="1" applyFont="1" applyFill="1"/>
    <xf numFmtId="0" fontId="27" fillId="17" borderId="2" xfId="0" applyFont="1" applyFill="1" applyBorder="1"/>
    <xf numFmtId="2" fontId="27" fillId="17" borderId="2" xfId="0" applyNumberFormat="1" applyFont="1" applyFill="1" applyBorder="1"/>
    <xf numFmtId="0" fontId="27" fillId="0" borderId="2" xfId="0" applyFont="1" applyFill="1" applyBorder="1"/>
    <xf numFmtId="2" fontId="27" fillId="0" borderId="2" xfId="0" applyNumberFormat="1" applyFont="1" applyFill="1" applyBorder="1"/>
    <xf numFmtId="0" fontId="28" fillId="0" borderId="2" xfId="0" applyFont="1" applyFill="1" applyBorder="1"/>
    <xf numFmtId="0" fontId="28" fillId="0" borderId="2" xfId="0" applyFont="1" applyFill="1" applyBorder="1" applyAlignment="1">
      <alignment wrapText="1"/>
    </xf>
    <xf numFmtId="2" fontId="28" fillId="0" borderId="2" xfId="0" applyNumberFormat="1" applyFont="1" applyFill="1" applyBorder="1"/>
    <xf numFmtId="0" fontId="29" fillId="0" borderId="2" xfId="0" applyFont="1" applyBorder="1" applyAlignment="1">
      <alignment wrapText="1"/>
    </xf>
    <xf numFmtId="49" fontId="29" fillId="0" borderId="2" xfId="1" applyNumberFormat="1" applyFont="1" applyFill="1" applyBorder="1" applyAlignment="1">
      <alignment horizontal="left" vertical="center" wrapText="1"/>
    </xf>
    <xf numFmtId="0" fontId="29" fillId="0" borderId="2" xfId="1" applyNumberFormat="1" applyFont="1" applyFill="1" applyBorder="1" applyAlignment="1">
      <alignment horizontal="left" vertical="center" wrapText="1"/>
    </xf>
    <xf numFmtId="0" fontId="28" fillId="0" borderId="2" xfId="1" applyNumberFormat="1" applyFont="1" applyFill="1" applyBorder="1" applyAlignment="1">
      <alignment horizontal="left" vertical="center" wrapText="1"/>
    </xf>
    <xf numFmtId="0" fontId="29" fillId="0" borderId="7" xfId="1" applyNumberFormat="1" applyFont="1" applyFill="1" applyBorder="1" applyAlignment="1">
      <alignment horizontal="left" vertical="center" wrapText="1"/>
    </xf>
    <xf numFmtId="0" fontId="28" fillId="0" borderId="2" xfId="0" applyFont="1" applyBorder="1"/>
    <xf numFmtId="0" fontId="27" fillId="0" borderId="2" xfId="0" applyFont="1" applyBorder="1"/>
    <xf numFmtId="2" fontId="27" fillId="0" borderId="2" xfId="0" applyNumberFormat="1" applyFont="1" applyBorder="1"/>
    <xf numFmtId="0" fontId="29" fillId="0" borderId="2" xfId="0" applyFont="1" applyFill="1" applyBorder="1" applyAlignment="1">
      <alignment horizontal="left"/>
    </xf>
    <xf numFmtId="2" fontId="28" fillId="0" borderId="2" xfId="0" applyNumberFormat="1" applyFont="1" applyBorder="1"/>
    <xf numFmtId="0" fontId="11" fillId="0" borderId="2" xfId="0" applyFont="1" applyFill="1" applyBorder="1" applyAlignment="1">
      <alignment wrapText="1"/>
    </xf>
    <xf numFmtId="0" fontId="29" fillId="0" borderId="2" xfId="0" applyFont="1" applyFill="1" applyBorder="1"/>
    <xf numFmtId="0" fontId="29" fillId="0" borderId="4" xfId="0" applyFont="1" applyBorder="1" applyAlignment="1">
      <alignment wrapText="1"/>
    </xf>
    <xf numFmtId="0" fontId="29" fillId="0" borderId="2" xfId="0" applyFont="1" applyFill="1" applyBorder="1" applyAlignment="1">
      <alignment wrapText="1"/>
    </xf>
    <xf numFmtId="2" fontId="29" fillId="0" borderId="2" xfId="0" applyNumberFormat="1" applyFont="1" applyFill="1" applyBorder="1"/>
    <xf numFmtId="2" fontId="30" fillId="17" borderId="2" xfId="0" applyNumberFormat="1" applyFont="1" applyFill="1" applyBorder="1"/>
    <xf numFmtId="0" fontId="7" fillId="17" borderId="2" xfId="0" applyFont="1" applyFill="1" applyBorder="1" applyAlignment="1">
      <alignment wrapText="1"/>
    </xf>
    <xf numFmtId="49" fontId="27" fillId="17" borderId="2" xfId="0" applyNumberFormat="1" applyFont="1" applyFill="1" applyBorder="1" applyAlignment="1">
      <alignment horizontal="right"/>
    </xf>
    <xf numFmtId="0" fontId="30" fillId="17" borderId="3" xfId="0" applyFont="1" applyFill="1" applyBorder="1"/>
    <xf numFmtId="49" fontId="27" fillId="0" borderId="2" xfId="0" applyNumberFormat="1" applyFont="1" applyFill="1" applyBorder="1"/>
    <xf numFmtId="2" fontId="30" fillId="0" borderId="2" xfId="0" applyNumberFormat="1" applyFont="1" applyFill="1" applyBorder="1"/>
    <xf numFmtId="0" fontId="29" fillId="6" borderId="4" xfId="2" applyFont="1" applyFill="1" applyBorder="1"/>
    <xf numFmtId="0" fontId="29" fillId="6" borderId="4" xfId="2" applyFont="1" applyFill="1" applyBorder="1" applyAlignment="1">
      <alignment wrapText="1"/>
    </xf>
    <xf numFmtId="0" fontId="29" fillId="0" borderId="2" xfId="2" applyFont="1" applyFill="1" applyBorder="1" applyAlignment="1">
      <alignment vertical="center" wrapText="1"/>
    </xf>
    <xf numFmtId="0" fontId="29" fillId="0" borderId="4" xfId="2" applyFont="1" applyBorder="1"/>
    <xf numFmtId="0" fontId="28" fillId="0" borderId="3" xfId="0" applyFont="1" applyBorder="1" applyAlignment="1">
      <alignment wrapText="1"/>
    </xf>
    <xf numFmtId="0" fontId="29" fillId="0" borderId="3" xfId="0" applyFont="1" applyFill="1" applyBorder="1" applyAlignment="1">
      <alignment wrapText="1"/>
    </xf>
    <xf numFmtId="49" fontId="27" fillId="0" borderId="2" xfId="0" applyNumberFormat="1" applyFont="1" applyFill="1" applyBorder="1" applyAlignment="1">
      <alignment horizontal="right"/>
    </xf>
    <xf numFmtId="0" fontId="29" fillId="0" borderId="3" xfId="0" applyFont="1" applyFill="1" applyBorder="1"/>
    <xf numFmtId="0" fontId="30" fillId="17" borderId="2" xfId="0" applyFont="1" applyFill="1" applyBorder="1" applyAlignment="1">
      <alignment wrapText="1"/>
    </xf>
    <xf numFmtId="0" fontId="30" fillId="17" borderId="2" xfId="0" applyFont="1" applyFill="1" applyBorder="1"/>
    <xf numFmtId="49" fontId="28" fillId="0" borderId="2" xfId="0" applyNumberFormat="1" applyFont="1" applyFill="1" applyBorder="1" applyAlignment="1">
      <alignment horizontal="right"/>
    </xf>
    <xf numFmtId="49" fontId="27" fillId="0" borderId="2" xfId="0" applyNumberFormat="1" applyFont="1" applyBorder="1" applyAlignment="1">
      <alignment horizontal="right"/>
    </xf>
    <xf numFmtId="0" fontId="28" fillId="0" borderId="2" xfId="0" applyFont="1" applyBorder="1" applyAlignment="1">
      <alignment horizontal="right"/>
    </xf>
    <xf numFmtId="0" fontId="29" fillId="0" borderId="2" xfId="0" applyFont="1" applyBorder="1" applyAlignment="1">
      <alignment vertical="center" wrapText="1"/>
    </xf>
    <xf numFmtId="0" fontId="28" fillId="0" borderId="0" xfId="0" applyFont="1" applyAlignment="1">
      <alignment wrapText="1"/>
    </xf>
    <xf numFmtId="0" fontId="29" fillId="2" borderId="2" xfId="0" applyFont="1" applyFill="1" applyBorder="1" applyAlignment="1">
      <alignment horizontal="left" wrapText="1"/>
    </xf>
    <xf numFmtId="0" fontId="19" fillId="17" borderId="2" xfId="0" applyFont="1" applyFill="1" applyBorder="1" applyAlignment="1">
      <alignment wrapText="1"/>
    </xf>
    <xf numFmtId="2" fontId="29" fillId="0" borderId="2" xfId="0" applyNumberFormat="1" applyFont="1" applyBorder="1" applyAlignment="1">
      <alignment wrapText="1"/>
    </xf>
    <xf numFmtId="4" fontId="29" fillId="0" borderId="2" xfId="0" applyNumberFormat="1" applyFont="1" applyBorder="1" applyAlignment="1">
      <alignment wrapText="1"/>
    </xf>
    <xf numFmtId="2" fontId="29" fillId="0" borderId="2" xfId="0" applyNumberFormat="1" applyFont="1" applyBorder="1" applyAlignment="1"/>
    <xf numFmtId="0" fontId="29" fillId="6" borderId="2" xfId="0" applyFont="1" applyFill="1" applyBorder="1" applyAlignment="1">
      <alignment horizontal="left" vertical="top" wrapText="1"/>
    </xf>
    <xf numFmtId="0" fontId="30" fillId="0" borderId="2" xfId="0" applyFont="1" applyBorder="1" applyAlignment="1">
      <alignment wrapText="1"/>
    </xf>
    <xf numFmtId="2" fontId="30" fillId="0" borderId="2" xfId="0" applyNumberFormat="1" applyFont="1" applyBorder="1" applyAlignment="1">
      <alignment wrapText="1"/>
    </xf>
    <xf numFmtId="0" fontId="33" fillId="0" borderId="2" xfId="0" applyFont="1" applyBorder="1"/>
    <xf numFmtId="2" fontId="33" fillId="0" borderId="2" xfId="0" applyNumberFormat="1" applyFont="1" applyBorder="1"/>
    <xf numFmtId="0" fontId="7" fillId="0" borderId="0" xfId="0" applyFont="1" applyFill="1" applyAlignment="1">
      <alignment horizontal="right"/>
    </xf>
    <xf numFmtId="4" fontId="11" fillId="0" borderId="3" xfId="0" applyNumberFormat="1" applyFont="1" applyFill="1" applyBorder="1"/>
    <xf numFmtId="4" fontId="8" fillId="5" borderId="2" xfId="0" applyNumberFormat="1" applyFont="1" applyFill="1" applyBorder="1"/>
    <xf numFmtId="0" fontId="19" fillId="0" borderId="2" xfId="0" applyFont="1" applyFill="1" applyBorder="1" applyAlignment="1">
      <alignment vertical="justify"/>
    </xf>
    <xf numFmtId="0" fontId="34" fillId="0" borderId="16" xfId="0" applyFont="1" applyFill="1" applyBorder="1" applyAlignment="1">
      <alignment horizontal="left" vertical="center" wrapText="1"/>
    </xf>
    <xf numFmtId="49" fontId="34" fillId="0" borderId="0" xfId="0" applyNumberFormat="1" applyFont="1" applyFill="1" applyBorder="1" applyAlignment="1">
      <alignment horizontal="left" vertical="center"/>
    </xf>
    <xf numFmtId="4" fontId="8" fillId="4" borderId="3" xfId="0" applyNumberFormat="1" applyFont="1" applyFill="1" applyBorder="1"/>
    <xf numFmtId="0" fontId="29" fillId="6" borderId="2" xfId="2" applyFont="1" applyFill="1" applyBorder="1" applyAlignment="1">
      <alignment wrapText="1"/>
    </xf>
    <xf numFmtId="0" fontId="29" fillId="0" borderId="2" xfId="2" applyFont="1" applyBorder="1" applyAlignment="1">
      <alignment horizontal="left" wrapText="1"/>
    </xf>
    <xf numFmtId="0" fontId="36" fillId="17" borderId="2" xfId="0" applyFont="1" applyFill="1" applyBorder="1" applyAlignment="1">
      <alignment wrapText="1"/>
    </xf>
    <xf numFmtId="0" fontId="37" fillId="18" borderId="2" xfId="0" applyFont="1" applyFill="1" applyBorder="1" applyAlignment="1">
      <alignment vertical="center" wrapText="1"/>
    </xf>
    <xf numFmtId="0" fontId="37" fillId="0" borderId="2" xfId="0" applyFont="1" applyBorder="1"/>
    <xf numFmtId="0" fontId="28" fillId="0" borderId="2" xfId="3" applyFont="1" applyFill="1" applyBorder="1" applyAlignment="1">
      <alignment horizontal="left" wrapText="1"/>
    </xf>
    <xf numFmtId="0" fontId="28" fillId="0" borderId="2" xfId="0" applyFont="1" applyBorder="1" applyAlignment="1">
      <alignment wrapText="1"/>
    </xf>
    <xf numFmtId="0" fontId="29" fillId="2" borderId="2" xfId="0" applyFont="1" applyFill="1" applyBorder="1" applyAlignment="1">
      <alignment horizontal="left" vertical="center" wrapText="1"/>
    </xf>
    <xf numFmtId="49" fontId="38" fillId="17" borderId="2" xfId="0" applyNumberFormat="1" applyFont="1" applyFill="1" applyBorder="1" applyAlignment="1">
      <alignment horizontal="right"/>
    </xf>
    <xf numFmtId="49" fontId="38" fillId="0" borderId="2" xfId="0" applyNumberFormat="1" applyFont="1" applyFill="1" applyBorder="1" applyAlignment="1">
      <alignment horizontal="right"/>
    </xf>
    <xf numFmtId="0" fontId="30" fillId="0" borderId="2" xfId="0" applyFont="1" applyFill="1" applyBorder="1"/>
    <xf numFmtId="0" fontId="29" fillId="6" borderId="2" xfId="2" applyFont="1" applyFill="1" applyBorder="1" applyAlignment="1">
      <alignment horizontal="left" wrapText="1"/>
    </xf>
    <xf numFmtId="0" fontId="29" fillId="0" borderId="2" xfId="2" applyFont="1" applyFill="1" applyBorder="1" applyAlignment="1">
      <alignment vertical="top" wrapText="1"/>
    </xf>
    <xf numFmtId="0" fontId="29" fillId="6" borderId="2" xfId="0" applyFont="1" applyFill="1" applyBorder="1" applyAlignment="1">
      <alignment horizontal="left" vertical="center" wrapText="1"/>
    </xf>
    <xf numFmtId="0" fontId="29" fillId="0" borderId="2" xfId="2" applyFont="1" applyFill="1" applyBorder="1" applyAlignment="1">
      <alignment wrapText="1"/>
    </xf>
    <xf numFmtId="2" fontId="27" fillId="2" borderId="0" xfId="0" applyNumberFormat="1" applyFont="1" applyFill="1" applyBorder="1"/>
    <xf numFmtId="0" fontId="2" fillId="2" borderId="0" xfId="0" applyFont="1" applyFill="1" applyBorder="1"/>
    <xf numFmtId="2" fontId="28" fillId="2" borderId="0" xfId="0" applyNumberFormat="1" applyFont="1" applyFill="1" applyBorder="1"/>
    <xf numFmtId="2" fontId="29" fillId="2" borderId="0" xfId="0" applyNumberFormat="1" applyFont="1" applyFill="1" applyBorder="1"/>
    <xf numFmtId="2" fontId="30" fillId="2" borderId="0" xfId="0" applyNumberFormat="1" applyFont="1" applyFill="1" applyBorder="1"/>
    <xf numFmtId="2" fontId="29" fillId="2" borderId="0" xfId="0" applyNumberFormat="1" applyFont="1" applyFill="1" applyBorder="1" applyAlignment="1">
      <alignment wrapText="1"/>
    </xf>
    <xf numFmtId="4" fontId="29" fillId="2" borderId="0" xfId="0" applyNumberFormat="1" applyFont="1" applyFill="1" applyBorder="1" applyAlignment="1">
      <alignment wrapText="1"/>
    </xf>
    <xf numFmtId="2" fontId="30" fillId="2" borderId="0" xfId="0" applyNumberFormat="1" applyFont="1" applyFill="1" applyBorder="1" applyAlignment="1">
      <alignment wrapText="1"/>
    </xf>
    <xf numFmtId="2" fontId="33" fillId="2" borderId="0" xfId="0" applyNumberFormat="1" applyFont="1" applyFill="1" applyBorder="1"/>
    <xf numFmtId="0" fontId="30" fillId="17" borderId="3" xfId="0" applyFont="1" applyFill="1" applyBorder="1" applyAlignment="1">
      <alignment wrapText="1"/>
    </xf>
    <xf numFmtId="0" fontId="1" fillId="2" borderId="0" xfId="0" applyFont="1" applyFill="1" applyBorder="1"/>
    <xf numFmtId="0" fontId="20" fillId="2" borderId="9" xfId="0" applyFont="1" applyFill="1" applyBorder="1" applyAlignment="1">
      <alignment wrapText="1"/>
    </xf>
    <xf numFmtId="2" fontId="29" fillId="19" borderId="2" xfId="0" applyNumberFormat="1" applyFont="1" applyFill="1" applyBorder="1"/>
    <xf numFmtId="2" fontId="29" fillId="2" borderId="2" xfId="0" applyNumberFormat="1" applyFont="1" applyFill="1" applyBorder="1"/>
    <xf numFmtId="0" fontId="19" fillId="14" borderId="2" xfId="0" applyFont="1" applyFill="1" applyBorder="1" applyAlignment="1">
      <alignment horizontal="center"/>
    </xf>
    <xf numFmtId="0" fontId="19" fillId="14" borderId="2" xfId="0" applyFont="1" applyFill="1" applyBorder="1" applyAlignment="1">
      <alignment wrapText="1"/>
    </xf>
    <xf numFmtId="0" fontId="19" fillId="14" borderId="2" xfId="0" applyFont="1" applyFill="1" applyBorder="1" applyAlignment="1">
      <alignment vertical="justify"/>
    </xf>
    <xf numFmtId="0" fontId="34" fillId="14" borderId="16" xfId="0" applyFont="1" applyFill="1" applyBorder="1" applyAlignment="1">
      <alignment horizontal="left" vertical="center" wrapText="1"/>
    </xf>
    <xf numFmtId="0" fontId="34" fillId="14" borderId="2" xfId="0" applyFont="1" applyFill="1" applyBorder="1" applyAlignment="1">
      <alignment horizontal="center" vertical="center" wrapText="1"/>
    </xf>
    <xf numFmtId="49" fontId="34" fillId="14" borderId="0" xfId="0" applyNumberFormat="1" applyFont="1" applyFill="1" applyBorder="1" applyAlignment="1">
      <alignment horizontal="left" vertical="center"/>
    </xf>
    <xf numFmtId="0" fontId="35" fillId="14" borderId="0" xfId="0" applyFont="1" applyFill="1" applyAlignment="1">
      <alignment horizontal="center" vertical="center"/>
    </xf>
    <xf numFmtId="0" fontId="19" fillId="5" borderId="2" xfId="0" applyFont="1" applyFill="1" applyBorder="1"/>
    <xf numFmtId="0" fontId="19" fillId="5" borderId="7" xfId="0" applyFont="1" applyFill="1" applyBorder="1" applyAlignment="1">
      <alignment wrapText="1"/>
    </xf>
    <xf numFmtId="0" fontId="13" fillId="5" borderId="4" xfId="0" applyFont="1" applyFill="1" applyBorder="1" applyAlignment="1">
      <alignment horizontal="center"/>
    </xf>
    <xf numFmtId="0" fontId="19" fillId="5" borderId="5" xfId="0" applyFont="1" applyFill="1" applyBorder="1"/>
    <xf numFmtId="0" fontId="19" fillId="5" borderId="7" xfId="0" applyFont="1" applyFill="1" applyBorder="1"/>
    <xf numFmtId="0" fontId="8" fillId="5" borderId="4" xfId="0" applyFont="1" applyFill="1" applyBorder="1" applyAlignment="1">
      <alignment horizontal="center"/>
    </xf>
    <xf numFmtId="4" fontId="8" fillId="2" borderId="2" xfId="0" applyNumberFormat="1" applyFont="1" applyFill="1" applyBorder="1" applyAlignment="1">
      <alignment horizontal="right"/>
    </xf>
    <xf numFmtId="4" fontId="8" fillId="14" borderId="2" xfId="0" applyNumberFormat="1" applyFont="1" applyFill="1" applyBorder="1"/>
    <xf numFmtId="4" fontId="8" fillId="2" borderId="2" xfId="0" applyNumberFormat="1" applyFont="1" applyFill="1" applyBorder="1"/>
    <xf numFmtId="0" fontId="7" fillId="0" borderId="0" xfId="0" applyFont="1" applyFill="1" applyAlignment="1">
      <alignment horizontal="right"/>
    </xf>
    <xf numFmtId="0" fontId="12" fillId="0" borderId="0" xfId="0" applyFont="1" applyFill="1" applyAlignment="1">
      <alignment horizontal="center"/>
    </xf>
    <xf numFmtId="0" fontId="11" fillId="0" borderId="0" xfId="0" applyFont="1" applyAlignment="1"/>
    <xf numFmtId="0" fontId="9" fillId="0" borderId="0" xfId="0" applyFont="1" applyFill="1" applyAlignment="1">
      <alignment horizontal="center"/>
    </xf>
    <xf numFmtId="0" fontId="11" fillId="0" borderId="0" xfId="0" applyFont="1" applyAlignment="1">
      <alignment horizontal="center"/>
    </xf>
    <xf numFmtId="0" fontId="9" fillId="0" borderId="0" xfId="0" applyFont="1" applyFill="1" applyBorder="1" applyAlignment="1">
      <alignment horizontal="center"/>
    </xf>
    <xf numFmtId="0" fontId="7" fillId="0" borderId="1" xfId="0" applyFont="1" applyFill="1" applyBorder="1" applyAlignment="1">
      <alignment wrapText="1"/>
    </xf>
    <xf numFmtId="0" fontId="11" fillId="0" borderId="3" xfId="0" applyFont="1" applyFill="1" applyBorder="1" applyAlignment="1">
      <alignment wrapText="1"/>
    </xf>
    <xf numFmtId="0" fontId="25" fillId="0" borderId="4" xfId="0" applyFont="1" applyFill="1" applyBorder="1" applyAlignment="1">
      <alignment horizontal="center" wrapText="1"/>
    </xf>
    <xf numFmtId="0" fontId="0" fillId="0" borderId="15" xfId="0" applyBorder="1" applyAlignment="1">
      <alignment horizontal="center" wrapText="1"/>
    </xf>
    <xf numFmtId="0" fontId="0" fillId="0" borderId="7" xfId="0" applyBorder="1" applyAlignment="1">
      <alignment horizontal="center" wrapText="1"/>
    </xf>
    <xf numFmtId="0" fontId="7" fillId="0" borderId="4" xfId="0" applyFont="1" applyFill="1" applyBorder="1" applyAlignment="1">
      <alignment horizontal="center"/>
    </xf>
    <xf numFmtId="0" fontId="0" fillId="0" borderId="15" xfId="0" applyBorder="1" applyAlignment="1">
      <alignment horizontal="center"/>
    </xf>
    <xf numFmtId="0" fontId="0" fillId="0" borderId="7" xfId="0" applyBorder="1" applyAlignment="1">
      <alignment horizontal="center"/>
    </xf>
  </cellXfs>
  <cellStyles count="4">
    <cellStyle name="Normal" xfId="0" builtinId="0"/>
    <cellStyle name="Normal 2" xfId="2"/>
    <cellStyle name="Normal 3" xfId="3"/>
    <cellStyle name="Normal_Anexa F 140 146 10.07" xfId="1"/>
  </cellStyles>
  <dxfs count="0"/>
  <tableStyles count="0" defaultTableStyle="TableStyleMedium9" defaultPivotStyle="PivotStyleLight16"/>
  <colors>
    <mruColors>
      <color rgb="FF3399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Q1248"/>
  <sheetViews>
    <sheetView tabSelected="1" zoomScale="118" zoomScaleNormal="118" workbookViewId="0">
      <pane xSplit="3" ySplit="11" topLeftCell="D940" activePane="bottomRight" state="frozen"/>
      <selection pane="topRight" activeCell="D1" sqref="D1"/>
      <selection pane="bottomLeft" activeCell="A12" sqref="A12"/>
      <selection pane="bottomRight" activeCell="N11" sqref="N11"/>
    </sheetView>
  </sheetViews>
  <sheetFormatPr defaultRowHeight="12.75"/>
  <cols>
    <col min="1" max="1" width="5.140625" style="2" customWidth="1"/>
    <col min="2" max="2" width="45.7109375" style="2" customWidth="1"/>
    <col min="3" max="3" width="10.140625" style="5" customWidth="1"/>
    <col min="4" max="4" width="10.85546875" style="2" customWidth="1"/>
    <col min="5" max="5" width="11.28515625" style="2" customWidth="1"/>
    <col min="6" max="6" width="9.28515625" style="2" customWidth="1"/>
    <col min="7" max="7" width="8.7109375" style="2" customWidth="1"/>
    <col min="8" max="8" width="10" style="2" customWidth="1"/>
    <col min="9" max="9" width="0.140625" style="2" customWidth="1"/>
    <col min="10" max="10" width="10.85546875" style="2" customWidth="1"/>
    <col min="11" max="11" width="10.7109375" style="2" customWidth="1"/>
    <col min="12" max="12" width="9.5703125" style="2" customWidth="1"/>
    <col min="13" max="13" width="10.28515625" style="2" bestFit="1" customWidth="1"/>
    <col min="14" max="14" width="10.140625" style="2" bestFit="1" customWidth="1"/>
    <col min="15" max="15" width="9.5703125" style="2" bestFit="1" customWidth="1"/>
    <col min="16" max="16384" width="9.140625" style="2"/>
  </cols>
  <sheetData>
    <row r="1" spans="1:17" s="1" customFormat="1">
      <c r="A1" s="7"/>
      <c r="B1" s="7" t="s">
        <v>0</v>
      </c>
      <c r="C1" s="8"/>
      <c r="D1" s="7"/>
      <c r="E1" s="7"/>
      <c r="F1" s="7"/>
      <c r="G1" s="7"/>
      <c r="H1" s="7"/>
      <c r="I1" s="7"/>
      <c r="J1" s="7" t="s">
        <v>732</v>
      </c>
      <c r="K1" s="7"/>
      <c r="L1" s="7"/>
    </row>
    <row r="2" spans="1:17" ht="18.75">
      <c r="A2" s="9"/>
      <c r="B2" s="267"/>
      <c r="C2" s="267"/>
      <c r="D2" s="10"/>
      <c r="E2" s="10"/>
      <c r="F2" s="10"/>
      <c r="G2" s="10"/>
      <c r="H2" s="10"/>
      <c r="I2" s="10"/>
      <c r="J2" s="10" t="s">
        <v>818</v>
      </c>
      <c r="K2" s="10"/>
      <c r="L2" s="10"/>
    </row>
    <row r="3" spans="1:17" ht="18.75">
      <c r="A3" s="9"/>
      <c r="B3" s="215"/>
      <c r="C3" s="11"/>
      <c r="D3" s="10"/>
      <c r="E3" s="10"/>
      <c r="F3" s="10"/>
      <c r="G3" s="10"/>
      <c r="H3" s="10"/>
      <c r="I3" s="10"/>
      <c r="J3" s="10"/>
      <c r="K3" s="10"/>
      <c r="L3" s="10"/>
    </row>
    <row r="4" spans="1:17" ht="18.75">
      <c r="A4" s="9"/>
      <c r="B4" s="215"/>
      <c r="C4" s="11"/>
      <c r="D4" s="10"/>
      <c r="E4" s="10"/>
      <c r="F4" s="10"/>
      <c r="G4" s="10"/>
      <c r="H4" s="10"/>
      <c r="I4" s="10"/>
      <c r="J4" s="10"/>
      <c r="K4" s="10"/>
      <c r="L4" s="10"/>
    </row>
    <row r="5" spans="1:17" ht="18.75">
      <c r="A5" s="268" t="s">
        <v>1</v>
      </c>
      <c r="B5" s="269"/>
      <c r="C5" s="269"/>
      <c r="D5" s="269"/>
      <c r="E5" s="269"/>
      <c r="F5" s="269"/>
      <c r="G5" s="269"/>
      <c r="H5" s="269"/>
      <c r="I5" s="269"/>
      <c r="J5" s="269"/>
      <c r="K5" s="269"/>
      <c r="L5" s="10"/>
    </row>
    <row r="6" spans="1:17" ht="15.75">
      <c r="A6" s="270" t="s">
        <v>816</v>
      </c>
      <c r="B6" s="271"/>
      <c r="C6" s="271"/>
      <c r="D6" s="271"/>
      <c r="E6" s="271"/>
      <c r="F6" s="271"/>
      <c r="G6" s="271"/>
      <c r="H6" s="271"/>
      <c r="I6" s="271"/>
      <c r="J6" s="271"/>
      <c r="K6" s="271"/>
      <c r="L6" s="10"/>
    </row>
    <row r="7" spans="1:17" ht="15.75">
      <c r="A7" s="12"/>
      <c r="B7" s="272" t="s">
        <v>531</v>
      </c>
      <c r="C7" s="269"/>
      <c r="D7" s="269"/>
      <c r="E7" s="269"/>
      <c r="F7" s="269"/>
      <c r="G7" s="269"/>
      <c r="H7" s="269"/>
      <c r="I7" s="269"/>
      <c r="J7" s="269"/>
      <c r="K7" s="269"/>
      <c r="L7" s="10"/>
    </row>
    <row r="8" spans="1:17">
      <c r="A8" s="12"/>
      <c r="B8" s="13"/>
      <c r="C8" s="14"/>
      <c r="D8" s="10"/>
      <c r="E8" s="10"/>
      <c r="F8" s="10"/>
      <c r="G8" s="10"/>
      <c r="H8" s="10"/>
      <c r="I8" s="10"/>
      <c r="J8" s="10"/>
      <c r="K8" s="10"/>
      <c r="L8" s="15" t="s">
        <v>472</v>
      </c>
    </row>
    <row r="9" spans="1:17" ht="28.5" customHeight="1">
      <c r="A9" s="273" t="s">
        <v>2</v>
      </c>
      <c r="B9" s="16" t="s">
        <v>3</v>
      </c>
      <c r="C9" s="17" t="s">
        <v>4</v>
      </c>
      <c r="D9" s="275">
        <v>2019</v>
      </c>
      <c r="E9" s="276"/>
      <c r="F9" s="276"/>
      <c r="G9" s="276"/>
      <c r="H9" s="276"/>
      <c r="I9" s="277"/>
      <c r="J9" s="278" t="s">
        <v>522</v>
      </c>
      <c r="K9" s="279"/>
      <c r="L9" s="280"/>
    </row>
    <row r="10" spans="1:17" ht="24.75" customHeight="1">
      <c r="A10" s="274"/>
      <c r="B10" s="19"/>
      <c r="C10" s="20"/>
      <c r="D10" s="18" t="s">
        <v>573</v>
      </c>
      <c r="E10" s="18" t="s">
        <v>575</v>
      </c>
      <c r="F10" s="18" t="s">
        <v>576</v>
      </c>
      <c r="G10" s="18" t="s">
        <v>577</v>
      </c>
      <c r="H10" s="18" t="s">
        <v>578</v>
      </c>
      <c r="I10" s="158"/>
      <c r="J10" s="19" t="s">
        <v>9</v>
      </c>
      <c r="K10" s="19" t="s">
        <v>456</v>
      </c>
      <c r="L10" s="18" t="s">
        <v>530</v>
      </c>
      <c r="M10" s="3"/>
    </row>
    <row r="11" spans="1:17" ht="14.25">
      <c r="A11" s="33"/>
      <c r="B11" s="34" t="s">
        <v>495</v>
      </c>
      <c r="C11" s="96"/>
      <c r="D11" s="139">
        <f t="shared" ref="D11:L11" si="0">D14+D17+D37+D70+D95+D12+D94</f>
        <v>335427.88</v>
      </c>
      <c r="E11" s="139">
        <f t="shared" si="0"/>
        <v>102719.88</v>
      </c>
      <c r="F11" s="139">
        <f t="shared" si="0"/>
        <v>85729</v>
      </c>
      <c r="G11" s="139">
        <f t="shared" si="0"/>
        <v>81597</v>
      </c>
      <c r="H11" s="139">
        <f t="shared" si="0"/>
        <v>65382</v>
      </c>
      <c r="I11" s="139">
        <f>E11+F11+G11+H11</f>
        <v>335427.88</v>
      </c>
      <c r="J11" s="139">
        <f t="shared" si="0"/>
        <v>406663</v>
      </c>
      <c r="K11" s="139">
        <f t="shared" si="0"/>
        <v>304662</v>
      </c>
      <c r="L11" s="139">
        <f t="shared" si="0"/>
        <v>269246</v>
      </c>
      <c r="M11" s="3"/>
    </row>
    <row r="12" spans="1:17" ht="14.25">
      <c r="A12" s="30" t="s">
        <v>10</v>
      </c>
      <c r="B12" s="35" t="s">
        <v>11</v>
      </c>
      <c r="C12" s="97">
        <v>1.02</v>
      </c>
      <c r="D12" s="78">
        <f t="shared" ref="D12:L12" si="1">D13</f>
        <v>180</v>
      </c>
      <c r="E12" s="78">
        <f t="shared" si="1"/>
        <v>0</v>
      </c>
      <c r="F12" s="78">
        <f t="shared" si="1"/>
        <v>90</v>
      </c>
      <c r="G12" s="78">
        <f t="shared" si="1"/>
        <v>90</v>
      </c>
      <c r="H12" s="78">
        <f t="shared" si="1"/>
        <v>0</v>
      </c>
      <c r="I12" s="139">
        <f t="shared" ref="I12:I75" si="2">E12+F12+G12+H12</f>
        <v>180</v>
      </c>
      <c r="J12" s="78">
        <f t="shared" si="1"/>
        <v>185</v>
      </c>
      <c r="K12" s="78">
        <f t="shared" si="1"/>
        <v>190</v>
      </c>
      <c r="L12" s="78">
        <f t="shared" si="1"/>
        <v>195</v>
      </c>
      <c r="M12" s="3"/>
    </row>
    <row r="13" spans="1:17" ht="15">
      <c r="A13" s="30"/>
      <c r="B13" s="36" t="s">
        <v>12</v>
      </c>
      <c r="C13" s="98" t="s">
        <v>13</v>
      </c>
      <c r="D13" s="82">
        <v>180</v>
      </c>
      <c r="E13" s="82">
        <v>0</v>
      </c>
      <c r="F13" s="82">
        <v>90</v>
      </c>
      <c r="G13" s="82">
        <v>90</v>
      </c>
      <c r="H13" s="82">
        <v>0</v>
      </c>
      <c r="I13" s="139">
        <f t="shared" si="2"/>
        <v>180</v>
      </c>
      <c r="J13" s="80">
        <v>185</v>
      </c>
      <c r="K13" s="80">
        <v>190</v>
      </c>
      <c r="L13" s="80">
        <v>195</v>
      </c>
      <c r="M13" s="3"/>
    </row>
    <row r="14" spans="1:17" ht="14.25">
      <c r="A14" s="30" t="s">
        <v>14</v>
      </c>
      <c r="B14" s="37" t="s">
        <v>15</v>
      </c>
      <c r="C14" s="99">
        <v>4.0199999999999996</v>
      </c>
      <c r="D14" s="81">
        <f t="shared" ref="D14:L14" si="3">D15+D16</f>
        <v>163608</v>
      </c>
      <c r="E14" s="81">
        <f t="shared" si="3"/>
        <v>35000</v>
      </c>
      <c r="F14" s="81">
        <f t="shared" si="3"/>
        <v>43826</v>
      </c>
      <c r="G14" s="81">
        <f t="shared" si="3"/>
        <v>43000</v>
      </c>
      <c r="H14" s="81">
        <f t="shared" si="3"/>
        <v>41782</v>
      </c>
      <c r="I14" s="139">
        <f t="shared" si="2"/>
        <v>163608</v>
      </c>
      <c r="J14" s="81">
        <f t="shared" si="3"/>
        <v>99292</v>
      </c>
      <c r="K14" s="81">
        <f t="shared" si="3"/>
        <v>104388</v>
      </c>
      <c r="L14" s="81">
        <f t="shared" si="3"/>
        <v>109542</v>
      </c>
      <c r="M14" s="3"/>
    </row>
    <row r="15" spans="1:17" ht="14.25" customHeight="1">
      <c r="A15" s="30"/>
      <c r="B15" s="38" t="s">
        <v>583</v>
      </c>
      <c r="C15" s="21" t="s">
        <v>16</v>
      </c>
      <c r="D15" s="82">
        <v>102782</v>
      </c>
      <c r="E15" s="82">
        <v>20000</v>
      </c>
      <c r="F15" s="82">
        <v>28000</v>
      </c>
      <c r="G15" s="82">
        <v>28000</v>
      </c>
      <c r="H15" s="82">
        <v>26782</v>
      </c>
      <c r="I15" s="139">
        <f t="shared" si="2"/>
        <v>102782</v>
      </c>
      <c r="J15" s="80">
        <v>81480</v>
      </c>
      <c r="K15" s="80">
        <v>85554</v>
      </c>
      <c r="L15" s="80">
        <v>89832</v>
      </c>
      <c r="M15" s="3"/>
    </row>
    <row r="16" spans="1:17" ht="12.75" customHeight="1">
      <c r="A16" s="30"/>
      <c r="B16" s="39" t="s">
        <v>584</v>
      </c>
      <c r="C16" s="21" t="s">
        <v>17</v>
      </c>
      <c r="D16" s="82">
        <v>60826</v>
      </c>
      <c r="E16" s="82">
        <v>15000</v>
      </c>
      <c r="F16" s="82">
        <v>15826</v>
      </c>
      <c r="G16" s="82">
        <v>15000</v>
      </c>
      <c r="H16" s="82">
        <v>15000</v>
      </c>
      <c r="I16" s="139">
        <f t="shared" si="2"/>
        <v>60826</v>
      </c>
      <c r="J16" s="82">
        <v>17812</v>
      </c>
      <c r="K16" s="82">
        <v>18834</v>
      </c>
      <c r="L16" s="82">
        <v>19710</v>
      </c>
      <c r="M16" s="3"/>
      <c r="N16" s="3"/>
      <c r="O16" s="3"/>
      <c r="P16" s="3"/>
      <c r="Q16" s="3"/>
    </row>
    <row r="17" spans="1:13" ht="14.25">
      <c r="A17" s="30" t="s">
        <v>18</v>
      </c>
      <c r="B17" s="37" t="s">
        <v>19</v>
      </c>
      <c r="C17" s="21" t="s">
        <v>20</v>
      </c>
      <c r="D17" s="81">
        <f t="shared" ref="D17:L17" si="4">D18+D34+D35+D36</f>
        <v>138281</v>
      </c>
      <c r="E17" s="81">
        <f t="shared" si="4"/>
        <v>47500</v>
      </c>
      <c r="F17" s="81">
        <f t="shared" si="4"/>
        <v>36700</v>
      </c>
      <c r="G17" s="81">
        <f t="shared" si="4"/>
        <v>35200</v>
      </c>
      <c r="H17" s="81">
        <f t="shared" si="4"/>
        <v>18881</v>
      </c>
      <c r="I17" s="139">
        <f t="shared" si="2"/>
        <v>138281</v>
      </c>
      <c r="J17" s="81">
        <f t="shared" si="4"/>
        <v>105141</v>
      </c>
      <c r="K17" s="81">
        <f t="shared" si="4"/>
        <v>108298</v>
      </c>
      <c r="L17" s="81">
        <f t="shared" si="4"/>
        <v>110764</v>
      </c>
      <c r="M17" s="3"/>
    </row>
    <row r="18" spans="1:13" ht="26.25" customHeight="1">
      <c r="A18" s="41">
        <v>1</v>
      </c>
      <c r="B18" s="42" t="s">
        <v>469</v>
      </c>
      <c r="C18" s="21" t="s">
        <v>21</v>
      </c>
      <c r="D18" s="78">
        <f t="shared" ref="D18:H18" si="5">D19+D20+D22+D23+D24+D29+D32+D33+D21</f>
        <v>27456</v>
      </c>
      <c r="E18" s="78">
        <f t="shared" si="5"/>
        <v>18000</v>
      </c>
      <c r="F18" s="78">
        <f t="shared" si="5"/>
        <v>5000</v>
      </c>
      <c r="G18" s="78">
        <f t="shared" si="5"/>
        <v>3500</v>
      </c>
      <c r="H18" s="78">
        <f t="shared" si="5"/>
        <v>956</v>
      </c>
      <c r="I18" s="139">
        <f t="shared" si="2"/>
        <v>27456</v>
      </c>
      <c r="J18" s="78">
        <f>J19+J20+J22+J23+J24+J29+J32+J33+J21</f>
        <v>63688</v>
      </c>
      <c r="K18" s="78">
        <f>K19+K20+K22+K23+K24+K29+K32+K33+K21</f>
        <v>63733</v>
      </c>
      <c r="L18" s="78">
        <f>L19+L20+L22+L23+L24+L29+L32+L33+L21</f>
        <v>63777</v>
      </c>
      <c r="M18" s="3"/>
    </row>
    <row r="19" spans="1:13" ht="15" customHeight="1">
      <c r="A19" s="41" t="s">
        <v>497</v>
      </c>
      <c r="B19" s="43" t="s">
        <v>22</v>
      </c>
      <c r="C19" s="21" t="s">
        <v>21</v>
      </c>
      <c r="D19" s="80">
        <v>0</v>
      </c>
      <c r="E19" s="80">
        <v>0</v>
      </c>
      <c r="F19" s="80">
        <v>0</v>
      </c>
      <c r="G19" s="80">
        <v>0</v>
      </c>
      <c r="H19" s="80">
        <v>0</v>
      </c>
      <c r="I19" s="139">
        <f t="shared" si="2"/>
        <v>0</v>
      </c>
      <c r="J19" s="80">
        <v>21624</v>
      </c>
      <c r="K19" s="80">
        <v>21624</v>
      </c>
      <c r="L19" s="80">
        <v>21624</v>
      </c>
      <c r="M19" s="3"/>
    </row>
    <row r="20" spans="1:13" ht="15">
      <c r="A20" s="41" t="s">
        <v>496</v>
      </c>
      <c r="B20" s="44" t="s">
        <v>499</v>
      </c>
      <c r="C20" s="21" t="s">
        <v>21</v>
      </c>
      <c r="D20" s="80">
        <v>0</v>
      </c>
      <c r="E20" s="80">
        <v>0</v>
      </c>
      <c r="F20" s="80">
        <v>0</v>
      </c>
      <c r="G20" s="80">
        <v>0</v>
      </c>
      <c r="H20" s="80">
        <v>0</v>
      </c>
      <c r="I20" s="139">
        <f t="shared" si="2"/>
        <v>0</v>
      </c>
      <c r="J20" s="80">
        <v>14581</v>
      </c>
      <c r="K20" s="80">
        <v>14581</v>
      </c>
      <c r="L20" s="80">
        <v>14581</v>
      </c>
      <c r="M20" s="3"/>
    </row>
    <row r="21" spans="1:13" ht="15">
      <c r="A21" s="41" t="s">
        <v>23</v>
      </c>
      <c r="B21" s="44" t="s">
        <v>24</v>
      </c>
      <c r="C21" s="21" t="s">
        <v>21</v>
      </c>
      <c r="D21" s="80">
        <v>71</v>
      </c>
      <c r="E21" s="80">
        <v>20</v>
      </c>
      <c r="F21" s="80">
        <v>20</v>
      </c>
      <c r="G21" s="80">
        <v>31</v>
      </c>
      <c r="H21" s="80">
        <v>0</v>
      </c>
      <c r="I21" s="139">
        <f t="shared" si="2"/>
        <v>71</v>
      </c>
      <c r="J21" s="80">
        <v>71</v>
      </c>
      <c r="K21" s="80">
        <v>71</v>
      </c>
      <c r="L21" s="80">
        <v>71</v>
      </c>
      <c r="M21" s="3"/>
    </row>
    <row r="22" spans="1:13" ht="17.25" customHeight="1">
      <c r="A22" s="41" t="s">
        <v>25</v>
      </c>
      <c r="B22" s="44" t="s">
        <v>500</v>
      </c>
      <c r="C22" s="21" t="s">
        <v>21</v>
      </c>
      <c r="D22" s="82">
        <f>D516</f>
        <v>10744</v>
      </c>
      <c r="E22" s="82">
        <f t="shared" ref="E22:H22" si="6">E516</f>
        <v>8404</v>
      </c>
      <c r="F22" s="82">
        <f t="shared" si="6"/>
        <v>1600</v>
      </c>
      <c r="G22" s="82">
        <f t="shared" si="6"/>
        <v>500</v>
      </c>
      <c r="H22" s="82">
        <f t="shared" si="6"/>
        <v>240</v>
      </c>
      <c r="I22" s="266">
        <f t="shared" si="2"/>
        <v>10744</v>
      </c>
      <c r="J22" s="82">
        <f t="shared" ref="J22:L22" si="7">J520</f>
        <v>10744</v>
      </c>
      <c r="K22" s="82">
        <f t="shared" si="7"/>
        <v>10744</v>
      </c>
      <c r="L22" s="82">
        <f t="shared" si="7"/>
        <v>10744</v>
      </c>
      <c r="M22" s="3"/>
    </row>
    <row r="23" spans="1:13" ht="15" hidden="1" customHeight="1">
      <c r="A23" s="41" t="s">
        <v>26</v>
      </c>
      <c r="B23" s="44" t="s">
        <v>27</v>
      </c>
      <c r="C23" s="21"/>
      <c r="D23" s="82"/>
      <c r="E23" s="82"/>
      <c r="F23" s="82"/>
      <c r="G23" s="82"/>
      <c r="H23" s="82"/>
      <c r="I23" s="139">
        <f t="shared" si="2"/>
        <v>0</v>
      </c>
      <c r="J23" s="83"/>
      <c r="K23" s="83"/>
      <c r="L23" s="83"/>
      <c r="M23" s="3"/>
    </row>
    <row r="24" spans="1:13" ht="18.75" customHeight="1">
      <c r="A24" s="41" t="s">
        <v>26</v>
      </c>
      <c r="B24" s="44" t="s">
        <v>523</v>
      </c>
      <c r="C24" s="21" t="s">
        <v>21</v>
      </c>
      <c r="D24" s="90">
        <f t="shared" ref="D24:L24" si="8">D25+D26+D27+D28</f>
        <v>2732</v>
      </c>
      <c r="E24" s="90">
        <f t="shared" si="8"/>
        <v>1000</v>
      </c>
      <c r="F24" s="90">
        <f t="shared" si="8"/>
        <v>750</v>
      </c>
      <c r="G24" s="90">
        <f t="shared" si="8"/>
        <v>690</v>
      </c>
      <c r="H24" s="90">
        <f t="shared" si="8"/>
        <v>292</v>
      </c>
      <c r="I24" s="139">
        <f t="shared" si="2"/>
        <v>2732</v>
      </c>
      <c r="J24" s="90">
        <f t="shared" si="8"/>
        <v>2748</v>
      </c>
      <c r="K24" s="90">
        <f t="shared" si="8"/>
        <v>2781</v>
      </c>
      <c r="L24" s="90">
        <f t="shared" si="8"/>
        <v>2814</v>
      </c>
      <c r="M24" s="3"/>
    </row>
    <row r="25" spans="1:13" ht="1.5" hidden="1" customHeight="1">
      <c r="A25" s="41"/>
      <c r="B25" s="44" t="s">
        <v>28</v>
      </c>
      <c r="C25" s="21"/>
      <c r="D25" s="82"/>
      <c r="E25" s="82"/>
      <c r="F25" s="82"/>
      <c r="G25" s="82"/>
      <c r="H25" s="82"/>
      <c r="I25" s="139">
        <f t="shared" si="2"/>
        <v>0</v>
      </c>
      <c r="J25" s="80"/>
      <c r="K25" s="80"/>
      <c r="L25" s="80"/>
      <c r="M25" s="3"/>
    </row>
    <row r="26" spans="1:13" ht="15">
      <c r="A26" s="41" t="s">
        <v>807</v>
      </c>
      <c r="B26" s="44" t="s">
        <v>514</v>
      </c>
      <c r="C26" s="21" t="s">
        <v>21</v>
      </c>
      <c r="D26" s="82">
        <v>1326</v>
      </c>
      <c r="E26" s="82">
        <v>500</v>
      </c>
      <c r="F26" s="82">
        <v>350</v>
      </c>
      <c r="G26" s="82">
        <v>290</v>
      </c>
      <c r="H26" s="82">
        <v>186</v>
      </c>
      <c r="I26" s="139">
        <f t="shared" si="2"/>
        <v>1326</v>
      </c>
      <c r="J26" s="80">
        <v>1342</v>
      </c>
      <c r="K26" s="80">
        <v>1375</v>
      </c>
      <c r="L26" s="80">
        <v>1408</v>
      </c>
      <c r="M26" s="3"/>
    </row>
    <row r="27" spans="1:13" ht="0.75" customHeight="1">
      <c r="A27" s="41"/>
      <c r="B27" s="44" t="s">
        <v>470</v>
      </c>
      <c r="C27" s="21"/>
      <c r="D27" s="82"/>
      <c r="E27" s="82"/>
      <c r="F27" s="82"/>
      <c r="G27" s="82"/>
      <c r="H27" s="82"/>
      <c r="I27" s="139">
        <f t="shared" si="2"/>
        <v>0</v>
      </c>
      <c r="J27" s="83"/>
      <c r="K27" s="83"/>
      <c r="L27" s="83"/>
      <c r="M27" s="3"/>
    </row>
    <row r="28" spans="1:13" ht="26.25" customHeight="1">
      <c r="A28" s="41" t="s">
        <v>498</v>
      </c>
      <c r="B28" s="43" t="s">
        <v>471</v>
      </c>
      <c r="C28" s="21" t="s">
        <v>21</v>
      </c>
      <c r="D28" s="82">
        <v>1406</v>
      </c>
      <c r="E28" s="82">
        <v>500</v>
      </c>
      <c r="F28" s="82">
        <v>400</v>
      </c>
      <c r="G28" s="82">
        <v>400</v>
      </c>
      <c r="H28" s="82">
        <v>106</v>
      </c>
      <c r="I28" s="139">
        <f t="shared" si="2"/>
        <v>1406</v>
      </c>
      <c r="J28" s="82">
        <v>1406</v>
      </c>
      <c r="K28" s="82">
        <v>1406</v>
      </c>
      <c r="L28" s="82">
        <v>1406</v>
      </c>
      <c r="M28" s="3"/>
    </row>
    <row r="29" spans="1:13" ht="15">
      <c r="A29" s="41" t="s">
        <v>808</v>
      </c>
      <c r="B29" s="44" t="s">
        <v>29</v>
      </c>
      <c r="C29" s="21" t="s">
        <v>21</v>
      </c>
      <c r="D29" s="90">
        <f t="shared" ref="D29:L29" si="9">D30+D31</f>
        <v>13666</v>
      </c>
      <c r="E29" s="90">
        <f t="shared" si="9"/>
        <v>8506</v>
      </c>
      <c r="F29" s="90">
        <f t="shared" si="9"/>
        <v>2560</v>
      </c>
      <c r="G29" s="90">
        <f t="shared" si="9"/>
        <v>2219</v>
      </c>
      <c r="H29" s="90">
        <f t="shared" si="9"/>
        <v>381</v>
      </c>
      <c r="I29" s="266">
        <f t="shared" si="2"/>
        <v>13666</v>
      </c>
      <c r="J29" s="90">
        <f t="shared" si="9"/>
        <v>13671</v>
      </c>
      <c r="K29" s="90">
        <f t="shared" si="9"/>
        <v>13676</v>
      </c>
      <c r="L29" s="90">
        <f t="shared" si="9"/>
        <v>13681</v>
      </c>
      <c r="M29" s="3"/>
    </row>
    <row r="30" spans="1:13" ht="15">
      <c r="A30" s="41"/>
      <c r="B30" s="44" t="s">
        <v>30</v>
      </c>
      <c r="C30" s="21" t="s">
        <v>21</v>
      </c>
      <c r="D30" s="82">
        <v>12860</v>
      </c>
      <c r="E30" s="82">
        <v>8000</v>
      </c>
      <c r="F30" s="82">
        <v>2500</v>
      </c>
      <c r="G30" s="82">
        <v>2019</v>
      </c>
      <c r="H30" s="82">
        <v>341</v>
      </c>
      <c r="I30" s="139">
        <f t="shared" si="2"/>
        <v>12860</v>
      </c>
      <c r="J30" s="82">
        <v>12860</v>
      </c>
      <c r="K30" s="82">
        <v>12860</v>
      </c>
      <c r="L30" s="82">
        <v>12860</v>
      </c>
      <c r="M30" s="3"/>
    </row>
    <row r="31" spans="1:13" ht="15">
      <c r="A31" s="41"/>
      <c r="B31" s="44" t="s">
        <v>31</v>
      </c>
      <c r="C31" s="21" t="s">
        <v>21</v>
      </c>
      <c r="D31" s="82">
        <v>806</v>
      </c>
      <c r="E31" s="82">
        <v>506</v>
      </c>
      <c r="F31" s="82">
        <v>60</v>
      </c>
      <c r="G31" s="82">
        <v>200</v>
      </c>
      <c r="H31" s="82">
        <v>40</v>
      </c>
      <c r="I31" s="139">
        <f t="shared" si="2"/>
        <v>806</v>
      </c>
      <c r="J31" s="82">
        <v>811</v>
      </c>
      <c r="K31" s="82">
        <v>816</v>
      </c>
      <c r="L31" s="82">
        <v>821</v>
      </c>
      <c r="M31" s="3"/>
    </row>
    <row r="32" spans="1:13" ht="14.25" customHeight="1">
      <c r="A32" s="41" t="s">
        <v>809</v>
      </c>
      <c r="B32" s="44" t="s">
        <v>32</v>
      </c>
      <c r="C32" s="21" t="s">
        <v>21</v>
      </c>
      <c r="D32" s="82">
        <v>243</v>
      </c>
      <c r="E32" s="82">
        <v>70</v>
      </c>
      <c r="F32" s="82">
        <v>70</v>
      </c>
      <c r="G32" s="82">
        <v>60</v>
      </c>
      <c r="H32" s="82">
        <v>43</v>
      </c>
      <c r="I32" s="139">
        <f t="shared" si="2"/>
        <v>243</v>
      </c>
      <c r="J32" s="82">
        <v>249</v>
      </c>
      <c r="K32" s="82">
        <v>256</v>
      </c>
      <c r="L32" s="82">
        <v>262</v>
      </c>
      <c r="M32" s="3"/>
    </row>
    <row r="33" spans="1:16" ht="14.25" hidden="1" customHeight="1">
      <c r="A33" s="41" t="s">
        <v>33</v>
      </c>
      <c r="B33" s="43" t="s">
        <v>34</v>
      </c>
      <c r="C33" s="21"/>
      <c r="D33" s="82"/>
      <c r="E33" s="82"/>
      <c r="F33" s="82"/>
      <c r="G33" s="82"/>
      <c r="H33" s="82"/>
      <c r="I33" s="139">
        <f t="shared" si="2"/>
        <v>0</v>
      </c>
      <c r="J33" s="80"/>
      <c r="K33" s="80"/>
      <c r="L33" s="80"/>
      <c r="M33" s="3"/>
    </row>
    <row r="34" spans="1:16" ht="14.25" customHeight="1">
      <c r="A34" s="45">
        <v>2</v>
      </c>
      <c r="B34" s="37" t="s">
        <v>35</v>
      </c>
      <c r="C34" s="21" t="s">
        <v>36</v>
      </c>
      <c r="D34" s="84">
        <f>11941-3300+700</f>
        <v>9341</v>
      </c>
      <c r="E34" s="84">
        <v>3500</v>
      </c>
      <c r="F34" s="84">
        <f>3000-1650+350</f>
        <v>1700</v>
      </c>
      <c r="G34" s="84">
        <f>3000-1650+350</f>
        <v>1700</v>
      </c>
      <c r="H34" s="84">
        <v>2441</v>
      </c>
      <c r="I34" s="139">
        <f t="shared" si="2"/>
        <v>9341</v>
      </c>
      <c r="J34" s="149">
        <v>5971</v>
      </c>
      <c r="K34" s="149">
        <v>5971</v>
      </c>
      <c r="L34" s="149">
        <v>5971</v>
      </c>
      <c r="M34" s="3"/>
      <c r="N34" s="3"/>
      <c r="O34" s="3"/>
      <c r="P34" s="3"/>
    </row>
    <row r="35" spans="1:16" ht="14.25" customHeight="1">
      <c r="A35" s="45">
        <v>3</v>
      </c>
      <c r="B35" s="37" t="s">
        <v>37</v>
      </c>
      <c r="C35" s="21" t="s">
        <v>38</v>
      </c>
      <c r="D35" s="84">
        <v>101484</v>
      </c>
      <c r="E35" s="84">
        <v>26000</v>
      </c>
      <c r="F35" s="84">
        <v>30000</v>
      </c>
      <c r="G35" s="84">
        <v>30000</v>
      </c>
      <c r="H35" s="84">
        <v>15484</v>
      </c>
      <c r="I35" s="139">
        <f t="shared" si="2"/>
        <v>101484</v>
      </c>
      <c r="J35" s="149">
        <v>35482</v>
      </c>
      <c r="K35" s="149">
        <v>38594</v>
      </c>
      <c r="L35" s="149">
        <v>41016</v>
      </c>
      <c r="M35" s="3"/>
      <c r="N35" s="3"/>
      <c r="O35" s="3"/>
      <c r="P35" s="3"/>
    </row>
    <row r="36" spans="1:16" ht="14.25" customHeight="1">
      <c r="A36" s="45"/>
      <c r="B36" s="44"/>
      <c r="C36" s="21"/>
      <c r="D36" s="82"/>
      <c r="E36" s="82"/>
      <c r="F36" s="82"/>
      <c r="G36" s="82"/>
      <c r="H36" s="82"/>
      <c r="I36" s="139">
        <f t="shared" si="2"/>
        <v>0</v>
      </c>
      <c r="J36" s="80"/>
      <c r="K36" s="80"/>
      <c r="L36" s="80"/>
      <c r="M36" s="3"/>
    </row>
    <row r="37" spans="1:16" ht="14.25" customHeight="1">
      <c r="A37" s="30" t="s">
        <v>39</v>
      </c>
      <c r="B37" s="37" t="s">
        <v>812</v>
      </c>
      <c r="C37" s="99"/>
      <c r="D37" s="81">
        <f t="shared" ref="D37:H37" si="10">D38+D42+D49+D56+D59+D64+D54+D67</f>
        <v>9774.8799999999992</v>
      </c>
      <c r="E37" s="81">
        <f t="shared" si="10"/>
        <v>2151.88</v>
      </c>
      <c r="F37" s="81">
        <f t="shared" si="10"/>
        <v>3004</v>
      </c>
      <c r="G37" s="81">
        <f t="shared" si="10"/>
        <v>1405</v>
      </c>
      <c r="H37" s="81">
        <f t="shared" si="10"/>
        <v>3214</v>
      </c>
      <c r="I37" s="139">
        <f t="shared" si="2"/>
        <v>9774.880000000001</v>
      </c>
      <c r="J37" s="81">
        <f>J38+J42+J49+J56+J59+J64+J54+J67</f>
        <v>10348</v>
      </c>
      <c r="K37" s="81">
        <f>K38+K42+K49+K56+K59+K64+K54+K67</f>
        <v>10618</v>
      </c>
      <c r="L37" s="81">
        <f>L38+L42+L49+L56+L59+L64+L54+L67</f>
        <v>10898</v>
      </c>
      <c r="M37" s="3"/>
    </row>
    <row r="38" spans="1:16" ht="14.25" customHeight="1">
      <c r="A38" s="45">
        <v>1</v>
      </c>
      <c r="B38" s="37" t="s">
        <v>40</v>
      </c>
      <c r="C38" s="21">
        <v>16.02</v>
      </c>
      <c r="D38" s="85">
        <f t="shared" ref="D38:L38" si="11">D39+D41+D40</f>
        <v>4010</v>
      </c>
      <c r="E38" s="85">
        <f t="shared" si="11"/>
        <v>1550</v>
      </c>
      <c r="F38" s="85">
        <f t="shared" si="11"/>
        <v>750</v>
      </c>
      <c r="G38" s="85">
        <f t="shared" si="11"/>
        <v>750</v>
      </c>
      <c r="H38" s="85">
        <f t="shared" si="11"/>
        <v>960</v>
      </c>
      <c r="I38" s="139">
        <f t="shared" si="2"/>
        <v>4010</v>
      </c>
      <c r="J38" s="85">
        <f t="shared" si="11"/>
        <v>3430</v>
      </c>
      <c r="K38" s="85">
        <f t="shared" si="11"/>
        <v>3430</v>
      </c>
      <c r="L38" s="85">
        <f t="shared" si="11"/>
        <v>3430</v>
      </c>
      <c r="M38" s="3"/>
    </row>
    <row r="39" spans="1:16" ht="14.25" customHeight="1">
      <c r="A39" s="45"/>
      <c r="B39" s="44" t="s">
        <v>41</v>
      </c>
      <c r="C39" s="21" t="s">
        <v>42</v>
      </c>
      <c r="D39" s="82">
        <v>200</v>
      </c>
      <c r="E39" s="82">
        <v>50</v>
      </c>
      <c r="F39" s="82">
        <v>50</v>
      </c>
      <c r="G39" s="82">
        <v>50</v>
      </c>
      <c r="H39" s="82">
        <v>50</v>
      </c>
      <c r="I39" s="139">
        <f t="shared" si="2"/>
        <v>200</v>
      </c>
      <c r="J39" s="80">
        <v>200</v>
      </c>
      <c r="K39" s="80">
        <v>200</v>
      </c>
      <c r="L39" s="80">
        <v>200</v>
      </c>
      <c r="M39" s="3"/>
    </row>
    <row r="40" spans="1:16" ht="15">
      <c r="A40" s="45"/>
      <c r="B40" s="44" t="s">
        <v>43</v>
      </c>
      <c r="C40" s="21" t="s">
        <v>44</v>
      </c>
      <c r="D40" s="82">
        <v>3000</v>
      </c>
      <c r="E40" s="82">
        <v>850</v>
      </c>
      <c r="F40" s="82">
        <v>650</v>
      </c>
      <c r="G40" s="82">
        <v>650</v>
      </c>
      <c r="H40" s="82">
        <v>850</v>
      </c>
      <c r="I40" s="139">
        <f t="shared" si="2"/>
        <v>3000</v>
      </c>
      <c r="J40" s="80">
        <v>3000</v>
      </c>
      <c r="K40" s="80">
        <v>3000</v>
      </c>
      <c r="L40" s="80">
        <v>3000</v>
      </c>
      <c r="M40" s="3"/>
    </row>
    <row r="41" spans="1:16" ht="15">
      <c r="A41" s="45"/>
      <c r="B41" s="44" t="s">
        <v>45</v>
      </c>
      <c r="C41" s="21" t="s">
        <v>46</v>
      </c>
      <c r="D41" s="82">
        <f>230+580</f>
        <v>810</v>
      </c>
      <c r="E41" s="82">
        <v>650</v>
      </c>
      <c r="F41" s="82">
        <v>50</v>
      </c>
      <c r="G41" s="82">
        <v>50</v>
      </c>
      <c r="H41" s="82">
        <v>60</v>
      </c>
      <c r="I41" s="139">
        <f t="shared" si="2"/>
        <v>810</v>
      </c>
      <c r="J41" s="80">
        <v>230</v>
      </c>
      <c r="K41" s="80">
        <v>230</v>
      </c>
      <c r="L41" s="80">
        <v>230</v>
      </c>
      <c r="M41" s="3"/>
    </row>
    <row r="42" spans="1:16" ht="12" customHeight="1">
      <c r="A42" s="45">
        <v>2</v>
      </c>
      <c r="B42" s="37" t="s">
        <v>47</v>
      </c>
      <c r="C42" s="21" t="s">
        <v>48</v>
      </c>
      <c r="D42" s="85">
        <f t="shared" ref="D42:L42" si="12">D43+D44+D45+D46+D47</f>
        <v>3900</v>
      </c>
      <c r="E42" s="85">
        <f t="shared" si="12"/>
        <v>175</v>
      </c>
      <c r="F42" s="85">
        <f t="shared" si="12"/>
        <v>1775</v>
      </c>
      <c r="G42" s="85">
        <f t="shared" si="12"/>
        <v>175</v>
      </c>
      <c r="H42" s="85">
        <f t="shared" si="12"/>
        <v>1775</v>
      </c>
      <c r="I42" s="139">
        <f t="shared" si="2"/>
        <v>3900</v>
      </c>
      <c r="J42" s="85">
        <f t="shared" si="12"/>
        <v>4000</v>
      </c>
      <c r="K42" s="85">
        <f t="shared" si="12"/>
        <v>4000</v>
      </c>
      <c r="L42" s="85">
        <f t="shared" si="12"/>
        <v>4000</v>
      </c>
      <c r="M42" s="3"/>
    </row>
    <row r="43" spans="1:16" ht="15.75" hidden="1" customHeight="1">
      <c r="A43" s="45"/>
      <c r="B43" s="44" t="s">
        <v>49</v>
      </c>
      <c r="C43" s="21" t="s">
        <v>50</v>
      </c>
      <c r="D43" s="82">
        <v>0</v>
      </c>
      <c r="E43" s="82"/>
      <c r="F43" s="82"/>
      <c r="G43" s="82"/>
      <c r="H43" s="82"/>
      <c r="I43" s="139">
        <f t="shared" si="2"/>
        <v>0</v>
      </c>
      <c r="J43" s="80"/>
      <c r="K43" s="80"/>
      <c r="L43" s="80"/>
      <c r="M43" s="3"/>
    </row>
    <row r="44" spans="1:16" ht="16.5" hidden="1" customHeight="1">
      <c r="A44" s="45"/>
      <c r="B44" s="44" t="s">
        <v>51</v>
      </c>
      <c r="C44" s="21" t="s">
        <v>52</v>
      </c>
      <c r="D44" s="82">
        <v>0</v>
      </c>
      <c r="E44" s="82"/>
      <c r="F44" s="82"/>
      <c r="G44" s="82"/>
      <c r="H44" s="82"/>
      <c r="I44" s="139">
        <f t="shared" si="2"/>
        <v>0</v>
      </c>
      <c r="J44" s="80"/>
      <c r="K44" s="80"/>
      <c r="L44" s="80"/>
      <c r="M44" s="3"/>
    </row>
    <row r="45" spans="1:16" ht="16.5" customHeight="1">
      <c r="A45" s="45"/>
      <c r="B45" s="44" t="s">
        <v>53</v>
      </c>
      <c r="C45" s="21" t="s">
        <v>54</v>
      </c>
      <c r="D45" s="82">
        <v>3800</v>
      </c>
      <c r="E45" s="82">
        <v>150</v>
      </c>
      <c r="F45" s="82">
        <v>1750</v>
      </c>
      <c r="G45" s="82">
        <v>150</v>
      </c>
      <c r="H45" s="82">
        <v>1750</v>
      </c>
      <c r="I45" s="139">
        <f t="shared" si="2"/>
        <v>3800</v>
      </c>
      <c r="J45" s="80">
        <v>3900</v>
      </c>
      <c r="K45" s="80">
        <v>3900</v>
      </c>
      <c r="L45" s="80">
        <v>3900</v>
      </c>
      <c r="M45" s="3"/>
    </row>
    <row r="46" spans="1:16" ht="12.75" hidden="1" customHeight="1">
      <c r="A46" s="45"/>
      <c r="B46" s="44" t="s">
        <v>55</v>
      </c>
      <c r="C46" s="21" t="s">
        <v>56</v>
      </c>
      <c r="D46" s="82">
        <v>0</v>
      </c>
      <c r="E46" s="82"/>
      <c r="F46" s="82"/>
      <c r="G46" s="82"/>
      <c r="H46" s="82"/>
      <c r="I46" s="139">
        <f t="shared" si="2"/>
        <v>0</v>
      </c>
      <c r="J46" s="80"/>
      <c r="K46" s="80"/>
      <c r="L46" s="80"/>
      <c r="M46" s="3"/>
    </row>
    <row r="47" spans="1:16" ht="15" customHeight="1">
      <c r="A47" s="45"/>
      <c r="B47" s="44" t="s">
        <v>57</v>
      </c>
      <c r="C47" s="21" t="s">
        <v>58</v>
      </c>
      <c r="D47" s="85">
        <f t="shared" ref="D47:L47" si="13">D48</f>
        <v>100</v>
      </c>
      <c r="E47" s="85">
        <f t="shared" si="13"/>
        <v>25</v>
      </c>
      <c r="F47" s="85">
        <f t="shared" si="13"/>
        <v>25</v>
      </c>
      <c r="G47" s="85">
        <f t="shared" si="13"/>
        <v>25</v>
      </c>
      <c r="H47" s="85">
        <f t="shared" si="13"/>
        <v>25</v>
      </c>
      <c r="I47" s="139">
        <f t="shared" si="2"/>
        <v>100</v>
      </c>
      <c r="J47" s="85">
        <f t="shared" si="13"/>
        <v>100</v>
      </c>
      <c r="K47" s="85">
        <f t="shared" si="13"/>
        <v>100</v>
      </c>
      <c r="L47" s="85">
        <f t="shared" si="13"/>
        <v>100</v>
      </c>
      <c r="M47" s="3"/>
    </row>
    <row r="48" spans="1:16" ht="12.75" customHeight="1">
      <c r="A48" s="45"/>
      <c r="B48" s="44" t="s">
        <v>59</v>
      </c>
      <c r="C48" s="21" t="s">
        <v>60</v>
      </c>
      <c r="D48" s="82">
        <v>100</v>
      </c>
      <c r="E48" s="82">
        <v>25</v>
      </c>
      <c r="F48" s="82">
        <v>25</v>
      </c>
      <c r="G48" s="82">
        <v>25</v>
      </c>
      <c r="H48" s="82">
        <v>25</v>
      </c>
      <c r="I48" s="139">
        <f t="shared" si="2"/>
        <v>100</v>
      </c>
      <c r="J48" s="80">
        <v>100</v>
      </c>
      <c r="K48" s="80">
        <v>100</v>
      </c>
      <c r="L48" s="80">
        <v>100</v>
      </c>
      <c r="M48" s="3"/>
    </row>
    <row r="49" spans="1:13" ht="14.25">
      <c r="A49" s="45">
        <v>3</v>
      </c>
      <c r="B49" s="37" t="s">
        <v>61</v>
      </c>
      <c r="C49" s="21">
        <v>33.020000000000003</v>
      </c>
      <c r="D49" s="85">
        <f t="shared" ref="D49:L49" si="14">D51+D52+D53+D50</f>
        <v>1728</v>
      </c>
      <c r="E49" s="85">
        <f t="shared" si="14"/>
        <v>357</v>
      </c>
      <c r="F49" s="85">
        <f t="shared" si="14"/>
        <v>457</v>
      </c>
      <c r="G49" s="85">
        <f t="shared" si="14"/>
        <v>457</v>
      </c>
      <c r="H49" s="85">
        <f t="shared" si="14"/>
        <v>457</v>
      </c>
      <c r="I49" s="139">
        <f t="shared" si="2"/>
        <v>1728</v>
      </c>
      <c r="J49" s="85">
        <f t="shared" si="14"/>
        <v>2828</v>
      </c>
      <c r="K49" s="85">
        <f t="shared" si="14"/>
        <v>3098</v>
      </c>
      <c r="L49" s="85">
        <f t="shared" si="14"/>
        <v>3378</v>
      </c>
      <c r="M49" s="3"/>
    </row>
    <row r="50" spans="1:13" ht="15">
      <c r="A50" s="45"/>
      <c r="B50" s="44" t="s">
        <v>733</v>
      </c>
      <c r="C50" s="21" t="s">
        <v>458</v>
      </c>
      <c r="D50" s="82">
        <f>1400+880-580</f>
        <v>1700</v>
      </c>
      <c r="E50" s="82">
        <v>350</v>
      </c>
      <c r="F50" s="82">
        <v>450</v>
      </c>
      <c r="G50" s="82">
        <v>450</v>
      </c>
      <c r="H50" s="82">
        <v>450</v>
      </c>
      <c r="I50" s="217">
        <f t="shared" si="2"/>
        <v>1700</v>
      </c>
      <c r="J50" s="82">
        <v>2800</v>
      </c>
      <c r="K50" s="82">
        <v>3070</v>
      </c>
      <c r="L50" s="82">
        <v>3350</v>
      </c>
      <c r="M50" s="3"/>
    </row>
    <row r="51" spans="1:13" ht="15">
      <c r="A51" s="45"/>
      <c r="B51" s="44" t="s">
        <v>62</v>
      </c>
      <c r="C51" s="21" t="s">
        <v>63</v>
      </c>
      <c r="D51" s="82">
        <v>16</v>
      </c>
      <c r="E51" s="82">
        <v>4</v>
      </c>
      <c r="F51" s="82">
        <v>4</v>
      </c>
      <c r="G51" s="82">
        <v>4</v>
      </c>
      <c r="H51" s="82">
        <v>4</v>
      </c>
      <c r="I51" s="139">
        <f t="shared" si="2"/>
        <v>16</v>
      </c>
      <c r="J51" s="80">
        <v>16</v>
      </c>
      <c r="K51" s="80">
        <v>16</v>
      </c>
      <c r="L51" s="80">
        <v>16</v>
      </c>
      <c r="M51" s="3"/>
    </row>
    <row r="52" spans="1:13" ht="14.25" hidden="1" customHeight="1">
      <c r="A52" s="45"/>
      <c r="B52" s="44" t="s">
        <v>64</v>
      </c>
      <c r="C52" s="21" t="s">
        <v>65</v>
      </c>
      <c r="D52" s="82"/>
      <c r="E52" s="82"/>
      <c r="F52" s="82"/>
      <c r="G52" s="82"/>
      <c r="H52" s="82"/>
      <c r="I52" s="139">
        <f t="shared" si="2"/>
        <v>0</v>
      </c>
      <c r="J52" s="80"/>
      <c r="K52" s="80"/>
      <c r="L52" s="80"/>
      <c r="M52" s="3"/>
    </row>
    <row r="53" spans="1:13" ht="14.25" customHeight="1">
      <c r="A53" s="45"/>
      <c r="B53" s="44" t="s">
        <v>61</v>
      </c>
      <c r="C53" s="21" t="s">
        <v>66</v>
      </c>
      <c r="D53" s="82">
        <v>12</v>
      </c>
      <c r="E53" s="82">
        <v>3</v>
      </c>
      <c r="F53" s="82">
        <v>3</v>
      </c>
      <c r="G53" s="82">
        <v>3</v>
      </c>
      <c r="H53" s="82">
        <v>3</v>
      </c>
      <c r="I53" s="139">
        <f t="shared" si="2"/>
        <v>12</v>
      </c>
      <c r="J53" s="80">
        <v>12</v>
      </c>
      <c r="K53" s="80">
        <v>12</v>
      </c>
      <c r="L53" s="80">
        <v>12</v>
      </c>
      <c r="M53" s="3"/>
    </row>
    <row r="54" spans="1:13" ht="14.25" customHeight="1">
      <c r="A54" s="45">
        <v>4</v>
      </c>
      <c r="B54" s="37" t="s">
        <v>67</v>
      </c>
      <c r="C54" s="21">
        <v>35.020000000000003</v>
      </c>
      <c r="D54" s="149">
        <f t="shared" ref="D54:L54" si="15">D55</f>
        <v>40</v>
      </c>
      <c r="E54" s="149">
        <f t="shared" si="15"/>
        <v>10</v>
      </c>
      <c r="F54" s="149">
        <f t="shared" si="15"/>
        <v>10</v>
      </c>
      <c r="G54" s="149">
        <f t="shared" si="15"/>
        <v>10</v>
      </c>
      <c r="H54" s="149">
        <f t="shared" si="15"/>
        <v>10</v>
      </c>
      <c r="I54" s="265">
        <f t="shared" si="2"/>
        <v>40</v>
      </c>
      <c r="J54" s="149">
        <f t="shared" si="15"/>
        <v>40</v>
      </c>
      <c r="K54" s="149">
        <f t="shared" si="15"/>
        <v>40</v>
      </c>
      <c r="L54" s="149">
        <f t="shared" si="15"/>
        <v>40</v>
      </c>
      <c r="M54" s="3"/>
    </row>
    <row r="55" spans="1:13" ht="15" customHeight="1">
      <c r="A55" s="45"/>
      <c r="B55" s="44" t="s">
        <v>68</v>
      </c>
      <c r="C55" s="21" t="s">
        <v>69</v>
      </c>
      <c r="D55" s="82">
        <v>40</v>
      </c>
      <c r="E55" s="82">
        <v>10</v>
      </c>
      <c r="F55" s="82">
        <v>10</v>
      </c>
      <c r="G55" s="82">
        <v>10</v>
      </c>
      <c r="H55" s="82">
        <v>10</v>
      </c>
      <c r="I55" s="139">
        <f t="shared" si="2"/>
        <v>40</v>
      </c>
      <c r="J55" s="80">
        <v>40</v>
      </c>
      <c r="K55" s="80">
        <v>40</v>
      </c>
      <c r="L55" s="80">
        <v>40</v>
      </c>
      <c r="M55" s="3"/>
    </row>
    <row r="56" spans="1:13" ht="13.5" customHeight="1">
      <c r="A56" s="45">
        <v>5</v>
      </c>
      <c r="B56" s="37" t="s">
        <v>70</v>
      </c>
      <c r="C56" s="21">
        <v>36.020000000000003</v>
      </c>
      <c r="D56" s="149">
        <f t="shared" ref="D56:L56" si="16">D57+D58</f>
        <v>50</v>
      </c>
      <c r="E56" s="149">
        <f t="shared" si="16"/>
        <v>13</v>
      </c>
      <c r="F56" s="149">
        <f t="shared" si="16"/>
        <v>12</v>
      </c>
      <c r="G56" s="149">
        <f t="shared" si="16"/>
        <v>13</v>
      </c>
      <c r="H56" s="149">
        <f t="shared" si="16"/>
        <v>12</v>
      </c>
      <c r="I56" s="139">
        <f t="shared" si="2"/>
        <v>50</v>
      </c>
      <c r="J56" s="149">
        <f t="shared" si="16"/>
        <v>50</v>
      </c>
      <c r="K56" s="149">
        <f t="shared" si="16"/>
        <v>50</v>
      </c>
      <c r="L56" s="149">
        <f t="shared" si="16"/>
        <v>50</v>
      </c>
      <c r="M56" s="3"/>
    </row>
    <row r="57" spans="1:13" ht="14.25" hidden="1" customHeight="1">
      <c r="A57" s="45"/>
      <c r="B57" s="44" t="s">
        <v>71</v>
      </c>
      <c r="C57" s="21" t="s">
        <v>72</v>
      </c>
      <c r="D57" s="82">
        <v>0</v>
      </c>
      <c r="E57" s="82"/>
      <c r="F57" s="82"/>
      <c r="G57" s="82"/>
      <c r="H57" s="82"/>
      <c r="I57" s="139">
        <f t="shared" si="2"/>
        <v>0</v>
      </c>
      <c r="J57" s="80"/>
      <c r="K57" s="80"/>
      <c r="L57" s="80"/>
      <c r="M57" s="3"/>
    </row>
    <row r="58" spans="1:13" ht="16.5" customHeight="1">
      <c r="A58" s="45"/>
      <c r="B58" s="44" t="s">
        <v>73</v>
      </c>
      <c r="C58" s="21" t="s">
        <v>74</v>
      </c>
      <c r="D58" s="82">
        <v>50</v>
      </c>
      <c r="E58" s="82">
        <v>13</v>
      </c>
      <c r="F58" s="82">
        <v>12</v>
      </c>
      <c r="G58" s="82">
        <v>13</v>
      </c>
      <c r="H58" s="82">
        <v>12</v>
      </c>
      <c r="I58" s="139">
        <f t="shared" si="2"/>
        <v>50</v>
      </c>
      <c r="J58" s="80">
        <v>50</v>
      </c>
      <c r="K58" s="80">
        <v>50</v>
      </c>
      <c r="L58" s="80">
        <v>50</v>
      </c>
      <c r="M58" s="3"/>
    </row>
    <row r="59" spans="1:13" ht="17.25" customHeight="1">
      <c r="A59" s="45">
        <v>6</v>
      </c>
      <c r="B59" s="37" t="s">
        <v>75</v>
      </c>
      <c r="C59" s="21">
        <v>37.020000000000003</v>
      </c>
      <c r="D59" s="149">
        <f t="shared" ref="D59:H59" si="17">D60+D63</f>
        <v>46.879999999999995</v>
      </c>
      <c r="E59" s="149">
        <f t="shared" si="17"/>
        <v>46.879999999999995</v>
      </c>
      <c r="F59" s="149">
        <f t="shared" si="17"/>
        <v>0</v>
      </c>
      <c r="G59" s="149">
        <f t="shared" si="17"/>
        <v>0</v>
      </c>
      <c r="H59" s="149">
        <f t="shared" si="17"/>
        <v>0</v>
      </c>
      <c r="I59" s="139">
        <f t="shared" si="2"/>
        <v>46.879999999999995</v>
      </c>
      <c r="J59" s="86">
        <f t="shared" ref="J59:L59" si="18">J60+J63+J61+J62</f>
        <v>0</v>
      </c>
      <c r="K59" s="86">
        <f t="shared" si="18"/>
        <v>0</v>
      </c>
      <c r="L59" s="86">
        <f t="shared" si="18"/>
        <v>0</v>
      </c>
      <c r="M59" s="3"/>
    </row>
    <row r="60" spans="1:13" ht="18.75" customHeight="1">
      <c r="A60" s="45"/>
      <c r="B60" s="44" t="s">
        <v>76</v>
      </c>
      <c r="C60" s="21" t="s">
        <v>77</v>
      </c>
      <c r="D60" s="82">
        <f>12.66+30+4.22</f>
        <v>46.879999999999995</v>
      </c>
      <c r="E60" s="82">
        <f>42.66+4.22</f>
        <v>46.879999999999995</v>
      </c>
      <c r="F60" s="82"/>
      <c r="G60" s="82"/>
      <c r="H60" s="82"/>
      <c r="I60" s="139">
        <f t="shared" si="2"/>
        <v>46.879999999999995</v>
      </c>
      <c r="J60" s="80"/>
      <c r="K60" s="80"/>
      <c r="L60" s="80"/>
      <c r="M60" s="3"/>
    </row>
    <row r="61" spans="1:13" ht="28.5" customHeight="1">
      <c r="A61" s="45"/>
      <c r="B61" s="43" t="s">
        <v>78</v>
      </c>
      <c r="C61" s="21" t="s">
        <v>79</v>
      </c>
      <c r="D61" s="80">
        <f>-D227+D95+D79+D92-D1022</f>
        <v>-10000</v>
      </c>
      <c r="E61" s="80">
        <f>-E227+E95+E79+E92-E1022</f>
        <v>0</v>
      </c>
      <c r="F61" s="80">
        <f>-F227+F95+F79+F92-F1022</f>
        <v>-2000</v>
      </c>
      <c r="G61" s="80">
        <f>-G227+G95+G79+G92-G1022</f>
        <v>-4000</v>
      </c>
      <c r="H61" s="80">
        <f>-H227+H95+H79+H92-H1022</f>
        <v>-4000</v>
      </c>
      <c r="I61" s="139">
        <f t="shared" si="2"/>
        <v>-10000</v>
      </c>
      <c r="J61" s="80">
        <f t="shared" ref="J61:L61" si="19">-J227+J95+J79+J92</f>
        <v>-3470</v>
      </c>
      <c r="K61" s="80">
        <f t="shared" si="19"/>
        <v>-3495</v>
      </c>
      <c r="L61" s="80">
        <f t="shared" si="19"/>
        <v>-1261</v>
      </c>
      <c r="M61" s="3"/>
    </row>
    <row r="62" spans="1:13" ht="15">
      <c r="A62" s="45"/>
      <c r="B62" s="44" t="s">
        <v>80</v>
      </c>
      <c r="C62" s="21" t="s">
        <v>81</v>
      </c>
      <c r="D62" s="82">
        <f t="shared" ref="D62:L62" si="20">-D61</f>
        <v>10000</v>
      </c>
      <c r="E62" s="82">
        <f t="shared" si="20"/>
        <v>0</v>
      </c>
      <c r="F62" s="82">
        <f t="shared" si="20"/>
        <v>2000</v>
      </c>
      <c r="G62" s="82">
        <f t="shared" si="20"/>
        <v>4000</v>
      </c>
      <c r="H62" s="82">
        <f t="shared" si="20"/>
        <v>4000</v>
      </c>
      <c r="I62" s="139">
        <f t="shared" si="2"/>
        <v>10000</v>
      </c>
      <c r="J62" s="82">
        <f t="shared" si="20"/>
        <v>3470</v>
      </c>
      <c r="K62" s="82">
        <f t="shared" si="20"/>
        <v>3495</v>
      </c>
      <c r="L62" s="82">
        <f t="shared" si="20"/>
        <v>1261</v>
      </c>
      <c r="M62" s="3"/>
    </row>
    <row r="63" spans="1:13" ht="17.25" hidden="1" customHeight="1">
      <c r="A63" s="45"/>
      <c r="B63" s="44" t="s">
        <v>82</v>
      </c>
      <c r="C63" s="21" t="s">
        <v>83</v>
      </c>
      <c r="D63" s="82">
        <v>0</v>
      </c>
      <c r="E63" s="82"/>
      <c r="F63" s="82"/>
      <c r="G63" s="82"/>
      <c r="H63" s="82"/>
      <c r="I63" s="139">
        <f t="shared" si="2"/>
        <v>0</v>
      </c>
      <c r="J63" s="80"/>
      <c r="K63" s="80"/>
      <c r="L63" s="80"/>
      <c r="M63" s="3"/>
    </row>
    <row r="64" spans="1:13" ht="18" hidden="1" customHeight="1">
      <c r="A64" s="45">
        <v>7</v>
      </c>
      <c r="B64" s="37" t="s">
        <v>84</v>
      </c>
      <c r="C64" s="21">
        <v>39</v>
      </c>
      <c r="D64" s="82">
        <f t="shared" ref="D64:L64" si="21">D65+D66</f>
        <v>0</v>
      </c>
      <c r="E64" s="82">
        <f t="shared" si="21"/>
        <v>0</v>
      </c>
      <c r="F64" s="82">
        <f t="shared" si="21"/>
        <v>0</v>
      </c>
      <c r="G64" s="82">
        <f t="shared" si="21"/>
        <v>0</v>
      </c>
      <c r="H64" s="82">
        <f t="shared" si="21"/>
        <v>0</v>
      </c>
      <c r="I64" s="139">
        <f t="shared" si="2"/>
        <v>0</v>
      </c>
      <c r="J64" s="82">
        <f t="shared" si="21"/>
        <v>0</v>
      </c>
      <c r="K64" s="82">
        <f t="shared" si="21"/>
        <v>0</v>
      </c>
      <c r="L64" s="82">
        <f t="shared" si="21"/>
        <v>0</v>
      </c>
      <c r="M64" s="3"/>
    </row>
    <row r="65" spans="1:17" ht="18.75" hidden="1" customHeight="1">
      <c r="A65" s="45"/>
      <c r="B65" s="44" t="s">
        <v>85</v>
      </c>
      <c r="C65" s="21" t="s">
        <v>86</v>
      </c>
      <c r="D65" s="82">
        <v>0</v>
      </c>
      <c r="E65" s="82"/>
      <c r="F65" s="82"/>
      <c r="G65" s="82"/>
      <c r="H65" s="82"/>
      <c r="I65" s="139">
        <f t="shared" si="2"/>
        <v>0</v>
      </c>
      <c r="J65" s="80"/>
      <c r="K65" s="80"/>
      <c r="L65" s="80"/>
      <c r="M65" s="3"/>
    </row>
    <row r="66" spans="1:17" ht="11.25" hidden="1" customHeight="1">
      <c r="A66" s="45"/>
      <c r="B66" s="44" t="s">
        <v>87</v>
      </c>
      <c r="C66" s="21" t="s">
        <v>88</v>
      </c>
      <c r="D66" s="82">
        <v>0</v>
      </c>
      <c r="E66" s="82"/>
      <c r="F66" s="82"/>
      <c r="G66" s="82"/>
      <c r="H66" s="82"/>
      <c r="I66" s="139">
        <f t="shared" si="2"/>
        <v>0</v>
      </c>
      <c r="J66" s="80"/>
      <c r="K66" s="80"/>
      <c r="L66" s="80"/>
      <c r="M66" s="3"/>
    </row>
    <row r="67" spans="1:17" ht="11.25" hidden="1" customHeight="1">
      <c r="A67" s="45">
        <v>8</v>
      </c>
      <c r="B67" s="44" t="s">
        <v>89</v>
      </c>
      <c r="C67" s="21">
        <v>40</v>
      </c>
      <c r="D67" s="82">
        <f>D68</f>
        <v>0</v>
      </c>
      <c r="E67" s="82">
        <f t="shared" ref="E67:H67" si="22">E68</f>
        <v>0</v>
      </c>
      <c r="F67" s="82">
        <f t="shared" si="22"/>
        <v>0</v>
      </c>
      <c r="G67" s="82">
        <f t="shared" si="22"/>
        <v>0</v>
      </c>
      <c r="H67" s="82">
        <f t="shared" si="22"/>
        <v>0</v>
      </c>
      <c r="I67" s="139">
        <f t="shared" si="2"/>
        <v>0</v>
      </c>
      <c r="J67" s="80"/>
      <c r="K67" s="80"/>
      <c r="L67" s="80"/>
      <c r="M67" s="3"/>
    </row>
    <row r="68" spans="1:17" ht="11.25" hidden="1" customHeight="1">
      <c r="A68" s="45"/>
      <c r="B68" s="44" t="s">
        <v>90</v>
      </c>
      <c r="C68" s="21">
        <v>4014</v>
      </c>
      <c r="D68" s="82"/>
      <c r="E68" s="82"/>
      <c r="F68" s="82"/>
      <c r="G68" s="82"/>
      <c r="H68" s="82"/>
      <c r="I68" s="139">
        <f t="shared" si="2"/>
        <v>0</v>
      </c>
      <c r="J68" s="80"/>
      <c r="K68" s="80"/>
      <c r="L68" s="80"/>
      <c r="M68" s="3"/>
    </row>
    <row r="69" spans="1:17" ht="11.25" hidden="1" customHeight="1">
      <c r="A69" s="45"/>
      <c r="B69" s="44"/>
      <c r="C69" s="21"/>
      <c r="D69" s="82"/>
      <c r="E69" s="82"/>
      <c r="F69" s="82"/>
      <c r="G69" s="82"/>
      <c r="H69" s="82"/>
      <c r="I69" s="139">
        <f t="shared" si="2"/>
        <v>0</v>
      </c>
      <c r="J69" s="80"/>
      <c r="K69" s="80"/>
      <c r="L69" s="80"/>
      <c r="M69" s="3"/>
    </row>
    <row r="70" spans="1:17" ht="14.25">
      <c r="A70" s="30" t="s">
        <v>91</v>
      </c>
      <c r="B70" s="37" t="s">
        <v>92</v>
      </c>
      <c r="C70" s="21" t="s">
        <v>93</v>
      </c>
      <c r="D70" s="81">
        <f t="shared" ref="D70:L70" si="23">D71</f>
        <v>9476</v>
      </c>
      <c r="E70" s="81">
        <f t="shared" si="23"/>
        <v>3960</v>
      </c>
      <c r="F70" s="81">
        <f t="shared" si="23"/>
        <v>2109</v>
      </c>
      <c r="G70" s="81">
        <f t="shared" si="23"/>
        <v>1902</v>
      </c>
      <c r="H70" s="81">
        <f t="shared" si="23"/>
        <v>1505</v>
      </c>
      <c r="I70" s="139">
        <f t="shared" si="2"/>
        <v>9476</v>
      </c>
      <c r="J70" s="81">
        <f t="shared" si="23"/>
        <v>8568</v>
      </c>
      <c r="K70" s="81">
        <f t="shared" si="23"/>
        <v>8569</v>
      </c>
      <c r="L70" s="81">
        <f t="shared" si="23"/>
        <v>7691</v>
      </c>
      <c r="M70" s="3"/>
    </row>
    <row r="71" spans="1:17" ht="14.25" customHeight="1">
      <c r="A71" s="45"/>
      <c r="B71" s="44" t="s">
        <v>94</v>
      </c>
      <c r="C71" s="21">
        <v>42.02</v>
      </c>
      <c r="D71" s="78">
        <f t="shared" ref="D71:L71" si="24">D72+D73+D77+D78+D79+D80+D82+D83+D84+D85+D88+D89+D81+D91+D92+D93+D87</f>
        <v>9476</v>
      </c>
      <c r="E71" s="78">
        <f t="shared" si="24"/>
        <v>3960</v>
      </c>
      <c r="F71" s="78">
        <f t="shared" si="24"/>
        <v>2109</v>
      </c>
      <c r="G71" s="78">
        <f t="shared" si="24"/>
        <v>1902</v>
      </c>
      <c r="H71" s="78">
        <f t="shared" si="24"/>
        <v>1505</v>
      </c>
      <c r="I71" s="78">
        <f t="shared" si="24"/>
        <v>54308</v>
      </c>
      <c r="J71" s="78">
        <f t="shared" si="24"/>
        <v>8568</v>
      </c>
      <c r="K71" s="78">
        <f t="shared" si="24"/>
        <v>8569</v>
      </c>
      <c r="L71" s="78">
        <f t="shared" si="24"/>
        <v>7691</v>
      </c>
      <c r="M71" s="3"/>
    </row>
    <row r="72" spans="1:17" ht="15.75" hidden="1" customHeight="1">
      <c r="A72" s="45"/>
      <c r="B72" s="32" t="s">
        <v>95</v>
      </c>
      <c r="C72" s="21" t="s">
        <v>96</v>
      </c>
      <c r="D72" s="82">
        <v>0</v>
      </c>
      <c r="E72" s="82"/>
      <c r="F72" s="82"/>
      <c r="G72" s="82"/>
      <c r="H72" s="82"/>
      <c r="I72" s="139">
        <f t="shared" si="2"/>
        <v>0</v>
      </c>
      <c r="J72" s="80"/>
      <c r="K72" s="80"/>
      <c r="L72" s="80"/>
      <c r="M72" s="3"/>
    </row>
    <row r="73" spans="1:17" ht="16.5" hidden="1" customHeight="1">
      <c r="A73" s="45"/>
      <c r="B73" s="32" t="s">
        <v>97</v>
      </c>
      <c r="C73" s="99" t="s">
        <v>98</v>
      </c>
      <c r="D73" s="90">
        <f>D74+D75+D76</f>
        <v>0</v>
      </c>
      <c r="E73" s="90">
        <f t="shared" ref="E73:H73" si="25">E74+E75+E76</f>
        <v>0</v>
      </c>
      <c r="F73" s="90">
        <f t="shared" si="25"/>
        <v>0</v>
      </c>
      <c r="G73" s="90">
        <f t="shared" si="25"/>
        <v>0</v>
      </c>
      <c r="H73" s="90">
        <f t="shared" si="25"/>
        <v>0</v>
      </c>
      <c r="I73" s="139">
        <f t="shared" si="2"/>
        <v>0</v>
      </c>
      <c r="J73" s="80"/>
      <c r="K73" s="80"/>
      <c r="L73" s="80"/>
      <c r="M73" s="3"/>
    </row>
    <row r="74" spans="1:17" ht="30.75" hidden="1" customHeight="1">
      <c r="A74" s="45"/>
      <c r="B74" s="46" t="s">
        <v>99</v>
      </c>
      <c r="C74" s="21" t="s">
        <v>100</v>
      </c>
      <c r="D74" s="82">
        <v>0</v>
      </c>
      <c r="E74" s="82"/>
      <c r="F74" s="82"/>
      <c r="G74" s="82"/>
      <c r="H74" s="82"/>
      <c r="I74" s="139">
        <f t="shared" si="2"/>
        <v>0</v>
      </c>
      <c r="J74" s="80"/>
      <c r="K74" s="80"/>
      <c r="L74" s="80"/>
      <c r="M74" s="3"/>
    </row>
    <row r="75" spans="1:17" ht="15" hidden="1" customHeight="1">
      <c r="A75" s="45"/>
      <c r="B75" s="32" t="s">
        <v>101</v>
      </c>
      <c r="C75" s="21" t="s">
        <v>102</v>
      </c>
      <c r="D75" s="82">
        <v>0</v>
      </c>
      <c r="E75" s="82"/>
      <c r="F75" s="82"/>
      <c r="G75" s="82"/>
      <c r="H75" s="82"/>
      <c r="I75" s="139">
        <f t="shared" si="2"/>
        <v>0</v>
      </c>
      <c r="J75" s="80"/>
      <c r="K75" s="80"/>
      <c r="L75" s="80"/>
      <c r="M75" s="3"/>
    </row>
    <row r="76" spans="1:17" ht="18.75" hidden="1" customHeight="1">
      <c r="A76" s="45"/>
      <c r="B76" s="32" t="s">
        <v>103</v>
      </c>
      <c r="C76" s="21" t="s">
        <v>104</v>
      </c>
      <c r="D76" s="82">
        <v>0</v>
      </c>
      <c r="E76" s="82"/>
      <c r="F76" s="82"/>
      <c r="G76" s="82"/>
      <c r="H76" s="82"/>
      <c r="I76" s="139">
        <f t="shared" ref="I76:I139" si="26">E76+F76+G76+H76</f>
        <v>0</v>
      </c>
      <c r="J76" s="80"/>
      <c r="K76" s="80"/>
      <c r="L76" s="80"/>
      <c r="M76" s="3"/>
    </row>
    <row r="77" spans="1:17" ht="25.5" hidden="1" customHeight="1">
      <c r="A77" s="45"/>
      <c r="B77" s="46" t="s">
        <v>105</v>
      </c>
      <c r="C77" s="21" t="s">
        <v>106</v>
      </c>
      <c r="D77" s="82">
        <v>0</v>
      </c>
      <c r="E77" s="82"/>
      <c r="F77" s="82"/>
      <c r="G77" s="82"/>
      <c r="H77" s="82"/>
      <c r="I77" s="139">
        <f t="shared" si="26"/>
        <v>0</v>
      </c>
      <c r="J77" s="80"/>
      <c r="K77" s="80"/>
      <c r="L77" s="80"/>
      <c r="M77" s="3"/>
    </row>
    <row r="78" spans="1:17" ht="25.5" hidden="1" customHeight="1">
      <c r="A78" s="45"/>
      <c r="B78" s="46" t="s">
        <v>107</v>
      </c>
      <c r="C78" s="21" t="s">
        <v>108</v>
      </c>
      <c r="D78" s="82">
        <v>0</v>
      </c>
      <c r="E78" s="82"/>
      <c r="F78" s="82"/>
      <c r="G78" s="82"/>
      <c r="H78" s="82"/>
      <c r="I78" s="139">
        <f t="shared" si="26"/>
        <v>0</v>
      </c>
      <c r="J78" s="80"/>
      <c r="K78" s="80"/>
      <c r="L78" s="80"/>
      <c r="M78" s="3"/>
    </row>
    <row r="79" spans="1:17" ht="15" hidden="1">
      <c r="A79" s="45"/>
      <c r="B79" s="32" t="s">
        <v>109</v>
      </c>
      <c r="C79" s="21" t="s">
        <v>110</v>
      </c>
      <c r="D79" s="80"/>
      <c r="E79" s="80"/>
      <c r="F79" s="80"/>
      <c r="G79" s="80"/>
      <c r="H79" s="80"/>
      <c r="I79" s="139">
        <f t="shared" si="26"/>
        <v>0</v>
      </c>
      <c r="J79" s="80"/>
      <c r="K79" s="80"/>
      <c r="L79" s="80"/>
      <c r="M79" s="3"/>
    </row>
    <row r="80" spans="1:17" ht="15">
      <c r="A80" s="45"/>
      <c r="B80" s="32" t="s">
        <v>111</v>
      </c>
      <c r="C80" s="21" t="s">
        <v>112</v>
      </c>
      <c r="D80" s="87">
        <f>D693</f>
        <v>1525</v>
      </c>
      <c r="E80" s="87">
        <f>E693</f>
        <v>393</v>
      </c>
      <c r="F80" s="87">
        <f>F693</f>
        <v>407</v>
      </c>
      <c r="G80" s="87">
        <f>G693</f>
        <v>520</v>
      </c>
      <c r="H80" s="87">
        <f>H693</f>
        <v>205</v>
      </c>
      <c r="I80" s="139">
        <f t="shared" si="26"/>
        <v>1525</v>
      </c>
      <c r="J80" s="87">
        <f>J693</f>
        <v>1625</v>
      </c>
      <c r="K80" s="87">
        <f>K693</f>
        <v>1735</v>
      </c>
      <c r="L80" s="87">
        <f>L693</f>
        <v>1845</v>
      </c>
      <c r="M80" s="3"/>
      <c r="Q80" s="2">
        <f>273*20986</f>
        <v>5729178</v>
      </c>
    </row>
    <row r="81" spans="1:13" ht="15" hidden="1" customHeight="1">
      <c r="A81" s="45"/>
      <c r="B81" s="32" t="s">
        <v>113</v>
      </c>
      <c r="C81" s="21" t="s">
        <v>114</v>
      </c>
      <c r="D81" s="82">
        <v>0</v>
      </c>
      <c r="E81" s="82"/>
      <c r="F81" s="82"/>
      <c r="G81" s="82"/>
      <c r="H81" s="82"/>
      <c r="I81" s="139">
        <f t="shared" si="26"/>
        <v>0</v>
      </c>
      <c r="J81" s="80"/>
      <c r="K81" s="80"/>
      <c r="L81" s="80"/>
      <c r="M81" s="3"/>
    </row>
    <row r="82" spans="1:13" ht="13.5" hidden="1" customHeight="1">
      <c r="A82" s="45"/>
      <c r="B82" s="32" t="s">
        <v>115</v>
      </c>
      <c r="C82" s="21" t="s">
        <v>116</v>
      </c>
      <c r="D82" s="82">
        <v>0</v>
      </c>
      <c r="E82" s="82"/>
      <c r="F82" s="82"/>
      <c r="G82" s="82"/>
      <c r="H82" s="82"/>
      <c r="I82" s="139">
        <f t="shared" si="26"/>
        <v>0</v>
      </c>
      <c r="J82" s="80"/>
      <c r="K82" s="80"/>
      <c r="L82" s="80"/>
      <c r="M82" s="3"/>
    </row>
    <row r="83" spans="1:13" ht="15" hidden="1" customHeight="1">
      <c r="A83" s="45"/>
      <c r="B83" s="32" t="s">
        <v>117</v>
      </c>
      <c r="C83" s="21" t="s">
        <v>118</v>
      </c>
      <c r="D83" s="82">
        <v>0</v>
      </c>
      <c r="E83" s="82"/>
      <c r="F83" s="82"/>
      <c r="G83" s="82"/>
      <c r="H83" s="82"/>
      <c r="I83" s="139">
        <f t="shared" si="26"/>
        <v>0</v>
      </c>
      <c r="J83" s="80"/>
      <c r="K83" s="80"/>
      <c r="L83" s="80"/>
      <c r="M83" s="3"/>
    </row>
    <row r="84" spans="1:13" ht="16.5" customHeight="1">
      <c r="A84" s="45"/>
      <c r="B84" s="32" t="s">
        <v>119</v>
      </c>
      <c r="C84" s="21" t="s">
        <v>120</v>
      </c>
      <c r="D84" s="87">
        <f>5730-284</f>
        <v>5446</v>
      </c>
      <c r="E84" s="87">
        <f>1440-58</f>
        <v>1382</v>
      </c>
      <c r="F84" s="87">
        <f>1463-81</f>
        <v>1382</v>
      </c>
      <c r="G84" s="87">
        <f>1462-80</f>
        <v>1382</v>
      </c>
      <c r="H84" s="87">
        <f>1380-15-65</f>
        <v>1300</v>
      </c>
      <c r="I84" s="139">
        <f t="shared" si="26"/>
        <v>5446</v>
      </c>
      <c r="J84" s="87">
        <v>5730</v>
      </c>
      <c r="K84" s="87">
        <v>5730</v>
      </c>
      <c r="L84" s="87">
        <v>5730</v>
      </c>
      <c r="M84" s="3"/>
    </row>
    <row r="85" spans="1:13" ht="17.25" hidden="1" customHeight="1">
      <c r="A85" s="45"/>
      <c r="B85" s="32" t="s">
        <v>121</v>
      </c>
      <c r="C85" s="21" t="s">
        <v>122</v>
      </c>
      <c r="D85" s="82"/>
      <c r="E85" s="82"/>
      <c r="F85" s="82"/>
      <c r="G85" s="82"/>
      <c r="H85" s="82"/>
      <c r="I85" s="139">
        <f t="shared" si="26"/>
        <v>0</v>
      </c>
      <c r="J85" s="80"/>
      <c r="K85" s="80"/>
      <c r="L85" s="80"/>
      <c r="M85" s="3"/>
    </row>
    <row r="86" spans="1:13" ht="17.25" hidden="1" customHeight="1">
      <c r="A86" s="45"/>
      <c r="B86" s="32" t="s">
        <v>123</v>
      </c>
      <c r="C86" s="21" t="s">
        <v>124</v>
      </c>
      <c r="D86" s="82">
        <v>0</v>
      </c>
      <c r="E86" s="82"/>
      <c r="F86" s="82"/>
      <c r="G86" s="82"/>
      <c r="H86" s="82"/>
      <c r="I86" s="139">
        <f t="shared" si="26"/>
        <v>0</v>
      </c>
      <c r="J86" s="80"/>
      <c r="K86" s="80"/>
      <c r="L86" s="80"/>
      <c r="M86" s="3"/>
    </row>
    <row r="87" spans="1:13" ht="27.75" hidden="1" customHeight="1">
      <c r="A87" s="45"/>
      <c r="B87" s="46" t="s">
        <v>125</v>
      </c>
      <c r="C87" s="21" t="s">
        <v>126</v>
      </c>
      <c r="D87" s="82">
        <v>0</v>
      </c>
      <c r="E87" s="82"/>
      <c r="F87" s="82"/>
      <c r="G87" s="82"/>
      <c r="H87" s="82"/>
      <c r="I87" s="139">
        <f t="shared" si="26"/>
        <v>0</v>
      </c>
      <c r="J87" s="80"/>
      <c r="K87" s="80"/>
      <c r="L87" s="80"/>
      <c r="M87" s="3"/>
    </row>
    <row r="88" spans="1:13" ht="31.5" hidden="1" customHeight="1">
      <c r="A88" s="45"/>
      <c r="B88" s="46" t="s">
        <v>127</v>
      </c>
      <c r="C88" s="21" t="s">
        <v>128</v>
      </c>
      <c r="D88" s="82"/>
      <c r="E88" s="82"/>
      <c r="F88" s="82"/>
      <c r="G88" s="82"/>
      <c r="H88" s="82"/>
      <c r="I88" s="139">
        <f t="shared" si="26"/>
        <v>0</v>
      </c>
      <c r="J88" s="80"/>
      <c r="K88" s="80"/>
      <c r="L88" s="80"/>
      <c r="M88" s="3"/>
    </row>
    <row r="89" spans="1:13" ht="26.25" hidden="1" customHeight="1">
      <c r="A89" s="45"/>
      <c r="B89" s="46" t="s">
        <v>129</v>
      </c>
      <c r="C89" s="21" t="s">
        <v>130</v>
      </c>
      <c r="D89" s="82">
        <v>0</v>
      </c>
      <c r="E89" s="82"/>
      <c r="F89" s="82"/>
      <c r="G89" s="82"/>
      <c r="H89" s="82"/>
      <c r="I89" s="139">
        <f t="shared" si="26"/>
        <v>0</v>
      </c>
      <c r="J89" s="80"/>
      <c r="K89" s="80"/>
      <c r="L89" s="80"/>
      <c r="M89" s="3"/>
    </row>
    <row r="90" spans="1:13" ht="26.25" hidden="1" customHeight="1">
      <c r="A90" s="45"/>
      <c r="B90" s="47" t="s">
        <v>131</v>
      </c>
      <c r="C90" s="22" t="s">
        <v>132</v>
      </c>
      <c r="D90" s="82">
        <v>0</v>
      </c>
      <c r="E90" s="82"/>
      <c r="F90" s="82"/>
      <c r="G90" s="82"/>
      <c r="H90" s="82"/>
      <c r="I90" s="139">
        <f t="shared" si="26"/>
        <v>0</v>
      </c>
      <c r="J90" s="80"/>
      <c r="K90" s="80"/>
      <c r="L90" s="80"/>
      <c r="M90" s="3"/>
    </row>
    <row r="91" spans="1:13" ht="27" hidden="1" customHeight="1">
      <c r="A91" s="45"/>
      <c r="B91" s="47" t="s">
        <v>133</v>
      </c>
      <c r="C91" s="23" t="s">
        <v>134</v>
      </c>
      <c r="D91" s="82"/>
      <c r="E91" s="82"/>
      <c r="F91" s="82"/>
      <c r="G91" s="82"/>
      <c r="H91" s="82"/>
      <c r="I91" s="139">
        <f t="shared" si="26"/>
        <v>0</v>
      </c>
      <c r="J91" s="80"/>
      <c r="K91" s="80"/>
      <c r="L91" s="80"/>
      <c r="M91" s="3"/>
    </row>
    <row r="92" spans="1:13" ht="27.75" customHeight="1">
      <c r="A92" s="45"/>
      <c r="B92" s="46" t="s">
        <v>543</v>
      </c>
      <c r="C92" s="112" t="s">
        <v>544</v>
      </c>
      <c r="D92" s="80">
        <f t="shared" ref="D92:L92" si="27">D274+D1007+D713+D278+D724+D729+D734+D739+D1013+D745</f>
        <v>2185</v>
      </c>
      <c r="E92" s="80">
        <f t="shared" si="27"/>
        <v>2185</v>
      </c>
      <c r="F92" s="80">
        <f t="shared" si="27"/>
        <v>0</v>
      </c>
      <c r="G92" s="80">
        <f t="shared" si="27"/>
        <v>0</v>
      </c>
      <c r="H92" s="80">
        <f t="shared" si="27"/>
        <v>0</v>
      </c>
      <c r="I92" s="80">
        <f t="shared" si="27"/>
        <v>47337</v>
      </c>
      <c r="J92" s="80">
        <f t="shared" si="27"/>
        <v>1213</v>
      </c>
      <c r="K92" s="80">
        <f t="shared" si="27"/>
        <v>1104</v>
      </c>
      <c r="L92" s="80">
        <f t="shared" si="27"/>
        <v>116</v>
      </c>
      <c r="M92" s="3"/>
    </row>
    <row r="93" spans="1:13" ht="27" customHeight="1">
      <c r="A93" s="45"/>
      <c r="B93" s="46" t="s">
        <v>549</v>
      </c>
      <c r="C93" s="112" t="s">
        <v>550</v>
      </c>
      <c r="D93" s="80">
        <f>33+287</f>
        <v>320</v>
      </c>
      <c r="E93" s="80">
        <v>0</v>
      </c>
      <c r="F93" s="80">
        <f>33+287</f>
        <v>320</v>
      </c>
      <c r="G93" s="80">
        <v>0</v>
      </c>
      <c r="H93" s="80">
        <v>0</v>
      </c>
      <c r="I93" s="139">
        <v>0</v>
      </c>
      <c r="J93" s="80">
        <v>0</v>
      </c>
      <c r="K93" s="80">
        <v>0</v>
      </c>
      <c r="L93" s="80">
        <v>0</v>
      </c>
      <c r="M93" s="3"/>
    </row>
    <row r="94" spans="1:13" ht="31.5" hidden="1" customHeight="1">
      <c r="A94" s="45"/>
      <c r="B94" s="31" t="s">
        <v>551</v>
      </c>
      <c r="C94" s="112" t="s">
        <v>552</v>
      </c>
      <c r="D94" s="80"/>
      <c r="E94" s="80"/>
      <c r="F94" s="80"/>
      <c r="G94" s="80"/>
      <c r="H94" s="80"/>
      <c r="I94" s="139">
        <f t="shared" si="26"/>
        <v>0</v>
      </c>
      <c r="J94" s="80"/>
      <c r="K94" s="80"/>
      <c r="L94" s="80"/>
      <c r="M94" s="3"/>
    </row>
    <row r="95" spans="1:13" ht="58.5" customHeight="1">
      <c r="A95" s="251" t="s">
        <v>135</v>
      </c>
      <c r="B95" s="252" t="s">
        <v>480</v>
      </c>
      <c r="C95" s="157">
        <v>48.02</v>
      </c>
      <c r="D95" s="78">
        <f t="shared" ref="D95:L95" si="28">D96+D100+D104</f>
        <v>14108</v>
      </c>
      <c r="E95" s="78">
        <f t="shared" si="28"/>
        <v>14108</v>
      </c>
      <c r="F95" s="78">
        <f t="shared" si="28"/>
        <v>0</v>
      </c>
      <c r="G95" s="78">
        <f t="shared" si="28"/>
        <v>0</v>
      </c>
      <c r="H95" s="78">
        <f t="shared" si="28"/>
        <v>0</v>
      </c>
      <c r="I95" s="139">
        <f t="shared" si="26"/>
        <v>14108</v>
      </c>
      <c r="J95" s="78">
        <f t="shared" si="28"/>
        <v>183129</v>
      </c>
      <c r="K95" s="78">
        <f t="shared" si="28"/>
        <v>72599</v>
      </c>
      <c r="L95" s="78">
        <f t="shared" si="28"/>
        <v>30156</v>
      </c>
      <c r="M95" s="3"/>
    </row>
    <row r="96" spans="1:13" ht="15.75" customHeight="1">
      <c r="A96" s="155"/>
      <c r="B96" s="253" t="s">
        <v>739</v>
      </c>
      <c r="C96" s="157" t="s">
        <v>484</v>
      </c>
      <c r="D96" s="78">
        <f t="shared" ref="D96:L96" si="29">D97+D98+D99</f>
        <v>12704</v>
      </c>
      <c r="E96" s="78">
        <f t="shared" si="29"/>
        <v>12704</v>
      </c>
      <c r="F96" s="78">
        <f t="shared" si="29"/>
        <v>0</v>
      </c>
      <c r="G96" s="78">
        <f t="shared" si="29"/>
        <v>0</v>
      </c>
      <c r="H96" s="78">
        <f t="shared" si="29"/>
        <v>0</v>
      </c>
      <c r="I96" s="139">
        <f t="shared" si="26"/>
        <v>12704</v>
      </c>
      <c r="J96" s="78">
        <f t="shared" si="29"/>
        <v>181682</v>
      </c>
      <c r="K96" s="78">
        <f t="shared" si="29"/>
        <v>72599</v>
      </c>
      <c r="L96" s="78">
        <f t="shared" si="29"/>
        <v>30156</v>
      </c>
      <c r="M96" s="3"/>
    </row>
    <row r="97" spans="1:13" ht="17.25" customHeight="1">
      <c r="A97" s="45"/>
      <c r="B97" s="32" t="s">
        <v>136</v>
      </c>
      <c r="C97" s="21" t="s">
        <v>481</v>
      </c>
      <c r="D97" s="82">
        <f t="shared" ref="D97:L97" si="30">D275+D1008+D725+D730+D735+D740+D1014+D746</f>
        <v>12704</v>
      </c>
      <c r="E97" s="82">
        <f t="shared" si="30"/>
        <v>12704</v>
      </c>
      <c r="F97" s="82">
        <f t="shared" si="30"/>
        <v>0</v>
      </c>
      <c r="G97" s="82">
        <f t="shared" si="30"/>
        <v>0</v>
      </c>
      <c r="H97" s="82">
        <f t="shared" si="30"/>
        <v>0</v>
      </c>
      <c r="I97" s="82">
        <f t="shared" si="30"/>
        <v>35493</v>
      </c>
      <c r="J97" s="82">
        <f t="shared" si="30"/>
        <v>181682</v>
      </c>
      <c r="K97" s="82">
        <f t="shared" si="30"/>
        <v>72599</v>
      </c>
      <c r="L97" s="82">
        <f t="shared" si="30"/>
        <v>30156</v>
      </c>
      <c r="M97" s="3"/>
    </row>
    <row r="98" spans="1:13" ht="17.25" customHeight="1">
      <c r="A98" s="45"/>
      <c r="B98" s="32" t="s">
        <v>137</v>
      </c>
      <c r="C98" s="21" t="s">
        <v>482</v>
      </c>
      <c r="D98" s="82"/>
      <c r="E98" s="82"/>
      <c r="F98" s="82"/>
      <c r="G98" s="82"/>
      <c r="H98" s="82"/>
      <c r="I98" s="139">
        <f t="shared" si="26"/>
        <v>0</v>
      </c>
      <c r="J98" s="80"/>
      <c r="K98" s="80"/>
      <c r="L98" s="80"/>
      <c r="M98" s="3"/>
    </row>
    <row r="99" spans="1:13" ht="17.25" customHeight="1">
      <c r="A99" s="45"/>
      <c r="B99" s="32" t="s">
        <v>138</v>
      </c>
      <c r="C99" s="21" t="s">
        <v>483</v>
      </c>
      <c r="D99" s="153"/>
      <c r="E99" s="153"/>
      <c r="F99" s="153"/>
      <c r="G99" s="153"/>
      <c r="H99" s="153"/>
      <c r="I99" s="139">
        <f t="shared" si="26"/>
        <v>0</v>
      </c>
      <c r="J99" s="153"/>
      <c r="K99" s="153"/>
      <c r="L99" s="153"/>
      <c r="M99" s="3"/>
    </row>
    <row r="100" spans="1:13" ht="17.25" customHeight="1">
      <c r="A100" s="155"/>
      <c r="B100" s="254" t="s">
        <v>740</v>
      </c>
      <c r="C100" s="255" t="s">
        <v>553</v>
      </c>
      <c r="D100" s="85">
        <f t="shared" ref="D100:L100" si="31">D101+D102+D103</f>
        <v>1273</v>
      </c>
      <c r="E100" s="85">
        <f t="shared" si="31"/>
        <v>1273</v>
      </c>
      <c r="F100" s="85">
        <f t="shared" si="31"/>
        <v>0</v>
      </c>
      <c r="G100" s="85">
        <f t="shared" si="31"/>
        <v>0</v>
      </c>
      <c r="H100" s="85">
        <f t="shared" si="31"/>
        <v>0</v>
      </c>
      <c r="I100" s="139">
        <f t="shared" si="26"/>
        <v>1273</v>
      </c>
      <c r="J100" s="85">
        <f t="shared" si="31"/>
        <v>1356</v>
      </c>
      <c r="K100" s="85">
        <f t="shared" si="31"/>
        <v>0</v>
      </c>
      <c r="L100" s="85">
        <f t="shared" si="31"/>
        <v>0</v>
      </c>
      <c r="M100" s="3"/>
    </row>
    <row r="101" spans="1:13" ht="17.25" customHeight="1">
      <c r="A101" s="45"/>
      <c r="B101" s="32" t="s">
        <v>136</v>
      </c>
      <c r="C101" s="21" t="s">
        <v>554</v>
      </c>
      <c r="D101" s="82">
        <f>D714+D279</f>
        <v>1273</v>
      </c>
      <c r="E101" s="82">
        <f t="shared" ref="E101:L101" si="32">E714+E279</f>
        <v>1273</v>
      </c>
      <c r="F101" s="82">
        <f t="shared" si="32"/>
        <v>0</v>
      </c>
      <c r="G101" s="82">
        <f t="shared" si="32"/>
        <v>0</v>
      </c>
      <c r="H101" s="82">
        <f t="shared" si="32"/>
        <v>0</v>
      </c>
      <c r="I101" s="139">
        <f t="shared" si="26"/>
        <v>1273</v>
      </c>
      <c r="J101" s="82">
        <f t="shared" si="32"/>
        <v>1356</v>
      </c>
      <c r="K101" s="82">
        <f t="shared" si="32"/>
        <v>0</v>
      </c>
      <c r="L101" s="82">
        <f t="shared" si="32"/>
        <v>0</v>
      </c>
      <c r="M101" s="3"/>
    </row>
    <row r="102" spans="1:13" ht="17.25" customHeight="1">
      <c r="A102" s="45"/>
      <c r="B102" s="32" t="s">
        <v>137</v>
      </c>
      <c r="C102" s="21" t="s">
        <v>555</v>
      </c>
      <c r="D102" s="146"/>
      <c r="E102" s="146"/>
      <c r="F102" s="146">
        <f t="shared" ref="F102:H102" si="33">F714+F279</f>
        <v>0</v>
      </c>
      <c r="G102" s="146">
        <f t="shared" si="33"/>
        <v>0</v>
      </c>
      <c r="H102" s="146">
        <f t="shared" si="33"/>
        <v>0</v>
      </c>
      <c r="I102" s="139">
        <f t="shared" si="26"/>
        <v>0</v>
      </c>
      <c r="J102" s="146"/>
      <c r="K102" s="146"/>
      <c r="L102" s="146"/>
      <c r="M102" s="3"/>
    </row>
    <row r="103" spans="1:13" ht="16.5" customHeight="1">
      <c r="A103" s="45"/>
      <c r="B103" s="32" t="s">
        <v>138</v>
      </c>
      <c r="C103" s="21" t="s">
        <v>556</v>
      </c>
      <c r="D103" s="82">
        <v>0</v>
      </c>
      <c r="E103" s="82"/>
      <c r="F103" s="82"/>
      <c r="G103" s="82"/>
      <c r="H103" s="82"/>
      <c r="I103" s="139">
        <f t="shared" si="26"/>
        <v>0</v>
      </c>
      <c r="J103" s="80"/>
      <c r="K103" s="80"/>
      <c r="L103" s="80"/>
      <c r="M103" s="3"/>
    </row>
    <row r="104" spans="1:13" ht="16.5" customHeight="1">
      <c r="A104" s="155"/>
      <c r="B104" s="256" t="s">
        <v>741</v>
      </c>
      <c r="C104" s="257" t="s">
        <v>557</v>
      </c>
      <c r="D104" s="149">
        <f t="shared" ref="D104:L104" si="34">D105+D106+D107</f>
        <v>131</v>
      </c>
      <c r="E104" s="85">
        <f t="shared" si="34"/>
        <v>131</v>
      </c>
      <c r="F104" s="85">
        <f t="shared" si="34"/>
        <v>0</v>
      </c>
      <c r="G104" s="85">
        <f t="shared" si="34"/>
        <v>0</v>
      </c>
      <c r="H104" s="85">
        <f t="shared" si="34"/>
        <v>0</v>
      </c>
      <c r="I104" s="139">
        <f t="shared" si="26"/>
        <v>131</v>
      </c>
      <c r="J104" s="85">
        <f t="shared" si="34"/>
        <v>91</v>
      </c>
      <c r="K104" s="85">
        <f t="shared" si="34"/>
        <v>0</v>
      </c>
      <c r="L104" s="85">
        <f t="shared" si="34"/>
        <v>0</v>
      </c>
      <c r="M104" s="3"/>
    </row>
    <row r="105" spans="1:13" ht="16.5" customHeight="1">
      <c r="A105" s="45"/>
      <c r="B105" s="32" t="s">
        <v>141</v>
      </c>
      <c r="C105" s="21" t="s">
        <v>558</v>
      </c>
      <c r="D105" s="82">
        <f>D720</f>
        <v>131</v>
      </c>
      <c r="E105" s="82">
        <f t="shared" ref="E105:L105" si="35">E720</f>
        <v>131</v>
      </c>
      <c r="F105" s="82">
        <f t="shared" si="35"/>
        <v>0</v>
      </c>
      <c r="G105" s="82">
        <f t="shared" si="35"/>
        <v>0</v>
      </c>
      <c r="H105" s="82">
        <f t="shared" si="35"/>
        <v>0</v>
      </c>
      <c r="I105" s="139">
        <f t="shared" si="26"/>
        <v>131</v>
      </c>
      <c r="J105" s="82">
        <f t="shared" si="35"/>
        <v>91</v>
      </c>
      <c r="K105" s="82">
        <f t="shared" si="35"/>
        <v>0</v>
      </c>
      <c r="L105" s="82">
        <f t="shared" si="35"/>
        <v>0</v>
      </c>
      <c r="M105" s="3"/>
    </row>
    <row r="106" spans="1:13" ht="16.5" customHeight="1">
      <c r="A106" s="45"/>
      <c r="B106" s="32" t="s">
        <v>137</v>
      </c>
      <c r="C106" s="21" t="s">
        <v>559</v>
      </c>
      <c r="D106" s="146"/>
      <c r="E106" s="146"/>
      <c r="F106" s="146"/>
      <c r="G106" s="146"/>
      <c r="H106" s="146"/>
      <c r="I106" s="139">
        <f t="shared" si="26"/>
        <v>0</v>
      </c>
      <c r="J106" s="146"/>
      <c r="K106" s="146"/>
      <c r="L106" s="146"/>
      <c r="M106" s="3"/>
    </row>
    <row r="107" spans="1:13" ht="16.5" customHeight="1">
      <c r="A107" s="45"/>
      <c r="B107" s="32" t="s">
        <v>138</v>
      </c>
      <c r="C107" s="21" t="s">
        <v>560</v>
      </c>
      <c r="D107" s="82">
        <v>0</v>
      </c>
      <c r="E107" s="82"/>
      <c r="F107" s="82"/>
      <c r="G107" s="82"/>
      <c r="H107" s="82"/>
      <c r="I107" s="139">
        <f t="shared" si="26"/>
        <v>0</v>
      </c>
      <c r="J107" s="80"/>
      <c r="K107" s="80"/>
      <c r="L107" s="80"/>
      <c r="M107" s="3"/>
    </row>
    <row r="108" spans="1:13" ht="0.75" customHeight="1">
      <c r="A108" s="45"/>
      <c r="B108" s="45" t="s">
        <v>140</v>
      </c>
      <c r="C108" s="21" t="s">
        <v>560</v>
      </c>
      <c r="D108" s="82">
        <v>0</v>
      </c>
      <c r="E108" s="82">
        <v>0</v>
      </c>
      <c r="F108" s="82">
        <v>0</v>
      </c>
      <c r="G108" s="82">
        <v>0</v>
      </c>
      <c r="H108" s="82">
        <v>0</v>
      </c>
      <c r="I108" s="139">
        <f t="shared" si="26"/>
        <v>0</v>
      </c>
      <c r="J108" s="80"/>
      <c r="K108" s="80"/>
      <c r="L108" s="80"/>
      <c r="M108" s="3"/>
    </row>
    <row r="109" spans="1:13" ht="16.5" hidden="1" customHeight="1">
      <c r="A109" s="45"/>
      <c r="B109" s="32" t="s">
        <v>141</v>
      </c>
      <c r="C109" s="21"/>
      <c r="D109" s="82">
        <v>0</v>
      </c>
      <c r="E109" s="82"/>
      <c r="F109" s="82"/>
      <c r="G109" s="82"/>
      <c r="H109" s="82"/>
      <c r="I109" s="139">
        <f t="shared" si="26"/>
        <v>0</v>
      </c>
      <c r="J109" s="80"/>
      <c r="K109" s="80"/>
      <c r="L109" s="80"/>
      <c r="M109" s="3"/>
    </row>
    <row r="110" spans="1:13" ht="16.5" hidden="1" customHeight="1">
      <c r="A110" s="45"/>
      <c r="B110" s="32" t="s">
        <v>137</v>
      </c>
      <c r="C110" s="21"/>
      <c r="D110" s="82">
        <v>0</v>
      </c>
      <c r="E110" s="82"/>
      <c r="F110" s="82"/>
      <c r="G110" s="82"/>
      <c r="H110" s="82"/>
      <c r="I110" s="139">
        <f t="shared" si="26"/>
        <v>0</v>
      </c>
      <c r="J110" s="80"/>
      <c r="K110" s="80"/>
      <c r="L110" s="80"/>
      <c r="M110" s="3"/>
    </row>
    <row r="111" spans="1:13" ht="16.5" hidden="1" customHeight="1">
      <c r="A111" s="45"/>
      <c r="B111" s="32" t="s">
        <v>138</v>
      </c>
      <c r="C111" s="21"/>
      <c r="D111" s="82">
        <v>0</v>
      </c>
      <c r="E111" s="82"/>
      <c r="F111" s="82"/>
      <c r="G111" s="82"/>
      <c r="H111" s="82"/>
      <c r="I111" s="139">
        <f t="shared" si="26"/>
        <v>0</v>
      </c>
      <c r="J111" s="80"/>
      <c r="K111" s="80"/>
      <c r="L111" s="80"/>
      <c r="M111" s="3"/>
    </row>
    <row r="112" spans="1:13" ht="16.5" hidden="1" customHeight="1">
      <c r="A112" s="45"/>
      <c r="B112" s="45" t="s">
        <v>142</v>
      </c>
      <c r="C112" s="21" t="s">
        <v>143</v>
      </c>
      <c r="D112" s="85">
        <f t="shared" ref="D112:L112" si="36">D113+D114+D115</f>
        <v>0</v>
      </c>
      <c r="E112" s="85">
        <f t="shared" si="36"/>
        <v>0</v>
      </c>
      <c r="F112" s="85">
        <f t="shared" si="36"/>
        <v>0</v>
      </c>
      <c r="G112" s="85">
        <f t="shared" si="36"/>
        <v>0</v>
      </c>
      <c r="H112" s="85">
        <f t="shared" si="36"/>
        <v>0</v>
      </c>
      <c r="I112" s="139">
        <f t="shared" si="26"/>
        <v>0</v>
      </c>
      <c r="J112" s="85">
        <f t="shared" si="36"/>
        <v>0</v>
      </c>
      <c r="K112" s="85">
        <f t="shared" si="36"/>
        <v>0</v>
      </c>
      <c r="L112" s="85">
        <f t="shared" si="36"/>
        <v>0</v>
      </c>
      <c r="M112" s="3"/>
    </row>
    <row r="113" spans="1:13" ht="16.5" hidden="1" customHeight="1">
      <c r="A113" s="45"/>
      <c r="B113" s="32" t="s">
        <v>141</v>
      </c>
      <c r="C113" s="21"/>
      <c r="D113" s="82">
        <v>0</v>
      </c>
      <c r="E113" s="82"/>
      <c r="F113" s="82"/>
      <c r="G113" s="82"/>
      <c r="H113" s="82"/>
      <c r="I113" s="139">
        <f t="shared" si="26"/>
        <v>0</v>
      </c>
      <c r="J113" s="80"/>
      <c r="K113" s="80"/>
      <c r="L113" s="80"/>
      <c r="M113" s="3"/>
    </row>
    <row r="114" spans="1:13" ht="16.5" hidden="1" customHeight="1">
      <c r="A114" s="45"/>
      <c r="B114" s="32" t="s">
        <v>137</v>
      </c>
      <c r="C114" s="21"/>
      <c r="D114" s="82">
        <v>0</v>
      </c>
      <c r="E114" s="82"/>
      <c r="F114" s="82"/>
      <c r="G114" s="82"/>
      <c r="H114" s="82"/>
      <c r="I114" s="139">
        <f t="shared" si="26"/>
        <v>0</v>
      </c>
      <c r="J114" s="80"/>
      <c r="K114" s="80"/>
      <c r="L114" s="80"/>
      <c r="M114" s="3"/>
    </row>
    <row r="115" spans="1:13" ht="16.5" hidden="1" customHeight="1">
      <c r="A115" s="45"/>
      <c r="B115" s="32" t="s">
        <v>138</v>
      </c>
      <c r="C115" s="21"/>
      <c r="D115" s="82">
        <v>0</v>
      </c>
      <c r="E115" s="82"/>
      <c r="F115" s="82"/>
      <c r="G115" s="82"/>
      <c r="H115" s="82"/>
      <c r="I115" s="139">
        <f t="shared" si="26"/>
        <v>0</v>
      </c>
      <c r="J115" s="80"/>
      <c r="K115" s="80"/>
      <c r="L115" s="80"/>
      <c r="M115" s="3"/>
    </row>
    <row r="116" spans="1:13" ht="16.5" customHeight="1">
      <c r="A116" s="77"/>
      <c r="B116" s="118" t="s">
        <v>144</v>
      </c>
      <c r="C116" s="121"/>
      <c r="D116" s="120">
        <f t="shared" ref="D116:L116" si="37">D117+D119+D122+D137+D166</f>
        <v>309134.88</v>
      </c>
      <c r="E116" s="120">
        <f t="shared" si="37"/>
        <v>86426.880000000005</v>
      </c>
      <c r="F116" s="120">
        <f t="shared" si="37"/>
        <v>83729</v>
      </c>
      <c r="G116" s="120">
        <f t="shared" si="37"/>
        <v>77597</v>
      </c>
      <c r="H116" s="120">
        <f t="shared" si="37"/>
        <v>61382</v>
      </c>
      <c r="I116" s="139">
        <f t="shared" si="26"/>
        <v>309134.88</v>
      </c>
      <c r="J116" s="120">
        <f t="shared" si="37"/>
        <v>218851</v>
      </c>
      <c r="K116" s="120">
        <f t="shared" si="37"/>
        <v>227464</v>
      </c>
      <c r="L116" s="120">
        <f t="shared" si="37"/>
        <v>237713</v>
      </c>
      <c r="M116" s="3"/>
    </row>
    <row r="117" spans="1:13" ht="15.75" customHeight="1">
      <c r="A117" s="30" t="s">
        <v>10</v>
      </c>
      <c r="B117" s="35" t="s">
        <v>11</v>
      </c>
      <c r="C117" s="97">
        <v>1.02</v>
      </c>
      <c r="D117" s="78">
        <f t="shared" ref="D117:L117" si="38">D118</f>
        <v>180</v>
      </c>
      <c r="E117" s="78">
        <f t="shared" si="38"/>
        <v>0</v>
      </c>
      <c r="F117" s="78">
        <f t="shared" si="38"/>
        <v>90</v>
      </c>
      <c r="G117" s="78">
        <f t="shared" si="38"/>
        <v>90</v>
      </c>
      <c r="H117" s="78">
        <f t="shared" si="38"/>
        <v>0</v>
      </c>
      <c r="I117" s="139">
        <f t="shared" si="26"/>
        <v>180</v>
      </c>
      <c r="J117" s="78">
        <f t="shared" si="38"/>
        <v>185</v>
      </c>
      <c r="K117" s="78">
        <f t="shared" si="38"/>
        <v>190</v>
      </c>
      <c r="L117" s="78">
        <f t="shared" si="38"/>
        <v>195</v>
      </c>
      <c r="M117" s="3"/>
    </row>
    <row r="118" spans="1:13" ht="16.5" customHeight="1">
      <c r="A118" s="30"/>
      <c r="B118" s="36" t="s">
        <v>12</v>
      </c>
      <c r="C118" s="98" t="s">
        <v>13</v>
      </c>
      <c r="D118" s="82">
        <f>D12</f>
        <v>180</v>
      </c>
      <c r="E118" s="82">
        <f t="shared" ref="E118:H118" si="39">E12</f>
        <v>0</v>
      </c>
      <c r="F118" s="82">
        <f t="shared" si="39"/>
        <v>90</v>
      </c>
      <c r="G118" s="82">
        <f t="shared" si="39"/>
        <v>90</v>
      </c>
      <c r="H118" s="82">
        <f t="shared" si="39"/>
        <v>0</v>
      </c>
      <c r="I118" s="139">
        <f t="shared" si="26"/>
        <v>180</v>
      </c>
      <c r="J118" s="80">
        <f t="shared" ref="J118:L118" si="40">J13</f>
        <v>185</v>
      </c>
      <c r="K118" s="80">
        <f t="shared" si="40"/>
        <v>190</v>
      </c>
      <c r="L118" s="80">
        <f t="shared" si="40"/>
        <v>195</v>
      </c>
      <c r="M118" s="3"/>
    </row>
    <row r="119" spans="1:13" ht="16.5" customHeight="1">
      <c r="A119" s="30" t="s">
        <v>14</v>
      </c>
      <c r="B119" s="37" t="s">
        <v>15</v>
      </c>
      <c r="C119" s="99">
        <v>4.0199999999999996</v>
      </c>
      <c r="D119" s="81">
        <f t="shared" ref="D119:L119" si="41">D120+D121</f>
        <v>163608</v>
      </c>
      <c r="E119" s="81">
        <f t="shared" si="41"/>
        <v>35000</v>
      </c>
      <c r="F119" s="81">
        <f t="shared" si="41"/>
        <v>43826</v>
      </c>
      <c r="G119" s="81">
        <f t="shared" si="41"/>
        <v>43000</v>
      </c>
      <c r="H119" s="81">
        <f t="shared" si="41"/>
        <v>41782</v>
      </c>
      <c r="I119" s="139">
        <f t="shared" si="26"/>
        <v>163608</v>
      </c>
      <c r="J119" s="81">
        <f t="shared" si="41"/>
        <v>99292</v>
      </c>
      <c r="K119" s="81">
        <f t="shared" si="41"/>
        <v>104388</v>
      </c>
      <c r="L119" s="81">
        <f t="shared" si="41"/>
        <v>109542</v>
      </c>
      <c r="M119" s="3"/>
    </row>
    <row r="120" spans="1:13" ht="18" customHeight="1">
      <c r="A120" s="30"/>
      <c r="B120" s="44" t="s">
        <v>145</v>
      </c>
      <c r="C120" s="21" t="s">
        <v>16</v>
      </c>
      <c r="D120" s="82">
        <f t="shared" ref="D120:L121" si="42">D15</f>
        <v>102782</v>
      </c>
      <c r="E120" s="82">
        <f t="shared" si="42"/>
        <v>20000</v>
      </c>
      <c r="F120" s="82">
        <f t="shared" si="42"/>
        <v>28000</v>
      </c>
      <c r="G120" s="82">
        <f t="shared" si="42"/>
        <v>28000</v>
      </c>
      <c r="H120" s="82">
        <f t="shared" si="42"/>
        <v>26782</v>
      </c>
      <c r="I120" s="139">
        <f t="shared" si="26"/>
        <v>102782</v>
      </c>
      <c r="J120" s="80">
        <f t="shared" si="42"/>
        <v>81480</v>
      </c>
      <c r="K120" s="80">
        <f t="shared" si="42"/>
        <v>85554</v>
      </c>
      <c r="L120" s="80">
        <f t="shared" si="42"/>
        <v>89832</v>
      </c>
      <c r="M120" s="3"/>
    </row>
    <row r="121" spans="1:13" ht="15.75" customHeight="1">
      <c r="A121" s="30"/>
      <c r="B121" s="44" t="s">
        <v>146</v>
      </c>
      <c r="C121" s="21" t="s">
        <v>17</v>
      </c>
      <c r="D121" s="82">
        <f t="shared" si="42"/>
        <v>60826</v>
      </c>
      <c r="E121" s="82">
        <f t="shared" si="42"/>
        <v>15000</v>
      </c>
      <c r="F121" s="82">
        <f t="shared" si="42"/>
        <v>15826</v>
      </c>
      <c r="G121" s="82">
        <f t="shared" si="42"/>
        <v>15000</v>
      </c>
      <c r="H121" s="82">
        <f t="shared" si="42"/>
        <v>15000</v>
      </c>
      <c r="I121" s="139">
        <f t="shared" si="26"/>
        <v>60826</v>
      </c>
      <c r="J121" s="80">
        <f t="shared" si="42"/>
        <v>17812</v>
      </c>
      <c r="K121" s="80">
        <f t="shared" si="42"/>
        <v>18834</v>
      </c>
      <c r="L121" s="80">
        <f t="shared" si="42"/>
        <v>19710</v>
      </c>
      <c r="M121" s="3"/>
    </row>
    <row r="122" spans="1:13" ht="18" customHeight="1">
      <c r="A122" s="30" t="s">
        <v>18</v>
      </c>
      <c r="B122" s="37" t="s">
        <v>19</v>
      </c>
      <c r="C122" s="21" t="s">
        <v>20</v>
      </c>
      <c r="D122" s="81">
        <f t="shared" ref="D122:L122" si="43">D123+D135+D136</f>
        <v>138281</v>
      </c>
      <c r="E122" s="81">
        <f t="shared" si="43"/>
        <v>47500</v>
      </c>
      <c r="F122" s="81">
        <f t="shared" si="43"/>
        <v>36700</v>
      </c>
      <c r="G122" s="81">
        <f t="shared" si="43"/>
        <v>35200</v>
      </c>
      <c r="H122" s="81">
        <f t="shared" si="43"/>
        <v>18881</v>
      </c>
      <c r="I122" s="139">
        <f t="shared" si="26"/>
        <v>138281</v>
      </c>
      <c r="J122" s="81">
        <f t="shared" si="43"/>
        <v>105141</v>
      </c>
      <c r="K122" s="81">
        <f t="shared" si="43"/>
        <v>108298</v>
      </c>
      <c r="L122" s="81">
        <f t="shared" si="43"/>
        <v>110764</v>
      </c>
      <c r="M122" s="3"/>
    </row>
    <row r="123" spans="1:13" ht="18" customHeight="1">
      <c r="A123" s="45">
        <v>1</v>
      </c>
      <c r="B123" s="37" t="s">
        <v>147</v>
      </c>
      <c r="C123" s="21" t="s">
        <v>21</v>
      </c>
      <c r="D123" s="78">
        <f t="shared" ref="D123:H123" si="44">D124+D125+D127+D128+D129+D130+D133+D134+D126</f>
        <v>27456</v>
      </c>
      <c r="E123" s="78">
        <f t="shared" si="44"/>
        <v>18000</v>
      </c>
      <c r="F123" s="78">
        <f t="shared" si="44"/>
        <v>5000</v>
      </c>
      <c r="G123" s="78">
        <f t="shared" si="44"/>
        <v>3500</v>
      </c>
      <c r="H123" s="78">
        <f t="shared" si="44"/>
        <v>956</v>
      </c>
      <c r="I123" s="139">
        <f t="shared" si="26"/>
        <v>27456</v>
      </c>
      <c r="J123" s="78">
        <f>J124+J125+J127+J128+J129+J130+J133+J134+J126</f>
        <v>63688</v>
      </c>
      <c r="K123" s="78">
        <f>K124+K125+K127+K128+K129+K130+K133+K134+K126</f>
        <v>63733</v>
      </c>
      <c r="L123" s="78">
        <f>L124+L125+L127+L128+L129+L130+L133+L134+L126</f>
        <v>63777</v>
      </c>
      <c r="M123" s="3"/>
    </row>
    <row r="124" spans="1:13" ht="16.5" customHeight="1">
      <c r="A124" s="45"/>
      <c r="B124" s="44" t="s">
        <v>22</v>
      </c>
      <c r="C124" s="21" t="s">
        <v>21</v>
      </c>
      <c r="D124" s="82">
        <f t="shared" ref="D124:L129" si="45">D19</f>
        <v>0</v>
      </c>
      <c r="E124" s="82">
        <f t="shared" si="45"/>
        <v>0</v>
      </c>
      <c r="F124" s="82">
        <f t="shared" si="45"/>
        <v>0</v>
      </c>
      <c r="G124" s="82">
        <f t="shared" si="45"/>
        <v>0</v>
      </c>
      <c r="H124" s="82">
        <f t="shared" si="45"/>
        <v>0</v>
      </c>
      <c r="I124" s="139">
        <f t="shared" si="26"/>
        <v>0</v>
      </c>
      <c r="J124" s="82">
        <f t="shared" si="45"/>
        <v>21624</v>
      </c>
      <c r="K124" s="82">
        <f t="shared" si="45"/>
        <v>21624</v>
      </c>
      <c r="L124" s="82">
        <f t="shared" si="45"/>
        <v>21624</v>
      </c>
      <c r="M124" s="3"/>
    </row>
    <row r="125" spans="1:13" ht="12.75" customHeight="1">
      <c r="A125" s="45"/>
      <c r="B125" s="44" t="s">
        <v>499</v>
      </c>
      <c r="C125" s="21" t="s">
        <v>21</v>
      </c>
      <c r="D125" s="82">
        <f t="shared" si="45"/>
        <v>0</v>
      </c>
      <c r="E125" s="82">
        <f t="shared" si="45"/>
        <v>0</v>
      </c>
      <c r="F125" s="82">
        <f t="shared" si="45"/>
        <v>0</v>
      </c>
      <c r="G125" s="82">
        <f t="shared" si="45"/>
        <v>0</v>
      </c>
      <c r="H125" s="82">
        <f t="shared" si="45"/>
        <v>0</v>
      </c>
      <c r="I125" s="139">
        <f t="shared" si="26"/>
        <v>0</v>
      </c>
      <c r="J125" s="82">
        <f t="shared" si="45"/>
        <v>14581</v>
      </c>
      <c r="K125" s="82">
        <f t="shared" si="45"/>
        <v>14581</v>
      </c>
      <c r="L125" s="82">
        <f t="shared" si="45"/>
        <v>14581</v>
      </c>
      <c r="M125" s="3"/>
    </row>
    <row r="126" spans="1:13" ht="12.75" customHeight="1">
      <c r="A126" s="45"/>
      <c r="B126" s="44" t="s">
        <v>24</v>
      </c>
      <c r="C126" s="21" t="s">
        <v>21</v>
      </c>
      <c r="D126" s="82">
        <f t="shared" si="45"/>
        <v>71</v>
      </c>
      <c r="E126" s="82">
        <f t="shared" si="45"/>
        <v>20</v>
      </c>
      <c r="F126" s="82">
        <f t="shared" si="45"/>
        <v>20</v>
      </c>
      <c r="G126" s="82">
        <f t="shared" si="45"/>
        <v>31</v>
      </c>
      <c r="H126" s="82">
        <f t="shared" si="45"/>
        <v>0</v>
      </c>
      <c r="I126" s="139">
        <f t="shared" si="26"/>
        <v>71</v>
      </c>
      <c r="J126" s="82">
        <f t="shared" si="45"/>
        <v>71</v>
      </c>
      <c r="K126" s="82">
        <f t="shared" si="45"/>
        <v>71</v>
      </c>
      <c r="L126" s="82">
        <f t="shared" si="45"/>
        <v>71</v>
      </c>
      <c r="M126" s="3"/>
    </row>
    <row r="127" spans="1:13" ht="15" customHeight="1">
      <c r="A127" s="45"/>
      <c r="B127" s="44" t="s">
        <v>500</v>
      </c>
      <c r="C127" s="21" t="s">
        <v>21</v>
      </c>
      <c r="D127" s="82">
        <f t="shared" si="45"/>
        <v>10744</v>
      </c>
      <c r="E127" s="82">
        <f t="shared" si="45"/>
        <v>8404</v>
      </c>
      <c r="F127" s="82">
        <f t="shared" si="45"/>
        <v>1600</v>
      </c>
      <c r="G127" s="82">
        <f t="shared" si="45"/>
        <v>500</v>
      </c>
      <c r="H127" s="82">
        <f t="shared" si="45"/>
        <v>240</v>
      </c>
      <c r="I127" s="139">
        <f t="shared" si="26"/>
        <v>10744</v>
      </c>
      <c r="J127" s="82">
        <f t="shared" si="45"/>
        <v>10744</v>
      </c>
      <c r="K127" s="82">
        <f t="shared" si="45"/>
        <v>10744</v>
      </c>
      <c r="L127" s="82">
        <f t="shared" si="45"/>
        <v>10744</v>
      </c>
      <c r="M127" s="3"/>
    </row>
    <row r="128" spans="1:13" ht="0.75" customHeight="1">
      <c r="A128" s="45"/>
      <c r="B128" s="44" t="s">
        <v>27</v>
      </c>
      <c r="C128" s="21"/>
      <c r="D128" s="82">
        <f t="shared" si="45"/>
        <v>0</v>
      </c>
      <c r="E128" s="82"/>
      <c r="F128" s="82"/>
      <c r="G128" s="82"/>
      <c r="H128" s="82"/>
      <c r="I128" s="139">
        <f t="shared" si="26"/>
        <v>0</v>
      </c>
      <c r="J128" s="82">
        <f t="shared" si="45"/>
        <v>0</v>
      </c>
      <c r="K128" s="82">
        <f t="shared" si="45"/>
        <v>0</v>
      </c>
      <c r="L128" s="82">
        <f t="shared" si="45"/>
        <v>0</v>
      </c>
      <c r="M128" s="3"/>
    </row>
    <row r="129" spans="1:13" ht="15">
      <c r="A129" s="45"/>
      <c r="B129" s="44" t="s">
        <v>148</v>
      </c>
      <c r="C129" s="21" t="s">
        <v>21</v>
      </c>
      <c r="D129" s="82">
        <f t="shared" si="45"/>
        <v>2732</v>
      </c>
      <c r="E129" s="82">
        <f t="shared" si="45"/>
        <v>1000</v>
      </c>
      <c r="F129" s="82">
        <f t="shared" si="45"/>
        <v>750</v>
      </c>
      <c r="G129" s="82">
        <f t="shared" si="45"/>
        <v>690</v>
      </c>
      <c r="H129" s="82">
        <f t="shared" si="45"/>
        <v>292</v>
      </c>
      <c r="I129" s="139">
        <f t="shared" si="26"/>
        <v>2732</v>
      </c>
      <c r="J129" s="82">
        <f t="shared" si="45"/>
        <v>2748</v>
      </c>
      <c r="K129" s="82">
        <f t="shared" si="45"/>
        <v>2781</v>
      </c>
      <c r="L129" s="82">
        <f t="shared" si="45"/>
        <v>2814</v>
      </c>
      <c r="M129" s="3"/>
    </row>
    <row r="130" spans="1:13" ht="16.5" customHeight="1">
      <c r="A130" s="45"/>
      <c r="B130" s="44" t="s">
        <v>149</v>
      </c>
      <c r="C130" s="21" t="s">
        <v>21</v>
      </c>
      <c r="D130" s="82">
        <f t="shared" ref="D130:L136" si="46">D29</f>
        <v>13666</v>
      </c>
      <c r="E130" s="82">
        <f t="shared" si="46"/>
        <v>8506</v>
      </c>
      <c r="F130" s="82">
        <f t="shared" si="46"/>
        <v>2560</v>
      </c>
      <c r="G130" s="82">
        <f t="shared" si="46"/>
        <v>2219</v>
      </c>
      <c r="H130" s="82">
        <f t="shared" si="46"/>
        <v>381</v>
      </c>
      <c r="I130" s="139">
        <f t="shared" si="26"/>
        <v>13666</v>
      </c>
      <c r="J130" s="82">
        <f t="shared" si="46"/>
        <v>13671</v>
      </c>
      <c r="K130" s="82">
        <f t="shared" si="46"/>
        <v>13676</v>
      </c>
      <c r="L130" s="82">
        <f t="shared" si="46"/>
        <v>13681</v>
      </c>
      <c r="M130" s="3"/>
    </row>
    <row r="131" spans="1:13" ht="14.25" customHeight="1">
      <c r="A131" s="45"/>
      <c r="B131" s="44" t="s">
        <v>150</v>
      </c>
      <c r="C131" s="21" t="s">
        <v>21</v>
      </c>
      <c r="D131" s="82">
        <f t="shared" si="46"/>
        <v>12860</v>
      </c>
      <c r="E131" s="82">
        <f t="shared" si="46"/>
        <v>8000</v>
      </c>
      <c r="F131" s="82">
        <f t="shared" si="46"/>
        <v>2500</v>
      </c>
      <c r="G131" s="82">
        <f t="shared" si="46"/>
        <v>2019</v>
      </c>
      <c r="H131" s="82">
        <f t="shared" si="46"/>
        <v>341</v>
      </c>
      <c r="I131" s="139">
        <f t="shared" si="26"/>
        <v>12860</v>
      </c>
      <c r="J131" s="82">
        <f t="shared" si="46"/>
        <v>12860</v>
      </c>
      <c r="K131" s="82">
        <f t="shared" si="46"/>
        <v>12860</v>
      </c>
      <c r="L131" s="82">
        <f t="shared" si="46"/>
        <v>12860</v>
      </c>
      <c r="M131" s="3"/>
    </row>
    <row r="132" spans="1:13" ht="15" customHeight="1">
      <c r="A132" s="45"/>
      <c r="B132" s="44" t="s">
        <v>151</v>
      </c>
      <c r="C132" s="21" t="s">
        <v>21</v>
      </c>
      <c r="D132" s="82">
        <f t="shared" si="46"/>
        <v>806</v>
      </c>
      <c r="E132" s="82">
        <f t="shared" si="46"/>
        <v>506</v>
      </c>
      <c r="F132" s="82">
        <f t="shared" si="46"/>
        <v>60</v>
      </c>
      <c r="G132" s="82">
        <f t="shared" si="46"/>
        <v>200</v>
      </c>
      <c r="H132" s="82">
        <f t="shared" si="46"/>
        <v>40</v>
      </c>
      <c r="I132" s="139">
        <f t="shared" si="26"/>
        <v>806</v>
      </c>
      <c r="J132" s="82">
        <f t="shared" si="46"/>
        <v>811</v>
      </c>
      <c r="K132" s="82">
        <f t="shared" si="46"/>
        <v>816</v>
      </c>
      <c r="L132" s="82">
        <f t="shared" si="46"/>
        <v>821</v>
      </c>
      <c r="M132" s="3"/>
    </row>
    <row r="133" spans="1:13" ht="18.75" customHeight="1">
      <c r="A133" s="45"/>
      <c r="B133" s="44" t="s">
        <v>32</v>
      </c>
      <c r="C133" s="21" t="s">
        <v>21</v>
      </c>
      <c r="D133" s="82">
        <f t="shared" si="46"/>
        <v>243</v>
      </c>
      <c r="E133" s="82">
        <f t="shared" si="46"/>
        <v>70</v>
      </c>
      <c r="F133" s="82">
        <f t="shared" si="46"/>
        <v>70</v>
      </c>
      <c r="G133" s="82">
        <f t="shared" si="46"/>
        <v>60</v>
      </c>
      <c r="H133" s="82">
        <f t="shared" si="46"/>
        <v>43</v>
      </c>
      <c r="I133" s="139">
        <f t="shared" si="26"/>
        <v>243</v>
      </c>
      <c r="J133" s="82">
        <f t="shared" si="46"/>
        <v>249</v>
      </c>
      <c r="K133" s="82">
        <f t="shared" si="46"/>
        <v>256</v>
      </c>
      <c r="L133" s="82">
        <f t="shared" si="46"/>
        <v>262</v>
      </c>
      <c r="M133" s="3"/>
    </row>
    <row r="134" spans="1:13" ht="0.75" customHeight="1">
      <c r="A134" s="45"/>
      <c r="B134" s="43" t="s">
        <v>34</v>
      </c>
      <c r="C134" s="21"/>
      <c r="D134" s="82">
        <f t="shared" si="46"/>
        <v>0</v>
      </c>
      <c r="E134" s="82"/>
      <c r="F134" s="82"/>
      <c r="G134" s="82"/>
      <c r="H134" s="82"/>
      <c r="I134" s="139">
        <f t="shared" si="26"/>
        <v>0</v>
      </c>
      <c r="J134" s="82">
        <f t="shared" si="46"/>
        <v>0</v>
      </c>
      <c r="K134" s="82">
        <f t="shared" si="46"/>
        <v>0</v>
      </c>
      <c r="L134" s="82">
        <f t="shared" si="46"/>
        <v>0</v>
      </c>
      <c r="M134" s="3"/>
    </row>
    <row r="135" spans="1:13" ht="18.75" customHeight="1">
      <c r="A135" s="45">
        <v>2</v>
      </c>
      <c r="B135" s="37" t="s">
        <v>35</v>
      </c>
      <c r="C135" s="21" t="s">
        <v>36</v>
      </c>
      <c r="D135" s="85">
        <f t="shared" si="46"/>
        <v>9341</v>
      </c>
      <c r="E135" s="85">
        <f t="shared" si="46"/>
        <v>3500</v>
      </c>
      <c r="F135" s="85">
        <f t="shared" si="46"/>
        <v>1700</v>
      </c>
      <c r="G135" s="85">
        <f t="shared" si="46"/>
        <v>1700</v>
      </c>
      <c r="H135" s="85">
        <f t="shared" si="46"/>
        <v>2441</v>
      </c>
      <c r="I135" s="139">
        <f t="shared" si="26"/>
        <v>9341</v>
      </c>
      <c r="J135" s="85">
        <f t="shared" si="46"/>
        <v>5971</v>
      </c>
      <c r="K135" s="85">
        <f t="shared" si="46"/>
        <v>5971</v>
      </c>
      <c r="L135" s="85">
        <f t="shared" si="46"/>
        <v>5971</v>
      </c>
      <c r="M135" s="3"/>
    </row>
    <row r="136" spans="1:13" ht="15.75" customHeight="1">
      <c r="A136" s="45">
        <v>3</v>
      </c>
      <c r="B136" s="37" t="s">
        <v>37</v>
      </c>
      <c r="C136" s="21" t="s">
        <v>38</v>
      </c>
      <c r="D136" s="85">
        <f t="shared" si="46"/>
        <v>101484</v>
      </c>
      <c r="E136" s="85">
        <f t="shared" si="46"/>
        <v>26000</v>
      </c>
      <c r="F136" s="85">
        <f t="shared" si="46"/>
        <v>30000</v>
      </c>
      <c r="G136" s="85">
        <f t="shared" si="46"/>
        <v>30000</v>
      </c>
      <c r="H136" s="85">
        <f t="shared" si="46"/>
        <v>15484</v>
      </c>
      <c r="I136" s="139">
        <f t="shared" si="26"/>
        <v>101484</v>
      </c>
      <c r="J136" s="85">
        <f t="shared" si="46"/>
        <v>35482</v>
      </c>
      <c r="K136" s="85">
        <f t="shared" si="46"/>
        <v>38594</v>
      </c>
      <c r="L136" s="85">
        <f t="shared" si="46"/>
        <v>41016</v>
      </c>
      <c r="M136" s="3"/>
    </row>
    <row r="137" spans="1:13" ht="21.75" customHeight="1">
      <c r="A137" s="30" t="s">
        <v>39</v>
      </c>
      <c r="B137" s="37" t="s">
        <v>152</v>
      </c>
      <c r="C137" s="99"/>
      <c r="D137" s="81">
        <f t="shared" ref="D137:L137" si="47">D138+D142+D149+D156+D159+D154</f>
        <v>-225.1200000000008</v>
      </c>
      <c r="E137" s="81">
        <f t="shared" si="47"/>
        <v>2151.88</v>
      </c>
      <c r="F137" s="81">
        <f t="shared" si="47"/>
        <v>1004</v>
      </c>
      <c r="G137" s="81">
        <f t="shared" si="47"/>
        <v>-2595</v>
      </c>
      <c r="H137" s="81">
        <f t="shared" si="47"/>
        <v>-786</v>
      </c>
      <c r="I137" s="81">
        <f t="shared" si="47"/>
        <v>-225.11999999999898</v>
      </c>
      <c r="J137" s="81">
        <f t="shared" si="47"/>
        <v>6878</v>
      </c>
      <c r="K137" s="81">
        <f t="shared" si="47"/>
        <v>7123</v>
      </c>
      <c r="L137" s="81">
        <f t="shared" si="47"/>
        <v>9637</v>
      </c>
      <c r="M137" s="3"/>
    </row>
    <row r="138" spans="1:13" ht="19.5" customHeight="1">
      <c r="A138" s="45">
        <v>1</v>
      </c>
      <c r="B138" s="37" t="s">
        <v>153</v>
      </c>
      <c r="C138" s="21">
        <v>16.02</v>
      </c>
      <c r="D138" s="85">
        <f t="shared" ref="D138:L138" si="48">D139+D141+D140</f>
        <v>4010</v>
      </c>
      <c r="E138" s="85">
        <f t="shared" si="48"/>
        <v>1550</v>
      </c>
      <c r="F138" s="85">
        <f t="shared" si="48"/>
        <v>750</v>
      </c>
      <c r="G138" s="85">
        <f t="shared" si="48"/>
        <v>750</v>
      </c>
      <c r="H138" s="85">
        <f t="shared" si="48"/>
        <v>960</v>
      </c>
      <c r="I138" s="139">
        <f t="shared" si="26"/>
        <v>4010</v>
      </c>
      <c r="J138" s="85">
        <f t="shared" si="48"/>
        <v>3430</v>
      </c>
      <c r="K138" s="85">
        <f t="shared" si="48"/>
        <v>3430</v>
      </c>
      <c r="L138" s="85">
        <f t="shared" si="48"/>
        <v>3430</v>
      </c>
      <c r="M138" s="3"/>
    </row>
    <row r="139" spans="1:13" ht="22.5" customHeight="1">
      <c r="A139" s="45"/>
      <c r="B139" s="44" t="s">
        <v>41</v>
      </c>
      <c r="C139" s="21" t="s">
        <v>42</v>
      </c>
      <c r="D139" s="82">
        <f t="shared" ref="D139:L142" si="49">D39</f>
        <v>200</v>
      </c>
      <c r="E139" s="82">
        <f t="shared" si="49"/>
        <v>50</v>
      </c>
      <c r="F139" s="82">
        <f t="shared" si="49"/>
        <v>50</v>
      </c>
      <c r="G139" s="82">
        <f t="shared" si="49"/>
        <v>50</v>
      </c>
      <c r="H139" s="82">
        <f t="shared" si="49"/>
        <v>50</v>
      </c>
      <c r="I139" s="139">
        <f t="shared" si="26"/>
        <v>200</v>
      </c>
      <c r="J139" s="82">
        <f t="shared" si="49"/>
        <v>200</v>
      </c>
      <c r="K139" s="82">
        <f t="shared" si="49"/>
        <v>200</v>
      </c>
      <c r="L139" s="82">
        <f t="shared" si="49"/>
        <v>200</v>
      </c>
      <c r="M139" s="3"/>
    </row>
    <row r="140" spans="1:13" ht="20.25" customHeight="1">
      <c r="A140" s="45"/>
      <c r="B140" s="44" t="s">
        <v>43</v>
      </c>
      <c r="C140" s="21" t="s">
        <v>44</v>
      </c>
      <c r="D140" s="82">
        <f t="shared" si="49"/>
        <v>3000</v>
      </c>
      <c r="E140" s="82">
        <f t="shared" si="49"/>
        <v>850</v>
      </c>
      <c r="F140" s="82">
        <f t="shared" si="49"/>
        <v>650</v>
      </c>
      <c r="G140" s="82">
        <f t="shared" si="49"/>
        <v>650</v>
      </c>
      <c r="H140" s="82">
        <f t="shared" si="49"/>
        <v>850</v>
      </c>
      <c r="I140" s="139">
        <f t="shared" ref="I140:I203" si="50">E140+F140+G140+H140</f>
        <v>3000</v>
      </c>
      <c r="J140" s="82">
        <f t="shared" si="49"/>
        <v>3000</v>
      </c>
      <c r="K140" s="82">
        <f t="shared" si="49"/>
        <v>3000</v>
      </c>
      <c r="L140" s="82">
        <f t="shared" si="49"/>
        <v>3000</v>
      </c>
      <c r="M140" s="3"/>
    </row>
    <row r="141" spans="1:13" ht="18.75" customHeight="1">
      <c r="A141" s="45"/>
      <c r="B141" s="44" t="s">
        <v>154</v>
      </c>
      <c r="C141" s="21" t="s">
        <v>46</v>
      </c>
      <c r="D141" s="82">
        <f t="shared" si="49"/>
        <v>810</v>
      </c>
      <c r="E141" s="82">
        <f t="shared" si="49"/>
        <v>650</v>
      </c>
      <c r="F141" s="82">
        <f t="shared" si="49"/>
        <v>50</v>
      </c>
      <c r="G141" s="82">
        <f t="shared" si="49"/>
        <v>50</v>
      </c>
      <c r="H141" s="82">
        <f t="shared" si="49"/>
        <v>60</v>
      </c>
      <c r="I141" s="139">
        <f t="shared" si="50"/>
        <v>810</v>
      </c>
      <c r="J141" s="82">
        <f t="shared" si="49"/>
        <v>230</v>
      </c>
      <c r="K141" s="82">
        <f t="shared" si="49"/>
        <v>230</v>
      </c>
      <c r="L141" s="82">
        <f t="shared" si="49"/>
        <v>230</v>
      </c>
      <c r="M141" s="3"/>
    </row>
    <row r="142" spans="1:13" ht="18" customHeight="1">
      <c r="A142" s="45">
        <v>2</v>
      </c>
      <c r="B142" s="37" t="s">
        <v>47</v>
      </c>
      <c r="C142" s="21" t="s">
        <v>48</v>
      </c>
      <c r="D142" s="78">
        <f t="shared" si="49"/>
        <v>3900</v>
      </c>
      <c r="E142" s="78">
        <f t="shared" si="49"/>
        <v>175</v>
      </c>
      <c r="F142" s="78">
        <f t="shared" si="49"/>
        <v>1775</v>
      </c>
      <c r="G142" s="78">
        <f t="shared" si="49"/>
        <v>175</v>
      </c>
      <c r="H142" s="78">
        <f t="shared" si="49"/>
        <v>1775</v>
      </c>
      <c r="I142" s="139">
        <f t="shared" si="50"/>
        <v>3900</v>
      </c>
      <c r="J142" s="78">
        <f t="shared" si="49"/>
        <v>4000</v>
      </c>
      <c r="K142" s="78">
        <f t="shared" si="49"/>
        <v>4000</v>
      </c>
      <c r="L142" s="78">
        <f t="shared" si="49"/>
        <v>4000</v>
      </c>
      <c r="M142" s="3"/>
    </row>
    <row r="143" spans="1:13" ht="0.75" customHeight="1">
      <c r="A143" s="45"/>
      <c r="B143" s="44" t="s">
        <v>49</v>
      </c>
      <c r="C143" s="21" t="s">
        <v>50</v>
      </c>
      <c r="D143" s="82">
        <v>0</v>
      </c>
      <c r="E143" s="82"/>
      <c r="F143" s="82"/>
      <c r="G143" s="82"/>
      <c r="H143" s="82"/>
      <c r="I143" s="139">
        <f t="shared" si="50"/>
        <v>0</v>
      </c>
      <c r="J143" s="82">
        <v>0</v>
      </c>
      <c r="K143" s="82">
        <v>0</v>
      </c>
      <c r="L143" s="82">
        <v>0</v>
      </c>
      <c r="M143" s="3"/>
    </row>
    <row r="144" spans="1:13" ht="11.25" hidden="1" customHeight="1">
      <c r="A144" s="45"/>
      <c r="B144" s="44" t="s">
        <v>51</v>
      </c>
      <c r="C144" s="21" t="s">
        <v>52</v>
      </c>
      <c r="D144" s="82">
        <v>0</v>
      </c>
      <c r="E144" s="82"/>
      <c r="F144" s="82"/>
      <c r="G144" s="82"/>
      <c r="H144" s="82"/>
      <c r="I144" s="139">
        <f t="shared" si="50"/>
        <v>0</v>
      </c>
      <c r="J144" s="82">
        <v>0</v>
      </c>
      <c r="K144" s="82">
        <v>0</v>
      </c>
      <c r="L144" s="82">
        <v>0</v>
      </c>
      <c r="M144" s="3"/>
    </row>
    <row r="145" spans="1:13" ht="16.5" customHeight="1">
      <c r="A145" s="45"/>
      <c r="B145" s="44" t="s">
        <v>53</v>
      </c>
      <c r="C145" s="21" t="s">
        <v>54</v>
      </c>
      <c r="D145" s="82">
        <f t="shared" ref="D145:L145" si="51">D45</f>
        <v>3800</v>
      </c>
      <c r="E145" s="82">
        <f t="shared" si="51"/>
        <v>150</v>
      </c>
      <c r="F145" s="82">
        <f t="shared" si="51"/>
        <v>1750</v>
      </c>
      <c r="G145" s="82">
        <f t="shared" si="51"/>
        <v>150</v>
      </c>
      <c r="H145" s="82">
        <f t="shared" si="51"/>
        <v>1750</v>
      </c>
      <c r="I145" s="139">
        <f t="shared" si="50"/>
        <v>3800</v>
      </c>
      <c r="J145" s="82">
        <f t="shared" si="51"/>
        <v>3900</v>
      </c>
      <c r="K145" s="82">
        <f t="shared" si="51"/>
        <v>3900</v>
      </c>
      <c r="L145" s="82">
        <f t="shared" si="51"/>
        <v>3900</v>
      </c>
      <c r="M145" s="3"/>
    </row>
    <row r="146" spans="1:13" ht="0.75" customHeight="1">
      <c r="A146" s="45"/>
      <c r="B146" s="44" t="s">
        <v>55</v>
      </c>
      <c r="C146" s="21" t="s">
        <v>56</v>
      </c>
      <c r="D146" s="82">
        <v>0</v>
      </c>
      <c r="E146" s="82"/>
      <c r="F146" s="82"/>
      <c r="G146" s="82"/>
      <c r="H146" s="82"/>
      <c r="I146" s="139">
        <f t="shared" si="50"/>
        <v>0</v>
      </c>
      <c r="J146" s="82">
        <v>0</v>
      </c>
      <c r="K146" s="82">
        <v>0</v>
      </c>
      <c r="L146" s="82">
        <v>0</v>
      </c>
      <c r="M146" s="3"/>
    </row>
    <row r="147" spans="1:13" ht="15.75" customHeight="1">
      <c r="A147" s="45"/>
      <c r="B147" s="44" t="s">
        <v>57</v>
      </c>
      <c r="C147" s="21" t="s">
        <v>58</v>
      </c>
      <c r="D147" s="82">
        <f t="shared" ref="D147:L147" si="52">D148</f>
        <v>100</v>
      </c>
      <c r="E147" s="82">
        <f t="shared" si="52"/>
        <v>25</v>
      </c>
      <c r="F147" s="82">
        <f t="shared" si="52"/>
        <v>25</v>
      </c>
      <c r="G147" s="82">
        <f t="shared" si="52"/>
        <v>25</v>
      </c>
      <c r="H147" s="82">
        <f t="shared" si="52"/>
        <v>25</v>
      </c>
      <c r="I147" s="139">
        <f t="shared" si="50"/>
        <v>100</v>
      </c>
      <c r="J147" s="82">
        <f t="shared" si="52"/>
        <v>100</v>
      </c>
      <c r="K147" s="82">
        <f t="shared" si="52"/>
        <v>100</v>
      </c>
      <c r="L147" s="82">
        <f t="shared" si="52"/>
        <v>100</v>
      </c>
      <c r="M147" s="3"/>
    </row>
    <row r="148" spans="1:13" ht="14.25" customHeight="1">
      <c r="A148" s="45"/>
      <c r="B148" s="44" t="s">
        <v>59</v>
      </c>
      <c r="C148" s="21" t="s">
        <v>60</v>
      </c>
      <c r="D148" s="80">
        <f t="shared" ref="D148:L148" si="53">D48</f>
        <v>100</v>
      </c>
      <c r="E148" s="80">
        <f t="shared" si="53"/>
        <v>25</v>
      </c>
      <c r="F148" s="80">
        <f t="shared" si="53"/>
        <v>25</v>
      </c>
      <c r="G148" s="80">
        <f t="shared" si="53"/>
        <v>25</v>
      </c>
      <c r="H148" s="80">
        <f t="shared" si="53"/>
        <v>25</v>
      </c>
      <c r="I148" s="139">
        <f t="shared" si="50"/>
        <v>100</v>
      </c>
      <c r="J148" s="80">
        <f t="shared" si="53"/>
        <v>100</v>
      </c>
      <c r="K148" s="80">
        <f t="shared" si="53"/>
        <v>100</v>
      </c>
      <c r="L148" s="80">
        <f t="shared" si="53"/>
        <v>100</v>
      </c>
      <c r="M148" s="3"/>
    </row>
    <row r="149" spans="1:13" ht="18.75" customHeight="1">
      <c r="A149" s="45">
        <v>3</v>
      </c>
      <c r="B149" s="37" t="s">
        <v>61</v>
      </c>
      <c r="C149" s="21">
        <v>33.020000000000003</v>
      </c>
      <c r="D149" s="85">
        <f t="shared" ref="D149:L149" si="54">D150+D151+D152+D153</f>
        <v>1728</v>
      </c>
      <c r="E149" s="85">
        <f t="shared" si="54"/>
        <v>357</v>
      </c>
      <c r="F149" s="85">
        <f t="shared" si="54"/>
        <v>457</v>
      </c>
      <c r="G149" s="85">
        <f t="shared" si="54"/>
        <v>457</v>
      </c>
      <c r="H149" s="85">
        <f t="shared" si="54"/>
        <v>457</v>
      </c>
      <c r="I149" s="139">
        <f t="shared" si="50"/>
        <v>1728</v>
      </c>
      <c r="J149" s="85">
        <f t="shared" si="54"/>
        <v>2828</v>
      </c>
      <c r="K149" s="85">
        <f t="shared" si="54"/>
        <v>3098</v>
      </c>
      <c r="L149" s="85">
        <f t="shared" si="54"/>
        <v>3378</v>
      </c>
      <c r="M149" s="3"/>
    </row>
    <row r="150" spans="1:13" ht="18.75" customHeight="1">
      <c r="A150" s="45"/>
      <c r="B150" s="44" t="s">
        <v>457</v>
      </c>
      <c r="C150" s="21" t="s">
        <v>458</v>
      </c>
      <c r="D150" s="85">
        <f t="shared" ref="D150:L151" si="55">D50</f>
        <v>1700</v>
      </c>
      <c r="E150" s="85">
        <f t="shared" si="55"/>
        <v>350</v>
      </c>
      <c r="F150" s="85">
        <f t="shared" si="55"/>
        <v>450</v>
      </c>
      <c r="G150" s="85">
        <f t="shared" si="55"/>
        <v>450</v>
      </c>
      <c r="H150" s="85">
        <f t="shared" si="55"/>
        <v>450</v>
      </c>
      <c r="I150" s="139">
        <f t="shared" si="50"/>
        <v>1700</v>
      </c>
      <c r="J150" s="85">
        <f>J50</f>
        <v>2800</v>
      </c>
      <c r="K150" s="85">
        <f>K50</f>
        <v>3070</v>
      </c>
      <c r="L150" s="85">
        <f>L50</f>
        <v>3350</v>
      </c>
      <c r="M150" s="3"/>
    </row>
    <row r="151" spans="1:13" ht="15" customHeight="1">
      <c r="A151" s="45"/>
      <c r="B151" s="44" t="s">
        <v>62</v>
      </c>
      <c r="C151" s="21" t="s">
        <v>63</v>
      </c>
      <c r="D151" s="80">
        <f t="shared" si="55"/>
        <v>16</v>
      </c>
      <c r="E151" s="80">
        <f t="shared" si="55"/>
        <v>4</v>
      </c>
      <c r="F151" s="80">
        <f t="shared" si="55"/>
        <v>4</v>
      </c>
      <c r="G151" s="80">
        <f t="shared" si="55"/>
        <v>4</v>
      </c>
      <c r="H151" s="80">
        <f t="shared" si="55"/>
        <v>4</v>
      </c>
      <c r="I151" s="139">
        <f t="shared" si="50"/>
        <v>16</v>
      </c>
      <c r="J151" s="80">
        <f t="shared" si="55"/>
        <v>16</v>
      </c>
      <c r="K151" s="80">
        <f t="shared" si="55"/>
        <v>16</v>
      </c>
      <c r="L151" s="80">
        <f t="shared" si="55"/>
        <v>16</v>
      </c>
      <c r="M151" s="3"/>
    </row>
    <row r="152" spans="1:13" ht="17.25" hidden="1" customHeight="1">
      <c r="A152" s="45"/>
      <c r="B152" s="44" t="s">
        <v>64</v>
      </c>
      <c r="C152" s="21" t="s">
        <v>65</v>
      </c>
      <c r="D152" s="82">
        <v>0</v>
      </c>
      <c r="E152" s="82"/>
      <c r="F152" s="82"/>
      <c r="G152" s="82"/>
      <c r="H152" s="82"/>
      <c r="I152" s="139">
        <f t="shared" si="50"/>
        <v>0</v>
      </c>
      <c r="J152" s="80"/>
      <c r="K152" s="80"/>
      <c r="L152" s="80"/>
      <c r="M152" s="3"/>
    </row>
    <row r="153" spans="1:13" ht="19.5" customHeight="1">
      <c r="A153" s="45"/>
      <c r="B153" s="44" t="s">
        <v>61</v>
      </c>
      <c r="C153" s="21" t="s">
        <v>66</v>
      </c>
      <c r="D153" s="80">
        <f t="shared" ref="D153:L153" si="56">D53</f>
        <v>12</v>
      </c>
      <c r="E153" s="80">
        <f t="shared" si="56"/>
        <v>3</v>
      </c>
      <c r="F153" s="80">
        <f t="shared" si="56"/>
        <v>3</v>
      </c>
      <c r="G153" s="80">
        <f t="shared" si="56"/>
        <v>3</v>
      </c>
      <c r="H153" s="80">
        <f t="shared" si="56"/>
        <v>3</v>
      </c>
      <c r="I153" s="139">
        <f t="shared" si="50"/>
        <v>12</v>
      </c>
      <c r="J153" s="80">
        <f t="shared" si="56"/>
        <v>12</v>
      </c>
      <c r="K153" s="80">
        <f t="shared" si="56"/>
        <v>12</v>
      </c>
      <c r="L153" s="80">
        <f t="shared" si="56"/>
        <v>12</v>
      </c>
      <c r="M153" s="3"/>
    </row>
    <row r="154" spans="1:13" ht="19.5" customHeight="1">
      <c r="A154" s="45">
        <v>4</v>
      </c>
      <c r="B154" s="37" t="s">
        <v>67</v>
      </c>
      <c r="C154" s="21">
        <v>35.020000000000003</v>
      </c>
      <c r="D154" s="85">
        <f t="shared" ref="D154:L154" si="57">D155</f>
        <v>40</v>
      </c>
      <c r="E154" s="85">
        <f t="shared" si="57"/>
        <v>10</v>
      </c>
      <c r="F154" s="85">
        <f t="shared" si="57"/>
        <v>10</v>
      </c>
      <c r="G154" s="85">
        <f t="shared" si="57"/>
        <v>10</v>
      </c>
      <c r="H154" s="85">
        <f t="shared" si="57"/>
        <v>10</v>
      </c>
      <c r="I154" s="139">
        <f t="shared" si="50"/>
        <v>40</v>
      </c>
      <c r="J154" s="85">
        <f t="shared" si="57"/>
        <v>40</v>
      </c>
      <c r="K154" s="85">
        <f t="shared" si="57"/>
        <v>40</v>
      </c>
      <c r="L154" s="85">
        <f t="shared" si="57"/>
        <v>40</v>
      </c>
      <c r="M154" s="3"/>
    </row>
    <row r="155" spans="1:13" ht="19.5" customHeight="1">
      <c r="A155" s="45"/>
      <c r="B155" s="44" t="s">
        <v>68</v>
      </c>
      <c r="C155" s="21" t="s">
        <v>69</v>
      </c>
      <c r="D155" s="82">
        <f t="shared" ref="D155:L155" si="58">D55</f>
        <v>40</v>
      </c>
      <c r="E155" s="82">
        <f t="shared" si="58"/>
        <v>10</v>
      </c>
      <c r="F155" s="82">
        <f t="shared" si="58"/>
        <v>10</v>
      </c>
      <c r="G155" s="82">
        <f t="shared" si="58"/>
        <v>10</v>
      </c>
      <c r="H155" s="82">
        <f t="shared" si="58"/>
        <v>10</v>
      </c>
      <c r="I155" s="139">
        <f t="shared" si="50"/>
        <v>40</v>
      </c>
      <c r="J155" s="82">
        <f t="shared" si="58"/>
        <v>40</v>
      </c>
      <c r="K155" s="82">
        <f t="shared" si="58"/>
        <v>40</v>
      </c>
      <c r="L155" s="82">
        <f t="shared" si="58"/>
        <v>40</v>
      </c>
      <c r="M155" s="3"/>
    </row>
    <row r="156" spans="1:13" ht="20.25" customHeight="1">
      <c r="A156" s="45">
        <v>5</v>
      </c>
      <c r="B156" s="37" t="s">
        <v>70</v>
      </c>
      <c r="C156" s="21">
        <v>36.020000000000003</v>
      </c>
      <c r="D156" s="85">
        <f t="shared" ref="D156:L156" si="59">D157+D158</f>
        <v>50</v>
      </c>
      <c r="E156" s="85">
        <f t="shared" si="59"/>
        <v>13</v>
      </c>
      <c r="F156" s="85">
        <f t="shared" si="59"/>
        <v>12</v>
      </c>
      <c r="G156" s="85">
        <f t="shared" si="59"/>
        <v>13</v>
      </c>
      <c r="H156" s="85">
        <f t="shared" si="59"/>
        <v>12</v>
      </c>
      <c r="I156" s="139">
        <f t="shared" si="50"/>
        <v>50</v>
      </c>
      <c r="J156" s="85">
        <f t="shared" si="59"/>
        <v>50</v>
      </c>
      <c r="K156" s="85">
        <f t="shared" si="59"/>
        <v>50</v>
      </c>
      <c r="L156" s="85">
        <f t="shared" si="59"/>
        <v>50</v>
      </c>
      <c r="M156" s="3"/>
    </row>
    <row r="157" spans="1:13" ht="18" customHeight="1">
      <c r="A157" s="45"/>
      <c r="B157" s="44" t="s">
        <v>155</v>
      </c>
      <c r="C157" s="21" t="s">
        <v>72</v>
      </c>
      <c r="D157" s="82">
        <f t="shared" ref="D157:L158" si="60">D57</f>
        <v>0</v>
      </c>
      <c r="E157" s="82">
        <f t="shared" si="60"/>
        <v>0</v>
      </c>
      <c r="F157" s="82">
        <f t="shared" si="60"/>
        <v>0</v>
      </c>
      <c r="G157" s="82">
        <f t="shared" si="60"/>
        <v>0</v>
      </c>
      <c r="H157" s="82">
        <f t="shared" si="60"/>
        <v>0</v>
      </c>
      <c r="I157" s="139">
        <f t="shared" si="50"/>
        <v>0</v>
      </c>
      <c r="J157" s="82">
        <f t="shared" si="60"/>
        <v>0</v>
      </c>
      <c r="K157" s="82">
        <f t="shared" si="60"/>
        <v>0</v>
      </c>
      <c r="L157" s="82">
        <f t="shared" si="60"/>
        <v>0</v>
      </c>
      <c r="M157" s="3"/>
    </row>
    <row r="158" spans="1:13" ht="18" customHeight="1">
      <c r="A158" s="45"/>
      <c r="B158" s="44" t="s">
        <v>73</v>
      </c>
      <c r="C158" s="21" t="s">
        <v>74</v>
      </c>
      <c r="D158" s="82">
        <f t="shared" si="60"/>
        <v>50</v>
      </c>
      <c r="E158" s="82">
        <f t="shared" si="60"/>
        <v>13</v>
      </c>
      <c r="F158" s="82">
        <f t="shared" si="60"/>
        <v>12</v>
      </c>
      <c r="G158" s="82">
        <f t="shared" si="60"/>
        <v>13</v>
      </c>
      <c r="H158" s="82">
        <f t="shared" si="60"/>
        <v>12</v>
      </c>
      <c r="I158" s="139">
        <f t="shared" si="50"/>
        <v>50</v>
      </c>
      <c r="J158" s="82">
        <f t="shared" si="60"/>
        <v>50</v>
      </c>
      <c r="K158" s="82">
        <f t="shared" si="60"/>
        <v>50</v>
      </c>
      <c r="L158" s="82">
        <f t="shared" si="60"/>
        <v>50</v>
      </c>
      <c r="M158" s="3"/>
    </row>
    <row r="159" spans="1:13" ht="15" customHeight="1">
      <c r="A159" s="45">
        <v>4</v>
      </c>
      <c r="B159" s="37" t="s">
        <v>75</v>
      </c>
      <c r="C159" s="21">
        <v>37.020000000000003</v>
      </c>
      <c r="D159" s="85">
        <f t="shared" ref="D159:L159" si="61">D160+D161+D162</f>
        <v>-9953.1200000000008</v>
      </c>
      <c r="E159" s="85">
        <f t="shared" si="61"/>
        <v>46.879999999999995</v>
      </c>
      <c r="F159" s="85">
        <f t="shared" si="61"/>
        <v>-2000</v>
      </c>
      <c r="G159" s="85">
        <f t="shared" si="61"/>
        <v>-4000</v>
      </c>
      <c r="H159" s="85">
        <f t="shared" si="61"/>
        <v>-4000</v>
      </c>
      <c r="I159" s="139">
        <f t="shared" si="50"/>
        <v>-9953.119999999999</v>
      </c>
      <c r="J159" s="85">
        <f t="shared" si="61"/>
        <v>-3470</v>
      </c>
      <c r="K159" s="85">
        <f t="shared" si="61"/>
        <v>-3495</v>
      </c>
      <c r="L159" s="85">
        <f t="shared" si="61"/>
        <v>-1261</v>
      </c>
      <c r="M159" s="3"/>
    </row>
    <row r="160" spans="1:13" ht="14.25" customHeight="1">
      <c r="A160" s="45"/>
      <c r="B160" s="44" t="s">
        <v>76</v>
      </c>
      <c r="C160" s="21" t="s">
        <v>77</v>
      </c>
      <c r="D160" s="85">
        <f t="shared" ref="D160:L161" si="62">D60</f>
        <v>46.879999999999995</v>
      </c>
      <c r="E160" s="85">
        <f t="shared" si="62"/>
        <v>46.879999999999995</v>
      </c>
      <c r="F160" s="85">
        <f t="shared" si="62"/>
        <v>0</v>
      </c>
      <c r="G160" s="85">
        <f t="shared" si="62"/>
        <v>0</v>
      </c>
      <c r="H160" s="85">
        <f t="shared" si="62"/>
        <v>0</v>
      </c>
      <c r="I160" s="139">
        <f t="shared" si="50"/>
        <v>46.879999999999995</v>
      </c>
      <c r="J160" s="85">
        <f t="shared" si="62"/>
        <v>0</v>
      </c>
      <c r="K160" s="85">
        <f t="shared" si="62"/>
        <v>0</v>
      </c>
      <c r="L160" s="85">
        <f t="shared" si="62"/>
        <v>0</v>
      </c>
      <c r="M160" s="3"/>
    </row>
    <row r="161" spans="1:13" ht="17.25" customHeight="1">
      <c r="A161" s="45"/>
      <c r="B161" s="44" t="s">
        <v>156</v>
      </c>
      <c r="C161" s="21" t="s">
        <v>79</v>
      </c>
      <c r="D161" s="85">
        <f t="shared" si="62"/>
        <v>-10000</v>
      </c>
      <c r="E161" s="85">
        <f t="shared" si="62"/>
        <v>0</v>
      </c>
      <c r="F161" s="85">
        <f t="shared" si="62"/>
        <v>-2000</v>
      </c>
      <c r="G161" s="85">
        <f t="shared" si="62"/>
        <v>-4000</v>
      </c>
      <c r="H161" s="85">
        <f t="shared" si="62"/>
        <v>-4000</v>
      </c>
      <c r="I161" s="139">
        <f t="shared" si="50"/>
        <v>-10000</v>
      </c>
      <c r="J161" s="85">
        <f t="shared" si="62"/>
        <v>-3470</v>
      </c>
      <c r="K161" s="85">
        <f t="shared" si="62"/>
        <v>-3495</v>
      </c>
      <c r="L161" s="85">
        <f t="shared" si="62"/>
        <v>-1261</v>
      </c>
      <c r="M161" s="3"/>
    </row>
    <row r="162" spans="1:13" ht="17.25" hidden="1" customHeight="1">
      <c r="A162" s="45"/>
      <c r="B162" s="44" t="s">
        <v>82</v>
      </c>
      <c r="C162" s="21" t="s">
        <v>83</v>
      </c>
      <c r="D162" s="85">
        <v>0</v>
      </c>
      <c r="E162" s="85"/>
      <c r="F162" s="85"/>
      <c r="G162" s="85"/>
      <c r="H162" s="85"/>
      <c r="I162" s="139">
        <f t="shared" si="50"/>
        <v>0</v>
      </c>
      <c r="J162" s="85"/>
      <c r="K162" s="85"/>
      <c r="L162" s="85"/>
      <c r="M162" s="3"/>
    </row>
    <row r="163" spans="1:13" ht="17.25" hidden="1" customHeight="1">
      <c r="A163" s="45">
        <v>7</v>
      </c>
      <c r="B163" s="37" t="s">
        <v>84</v>
      </c>
      <c r="C163" s="21">
        <v>39.020000000000003</v>
      </c>
      <c r="D163" s="85">
        <f>D164</f>
        <v>0</v>
      </c>
      <c r="E163" s="85"/>
      <c r="F163" s="85"/>
      <c r="G163" s="85"/>
      <c r="H163" s="85"/>
      <c r="I163" s="139">
        <f t="shared" si="50"/>
        <v>0</v>
      </c>
      <c r="J163" s="85"/>
      <c r="K163" s="85"/>
      <c r="L163" s="85"/>
      <c r="M163" s="3"/>
    </row>
    <row r="164" spans="1:13" ht="0.75" customHeight="1">
      <c r="A164" s="45"/>
      <c r="B164" s="44" t="s">
        <v>85</v>
      </c>
      <c r="C164" s="21" t="s">
        <v>86</v>
      </c>
      <c r="D164" s="85"/>
      <c r="E164" s="85"/>
      <c r="F164" s="85"/>
      <c r="G164" s="85"/>
      <c r="H164" s="85"/>
      <c r="I164" s="139">
        <f t="shared" si="50"/>
        <v>0</v>
      </c>
      <c r="J164" s="85"/>
      <c r="K164" s="85"/>
      <c r="L164" s="85"/>
      <c r="M164" s="3"/>
    </row>
    <row r="165" spans="1:13" ht="15" hidden="1" customHeight="1">
      <c r="A165" s="45"/>
      <c r="B165" s="44" t="s">
        <v>157</v>
      </c>
      <c r="C165" s="21">
        <v>40.020000000000003</v>
      </c>
      <c r="D165" s="85">
        <v>0</v>
      </c>
      <c r="E165" s="85"/>
      <c r="F165" s="85"/>
      <c r="G165" s="85"/>
      <c r="H165" s="85"/>
      <c r="I165" s="139">
        <f t="shared" si="50"/>
        <v>0</v>
      </c>
      <c r="J165" s="85"/>
      <c r="K165" s="85"/>
      <c r="L165" s="85"/>
      <c r="M165" s="3"/>
    </row>
    <row r="166" spans="1:13" ht="17.25" customHeight="1">
      <c r="A166" s="30" t="s">
        <v>91</v>
      </c>
      <c r="B166" s="37" t="s">
        <v>92</v>
      </c>
      <c r="C166" s="21" t="s">
        <v>93</v>
      </c>
      <c r="D166" s="81">
        <f t="shared" ref="D166:L166" si="63">D167</f>
        <v>7291</v>
      </c>
      <c r="E166" s="81">
        <f t="shared" si="63"/>
        <v>1775</v>
      </c>
      <c r="F166" s="81">
        <f t="shared" si="63"/>
        <v>2109</v>
      </c>
      <c r="G166" s="81">
        <f t="shared" si="63"/>
        <v>1902</v>
      </c>
      <c r="H166" s="81">
        <f t="shared" si="63"/>
        <v>1505</v>
      </c>
      <c r="I166" s="139">
        <f t="shared" si="50"/>
        <v>7291</v>
      </c>
      <c r="J166" s="81">
        <f t="shared" si="63"/>
        <v>7355</v>
      </c>
      <c r="K166" s="81">
        <f t="shared" si="63"/>
        <v>7465</v>
      </c>
      <c r="L166" s="81">
        <f t="shared" si="63"/>
        <v>7575</v>
      </c>
      <c r="M166" s="3"/>
    </row>
    <row r="167" spans="1:13" ht="17.25" customHeight="1">
      <c r="A167" s="45"/>
      <c r="B167" s="44" t="s">
        <v>94</v>
      </c>
      <c r="C167" s="21">
        <v>42.02</v>
      </c>
      <c r="D167" s="78">
        <f t="shared" ref="D167:L167" si="64">D171+D172+D173+D175+D176+D179</f>
        <v>7291</v>
      </c>
      <c r="E167" s="78">
        <f t="shared" si="64"/>
        <v>1775</v>
      </c>
      <c r="F167" s="78">
        <f t="shared" si="64"/>
        <v>2109</v>
      </c>
      <c r="G167" s="78">
        <f t="shared" si="64"/>
        <v>1902</v>
      </c>
      <c r="H167" s="78">
        <f t="shared" si="64"/>
        <v>1505</v>
      </c>
      <c r="I167" s="139">
        <f t="shared" si="50"/>
        <v>7291</v>
      </c>
      <c r="J167" s="78">
        <f t="shared" si="64"/>
        <v>7355</v>
      </c>
      <c r="K167" s="78">
        <f t="shared" si="64"/>
        <v>7465</v>
      </c>
      <c r="L167" s="78">
        <f t="shared" si="64"/>
        <v>7575</v>
      </c>
      <c r="M167" s="3"/>
    </row>
    <row r="168" spans="1:13" ht="17.25" hidden="1" customHeight="1">
      <c r="A168" s="45"/>
      <c r="B168" s="32" t="s">
        <v>95</v>
      </c>
      <c r="C168" s="21" t="s">
        <v>96</v>
      </c>
      <c r="D168" s="82">
        <v>0</v>
      </c>
      <c r="E168" s="82"/>
      <c r="F168" s="82"/>
      <c r="G168" s="82"/>
      <c r="H168" s="82"/>
      <c r="I168" s="139">
        <f t="shared" si="50"/>
        <v>0</v>
      </c>
      <c r="J168" s="80"/>
      <c r="K168" s="80"/>
      <c r="L168" s="80"/>
      <c r="M168" s="3"/>
    </row>
    <row r="169" spans="1:13" ht="17.25" hidden="1" customHeight="1">
      <c r="A169" s="45"/>
      <c r="B169" s="32" t="s">
        <v>107</v>
      </c>
      <c r="C169" s="21" t="s">
        <v>108</v>
      </c>
      <c r="D169" s="82">
        <v>0</v>
      </c>
      <c r="E169" s="82"/>
      <c r="F169" s="82"/>
      <c r="G169" s="82"/>
      <c r="H169" s="82"/>
      <c r="I169" s="139">
        <f t="shared" si="50"/>
        <v>0</v>
      </c>
      <c r="J169" s="80"/>
      <c r="K169" s="80"/>
      <c r="L169" s="80"/>
      <c r="M169" s="3"/>
    </row>
    <row r="170" spans="1:13" ht="17.25" hidden="1" customHeight="1">
      <c r="A170" s="45"/>
      <c r="B170" s="32" t="s">
        <v>109</v>
      </c>
      <c r="C170" s="21" t="s">
        <v>110</v>
      </c>
      <c r="D170" s="82">
        <v>0</v>
      </c>
      <c r="E170" s="82"/>
      <c r="F170" s="82"/>
      <c r="G170" s="82"/>
      <c r="H170" s="82"/>
      <c r="I170" s="139">
        <f t="shared" si="50"/>
        <v>0</v>
      </c>
      <c r="J170" s="80"/>
      <c r="K170" s="80"/>
      <c r="L170" s="80"/>
      <c r="M170" s="3"/>
    </row>
    <row r="171" spans="1:13" ht="16.5" customHeight="1">
      <c r="A171" s="45"/>
      <c r="B171" s="32" t="s">
        <v>111</v>
      </c>
      <c r="C171" s="21" t="s">
        <v>112</v>
      </c>
      <c r="D171" s="80">
        <f t="shared" ref="D171:H171" si="65">D80</f>
        <v>1525</v>
      </c>
      <c r="E171" s="80">
        <f t="shared" si="65"/>
        <v>393</v>
      </c>
      <c r="F171" s="80">
        <f t="shared" si="65"/>
        <v>407</v>
      </c>
      <c r="G171" s="80">
        <f t="shared" si="65"/>
        <v>520</v>
      </c>
      <c r="H171" s="80">
        <f t="shared" si="65"/>
        <v>205</v>
      </c>
      <c r="I171" s="139">
        <f t="shared" si="50"/>
        <v>1525</v>
      </c>
      <c r="J171" s="80">
        <f t="shared" ref="J171:L172" si="66">J80</f>
        <v>1625</v>
      </c>
      <c r="K171" s="80">
        <f t="shared" si="66"/>
        <v>1735</v>
      </c>
      <c r="L171" s="80">
        <f t="shared" si="66"/>
        <v>1845</v>
      </c>
      <c r="M171" s="3"/>
    </row>
    <row r="172" spans="1:13" ht="15" customHeight="1">
      <c r="A172" s="45"/>
      <c r="B172" s="32" t="s">
        <v>113</v>
      </c>
      <c r="C172" s="21" t="s">
        <v>114</v>
      </c>
      <c r="D172" s="82">
        <f>D81</f>
        <v>0</v>
      </c>
      <c r="E172" s="82">
        <f t="shared" ref="E172:H172" si="67">E81</f>
        <v>0</v>
      </c>
      <c r="F172" s="82">
        <f t="shared" si="67"/>
        <v>0</v>
      </c>
      <c r="G172" s="82">
        <f t="shared" si="67"/>
        <v>0</v>
      </c>
      <c r="H172" s="82">
        <f t="shared" si="67"/>
        <v>0</v>
      </c>
      <c r="I172" s="139">
        <f t="shared" si="50"/>
        <v>0</v>
      </c>
      <c r="J172" s="82">
        <f t="shared" si="66"/>
        <v>0</v>
      </c>
      <c r="K172" s="82">
        <f t="shared" si="66"/>
        <v>0</v>
      </c>
      <c r="L172" s="82">
        <f t="shared" si="66"/>
        <v>0</v>
      </c>
      <c r="M172" s="3"/>
    </row>
    <row r="173" spans="1:13" ht="18" customHeight="1">
      <c r="A173" s="45"/>
      <c r="B173" s="32" t="s">
        <v>158</v>
      </c>
      <c r="C173" s="21" t="s">
        <v>120</v>
      </c>
      <c r="D173" s="82">
        <f t="shared" ref="D173:L173" si="68">D84</f>
        <v>5446</v>
      </c>
      <c r="E173" s="82">
        <f t="shared" si="68"/>
        <v>1382</v>
      </c>
      <c r="F173" s="82">
        <f t="shared" si="68"/>
        <v>1382</v>
      </c>
      <c r="G173" s="82">
        <f t="shared" si="68"/>
        <v>1382</v>
      </c>
      <c r="H173" s="82">
        <f t="shared" si="68"/>
        <v>1300</v>
      </c>
      <c r="I173" s="139">
        <f t="shared" si="50"/>
        <v>5446</v>
      </c>
      <c r="J173" s="82">
        <f t="shared" si="68"/>
        <v>5730</v>
      </c>
      <c r="K173" s="82">
        <f t="shared" si="68"/>
        <v>5730</v>
      </c>
      <c r="L173" s="82">
        <f t="shared" si="68"/>
        <v>5730</v>
      </c>
      <c r="M173" s="3"/>
    </row>
    <row r="174" spans="1:13" ht="29.25" hidden="1" customHeight="1">
      <c r="A174" s="45"/>
      <c r="B174" s="32" t="s">
        <v>115</v>
      </c>
      <c r="C174" s="21" t="s">
        <v>116</v>
      </c>
      <c r="D174" s="82">
        <v>0</v>
      </c>
      <c r="E174" s="82"/>
      <c r="F174" s="82"/>
      <c r="G174" s="82"/>
      <c r="H174" s="82"/>
      <c r="I174" s="139">
        <f t="shared" si="50"/>
        <v>0</v>
      </c>
      <c r="J174" s="80"/>
      <c r="K174" s="80"/>
      <c r="L174" s="80"/>
      <c r="M174" s="3"/>
    </row>
    <row r="175" spans="1:13" ht="29.25" hidden="1" customHeight="1">
      <c r="A175" s="45"/>
      <c r="B175" s="32" t="s">
        <v>117</v>
      </c>
      <c r="C175" s="21" t="s">
        <v>118</v>
      </c>
      <c r="D175" s="82">
        <v>0</v>
      </c>
      <c r="E175" s="82"/>
      <c r="F175" s="82"/>
      <c r="G175" s="82"/>
      <c r="H175" s="82"/>
      <c r="I175" s="139">
        <f t="shared" si="50"/>
        <v>0</v>
      </c>
      <c r="J175" s="80"/>
      <c r="K175" s="80"/>
      <c r="L175" s="80"/>
      <c r="M175" s="3"/>
    </row>
    <row r="176" spans="1:13" ht="29.25" hidden="1" customHeight="1">
      <c r="A176" s="45"/>
      <c r="B176" s="32" t="s">
        <v>121</v>
      </c>
      <c r="C176" s="21" t="s">
        <v>122</v>
      </c>
      <c r="D176" s="82">
        <f t="shared" ref="D176:L176" si="69">D85</f>
        <v>0</v>
      </c>
      <c r="E176" s="82"/>
      <c r="F176" s="82"/>
      <c r="G176" s="82"/>
      <c r="H176" s="82"/>
      <c r="I176" s="139">
        <f t="shared" si="50"/>
        <v>0</v>
      </c>
      <c r="J176" s="82">
        <f t="shared" si="69"/>
        <v>0</v>
      </c>
      <c r="K176" s="82">
        <f t="shared" si="69"/>
        <v>0</v>
      </c>
      <c r="L176" s="82">
        <f t="shared" si="69"/>
        <v>0</v>
      </c>
      <c r="M176" s="3"/>
    </row>
    <row r="177" spans="1:13" ht="29.25" hidden="1" customHeight="1">
      <c r="A177" s="48"/>
      <c r="B177" s="32" t="s">
        <v>117</v>
      </c>
      <c r="C177" s="21" t="s">
        <v>118</v>
      </c>
      <c r="D177" s="82">
        <v>0</v>
      </c>
      <c r="E177" s="82"/>
      <c r="F177" s="82"/>
      <c r="G177" s="82"/>
      <c r="H177" s="82"/>
      <c r="I177" s="139">
        <f t="shared" si="50"/>
        <v>0</v>
      </c>
      <c r="J177" s="80"/>
      <c r="K177" s="80"/>
      <c r="L177" s="80"/>
      <c r="M177" s="3"/>
    </row>
    <row r="178" spans="1:13" ht="29.25" hidden="1" customHeight="1">
      <c r="A178" s="48"/>
      <c r="B178" s="49" t="s">
        <v>159</v>
      </c>
      <c r="C178" s="21" t="s">
        <v>126</v>
      </c>
      <c r="D178" s="82">
        <v>0</v>
      </c>
      <c r="E178" s="82"/>
      <c r="F178" s="82"/>
      <c r="G178" s="82"/>
      <c r="H178" s="82"/>
      <c r="I178" s="139">
        <f t="shared" si="50"/>
        <v>0</v>
      </c>
      <c r="J178" s="80"/>
      <c r="K178" s="80"/>
      <c r="L178" s="80"/>
      <c r="M178" s="3"/>
    </row>
    <row r="179" spans="1:13" ht="29.25" customHeight="1">
      <c r="A179" s="48"/>
      <c r="B179" s="46" t="s">
        <v>549</v>
      </c>
      <c r="C179" s="21" t="s">
        <v>585</v>
      </c>
      <c r="D179" s="80">
        <f t="shared" ref="D179:L179" si="70">D93</f>
        <v>320</v>
      </c>
      <c r="E179" s="80">
        <f t="shared" si="70"/>
        <v>0</v>
      </c>
      <c r="F179" s="80">
        <f t="shared" si="70"/>
        <v>320</v>
      </c>
      <c r="G179" s="80">
        <f t="shared" si="70"/>
        <v>0</v>
      </c>
      <c r="H179" s="80">
        <f t="shared" si="70"/>
        <v>0</v>
      </c>
      <c r="I179" s="139">
        <f t="shared" si="50"/>
        <v>320</v>
      </c>
      <c r="J179" s="80">
        <f t="shared" si="70"/>
        <v>0</v>
      </c>
      <c r="K179" s="80">
        <f t="shared" si="70"/>
        <v>0</v>
      </c>
      <c r="L179" s="80">
        <f t="shared" si="70"/>
        <v>0</v>
      </c>
      <c r="M179" s="3"/>
    </row>
    <row r="180" spans="1:13" ht="29.25" customHeight="1">
      <c r="A180" s="117"/>
      <c r="B180" s="118" t="s">
        <v>160</v>
      </c>
      <c r="C180" s="119"/>
      <c r="D180" s="120">
        <f t="shared" ref="D180:L180" si="71">D181+D183+D185+D186+D199+D184</f>
        <v>26293</v>
      </c>
      <c r="E180" s="120">
        <f t="shared" si="71"/>
        <v>16293</v>
      </c>
      <c r="F180" s="120">
        <f t="shared" si="71"/>
        <v>2000</v>
      </c>
      <c r="G180" s="120">
        <f t="shared" si="71"/>
        <v>4000</v>
      </c>
      <c r="H180" s="120">
        <f t="shared" si="71"/>
        <v>4000</v>
      </c>
      <c r="I180" s="139">
        <f t="shared" si="50"/>
        <v>26293</v>
      </c>
      <c r="J180" s="120">
        <f t="shared" si="71"/>
        <v>187812</v>
      </c>
      <c r="K180" s="120">
        <f t="shared" si="71"/>
        <v>77198</v>
      </c>
      <c r="L180" s="120">
        <f t="shared" si="71"/>
        <v>31533</v>
      </c>
      <c r="M180" s="3"/>
    </row>
    <row r="181" spans="1:13" ht="16.5" customHeight="1">
      <c r="A181" s="48"/>
      <c r="B181" s="32" t="s">
        <v>161</v>
      </c>
      <c r="C181" s="21" t="s">
        <v>162</v>
      </c>
      <c r="D181" s="85">
        <f t="shared" ref="D181:L181" si="72">D182</f>
        <v>10000</v>
      </c>
      <c r="E181" s="85">
        <f t="shared" si="72"/>
        <v>0</v>
      </c>
      <c r="F181" s="85">
        <f t="shared" si="72"/>
        <v>2000</v>
      </c>
      <c r="G181" s="85">
        <f t="shared" si="72"/>
        <v>4000</v>
      </c>
      <c r="H181" s="85">
        <f t="shared" si="72"/>
        <v>4000</v>
      </c>
      <c r="I181" s="139">
        <f t="shared" si="50"/>
        <v>10000</v>
      </c>
      <c r="J181" s="85">
        <f t="shared" si="72"/>
        <v>3470</v>
      </c>
      <c r="K181" s="85">
        <f t="shared" si="72"/>
        <v>3495</v>
      </c>
      <c r="L181" s="85">
        <f t="shared" si="72"/>
        <v>1261</v>
      </c>
      <c r="M181" s="3"/>
    </row>
    <row r="182" spans="1:13" ht="17.25" customHeight="1">
      <c r="A182" s="48"/>
      <c r="B182" s="32" t="s">
        <v>156</v>
      </c>
      <c r="C182" s="21" t="s">
        <v>81</v>
      </c>
      <c r="D182" s="89">
        <f t="shared" ref="D182:H182" si="73">-D161</f>
        <v>10000</v>
      </c>
      <c r="E182" s="89">
        <f t="shared" si="73"/>
        <v>0</v>
      </c>
      <c r="F182" s="89">
        <f t="shared" si="73"/>
        <v>2000</v>
      </c>
      <c r="G182" s="89">
        <f t="shared" si="73"/>
        <v>4000</v>
      </c>
      <c r="H182" s="89">
        <f t="shared" si="73"/>
        <v>4000</v>
      </c>
      <c r="I182" s="139">
        <f t="shared" si="50"/>
        <v>10000</v>
      </c>
      <c r="J182" s="89">
        <f>-J161</f>
        <v>3470</v>
      </c>
      <c r="K182" s="89">
        <f>-K161</f>
        <v>3495</v>
      </c>
      <c r="L182" s="89">
        <f>-L161</f>
        <v>1261</v>
      </c>
      <c r="M182" s="3"/>
    </row>
    <row r="183" spans="1:13" ht="0.75" customHeight="1">
      <c r="A183" s="48"/>
      <c r="B183" s="44" t="s">
        <v>85</v>
      </c>
      <c r="C183" s="21" t="s">
        <v>86</v>
      </c>
      <c r="D183" s="82">
        <f t="shared" ref="D183:L183" si="74">D65</f>
        <v>0</v>
      </c>
      <c r="E183" s="82"/>
      <c r="F183" s="82"/>
      <c r="G183" s="82"/>
      <c r="H183" s="82"/>
      <c r="I183" s="139">
        <f t="shared" si="50"/>
        <v>0</v>
      </c>
      <c r="J183" s="82">
        <f t="shared" si="74"/>
        <v>0</v>
      </c>
      <c r="K183" s="82">
        <f t="shared" si="74"/>
        <v>0</v>
      </c>
      <c r="L183" s="82">
        <f t="shared" si="74"/>
        <v>0</v>
      </c>
      <c r="M183" s="3"/>
    </row>
    <row r="184" spans="1:13" ht="0.75" customHeight="1">
      <c r="A184" s="48"/>
      <c r="B184" s="44" t="s">
        <v>87</v>
      </c>
      <c r="C184" s="21" t="s">
        <v>88</v>
      </c>
      <c r="D184" s="82">
        <v>0</v>
      </c>
      <c r="E184" s="82"/>
      <c r="F184" s="82"/>
      <c r="G184" s="82"/>
      <c r="H184" s="82"/>
      <c r="I184" s="139">
        <f t="shared" si="50"/>
        <v>0</v>
      </c>
      <c r="J184" s="80"/>
      <c r="K184" s="80"/>
      <c r="L184" s="80"/>
      <c r="M184" s="3"/>
    </row>
    <row r="185" spans="1:13" ht="13.5" customHeight="1">
      <c r="A185" s="48"/>
      <c r="B185" s="44" t="s">
        <v>157</v>
      </c>
      <c r="C185" s="21">
        <v>40.020000000000003</v>
      </c>
      <c r="D185" s="82">
        <v>0</v>
      </c>
      <c r="E185" s="82">
        <v>0</v>
      </c>
      <c r="F185" s="82">
        <v>0</v>
      </c>
      <c r="G185" s="82">
        <v>0</v>
      </c>
      <c r="H185" s="82">
        <v>0</v>
      </c>
      <c r="I185" s="139">
        <f t="shared" si="50"/>
        <v>0</v>
      </c>
      <c r="J185" s="80"/>
      <c r="K185" s="80"/>
      <c r="L185" s="80"/>
      <c r="M185" s="3"/>
    </row>
    <row r="186" spans="1:13" ht="15" customHeight="1">
      <c r="A186" s="48"/>
      <c r="B186" s="37" t="s">
        <v>92</v>
      </c>
      <c r="C186" s="21" t="s">
        <v>163</v>
      </c>
      <c r="D186" s="85">
        <f t="shared" ref="D186:L186" si="75">D187+D188+D189+D190+D191+D194+D195+D196+D197</f>
        <v>2185</v>
      </c>
      <c r="E186" s="85">
        <f t="shared" si="75"/>
        <v>2185</v>
      </c>
      <c r="F186" s="85">
        <f t="shared" si="75"/>
        <v>0</v>
      </c>
      <c r="G186" s="85">
        <f t="shared" si="75"/>
        <v>0</v>
      </c>
      <c r="H186" s="85">
        <f t="shared" si="75"/>
        <v>0</v>
      </c>
      <c r="I186" s="139">
        <f t="shared" si="50"/>
        <v>2185</v>
      </c>
      <c r="J186" s="85">
        <f t="shared" si="75"/>
        <v>1213</v>
      </c>
      <c r="K186" s="85">
        <f t="shared" si="75"/>
        <v>1104</v>
      </c>
      <c r="L186" s="85">
        <f t="shared" si="75"/>
        <v>116</v>
      </c>
      <c r="M186" s="3"/>
    </row>
    <row r="187" spans="1:13" ht="12" hidden="1" customHeight="1">
      <c r="A187" s="48"/>
      <c r="B187" s="32" t="s">
        <v>95</v>
      </c>
      <c r="C187" s="21" t="s">
        <v>96</v>
      </c>
      <c r="D187" s="82">
        <v>0</v>
      </c>
      <c r="E187" s="82"/>
      <c r="F187" s="82"/>
      <c r="G187" s="82"/>
      <c r="H187" s="82"/>
      <c r="I187" s="139">
        <f t="shared" si="50"/>
        <v>0</v>
      </c>
      <c r="J187" s="80"/>
      <c r="K187" s="80"/>
      <c r="L187" s="80"/>
      <c r="M187" s="3"/>
    </row>
    <row r="188" spans="1:13" ht="18.75" hidden="1" customHeight="1">
      <c r="A188" s="48"/>
      <c r="B188" s="32" t="s">
        <v>99</v>
      </c>
      <c r="C188" s="21" t="s">
        <v>100</v>
      </c>
      <c r="D188" s="82">
        <v>0</v>
      </c>
      <c r="E188" s="82"/>
      <c r="F188" s="82"/>
      <c r="G188" s="82"/>
      <c r="H188" s="82"/>
      <c r="I188" s="139">
        <f t="shared" si="50"/>
        <v>0</v>
      </c>
      <c r="J188" s="80"/>
      <c r="K188" s="80"/>
      <c r="L188" s="80"/>
      <c r="M188" s="3"/>
    </row>
    <row r="189" spans="1:13" ht="21" hidden="1" customHeight="1">
      <c r="A189" s="48"/>
      <c r="B189" s="32" t="s">
        <v>101</v>
      </c>
      <c r="C189" s="21" t="s">
        <v>102</v>
      </c>
      <c r="D189" s="82">
        <v>0</v>
      </c>
      <c r="E189" s="82"/>
      <c r="F189" s="82"/>
      <c r="G189" s="82"/>
      <c r="H189" s="82"/>
      <c r="I189" s="139">
        <f t="shared" si="50"/>
        <v>0</v>
      </c>
      <c r="J189" s="80"/>
      <c r="K189" s="80"/>
      <c r="L189" s="80"/>
      <c r="M189" s="3"/>
    </row>
    <row r="190" spans="1:13" ht="23.25" hidden="1" customHeight="1">
      <c r="A190" s="48"/>
      <c r="B190" s="46" t="s">
        <v>105</v>
      </c>
      <c r="C190" s="21" t="s">
        <v>106</v>
      </c>
      <c r="D190" s="82">
        <v>0</v>
      </c>
      <c r="E190" s="82"/>
      <c r="F190" s="82"/>
      <c r="G190" s="82"/>
      <c r="H190" s="82"/>
      <c r="I190" s="139">
        <f t="shared" si="50"/>
        <v>0</v>
      </c>
      <c r="J190" s="80"/>
      <c r="K190" s="80"/>
      <c r="L190" s="80"/>
      <c r="M190" s="3"/>
    </row>
    <row r="191" spans="1:13" ht="24" hidden="1" customHeight="1">
      <c r="A191" s="48"/>
      <c r="B191" s="32" t="s">
        <v>164</v>
      </c>
      <c r="C191" s="21" t="s">
        <v>110</v>
      </c>
      <c r="D191" s="82">
        <f t="shared" ref="D191:L191" si="76">D79</f>
        <v>0</v>
      </c>
      <c r="E191" s="82">
        <f t="shared" si="76"/>
        <v>0</v>
      </c>
      <c r="F191" s="82">
        <f t="shared" si="76"/>
        <v>0</v>
      </c>
      <c r="G191" s="82">
        <f t="shared" si="76"/>
        <v>0</v>
      </c>
      <c r="H191" s="82">
        <f t="shared" si="76"/>
        <v>0</v>
      </c>
      <c r="I191" s="139">
        <f t="shared" si="50"/>
        <v>0</v>
      </c>
      <c r="J191" s="82">
        <f t="shared" si="76"/>
        <v>0</v>
      </c>
      <c r="K191" s="82">
        <f t="shared" si="76"/>
        <v>0</v>
      </c>
      <c r="L191" s="82">
        <f t="shared" si="76"/>
        <v>0</v>
      </c>
      <c r="M191" s="3"/>
    </row>
    <row r="192" spans="1:13" ht="24" hidden="1" customHeight="1">
      <c r="A192" s="48"/>
      <c r="B192" s="32" t="s">
        <v>117</v>
      </c>
      <c r="C192" s="21" t="s">
        <v>118</v>
      </c>
      <c r="D192" s="82">
        <v>0</v>
      </c>
      <c r="E192" s="82"/>
      <c r="F192" s="82"/>
      <c r="G192" s="82"/>
      <c r="H192" s="82"/>
      <c r="I192" s="139">
        <f t="shared" si="50"/>
        <v>0</v>
      </c>
      <c r="J192" s="80"/>
      <c r="K192" s="80"/>
      <c r="L192" s="80"/>
      <c r="M192" s="3"/>
    </row>
    <row r="193" spans="1:13" ht="24" hidden="1" customHeight="1">
      <c r="A193" s="48"/>
      <c r="B193" s="32" t="s">
        <v>123</v>
      </c>
      <c r="C193" s="21" t="s">
        <v>124</v>
      </c>
      <c r="D193" s="82">
        <v>0</v>
      </c>
      <c r="E193" s="82"/>
      <c r="F193" s="82"/>
      <c r="G193" s="82"/>
      <c r="H193" s="82"/>
      <c r="I193" s="139">
        <f t="shared" si="50"/>
        <v>0</v>
      </c>
      <c r="J193" s="80"/>
      <c r="K193" s="80"/>
      <c r="L193" s="80"/>
      <c r="M193" s="3"/>
    </row>
    <row r="194" spans="1:13" ht="27" hidden="1" customHeight="1">
      <c r="A194" s="48"/>
      <c r="B194" s="46" t="s">
        <v>127</v>
      </c>
      <c r="C194" s="21" t="s">
        <v>128</v>
      </c>
      <c r="D194" s="82">
        <f t="shared" ref="D194:L194" si="77">D88</f>
        <v>0</v>
      </c>
      <c r="E194" s="82">
        <f t="shared" si="77"/>
        <v>0</v>
      </c>
      <c r="F194" s="82">
        <f t="shared" si="77"/>
        <v>0</v>
      </c>
      <c r="G194" s="82">
        <f t="shared" si="77"/>
        <v>0</v>
      </c>
      <c r="H194" s="82">
        <f t="shared" si="77"/>
        <v>0</v>
      </c>
      <c r="I194" s="139">
        <f t="shared" si="50"/>
        <v>0</v>
      </c>
      <c r="J194" s="82">
        <f t="shared" si="77"/>
        <v>0</v>
      </c>
      <c r="K194" s="82">
        <f t="shared" si="77"/>
        <v>0</v>
      </c>
      <c r="L194" s="82">
        <f t="shared" si="77"/>
        <v>0</v>
      </c>
      <c r="M194" s="3"/>
    </row>
    <row r="195" spans="1:13" ht="18.75" hidden="1" customHeight="1">
      <c r="A195" s="48"/>
      <c r="B195" s="46" t="s">
        <v>129</v>
      </c>
      <c r="C195" s="21" t="s">
        <v>130</v>
      </c>
      <c r="D195" s="82">
        <v>0</v>
      </c>
      <c r="E195" s="82"/>
      <c r="F195" s="82"/>
      <c r="G195" s="82"/>
      <c r="H195" s="82"/>
      <c r="I195" s="139">
        <f t="shared" si="50"/>
        <v>0</v>
      </c>
      <c r="J195" s="80"/>
      <c r="K195" s="80"/>
      <c r="L195" s="80"/>
      <c r="M195" s="3"/>
    </row>
    <row r="196" spans="1:13" ht="27" hidden="1" customHeight="1">
      <c r="A196" s="48"/>
      <c r="B196" s="47" t="s">
        <v>133</v>
      </c>
      <c r="C196" s="21" t="s">
        <v>134</v>
      </c>
      <c r="D196" s="82">
        <f t="shared" ref="D196:L198" si="78">D91</f>
        <v>0</v>
      </c>
      <c r="E196" s="82">
        <f t="shared" si="78"/>
        <v>0</v>
      </c>
      <c r="F196" s="82">
        <f t="shared" si="78"/>
        <v>0</v>
      </c>
      <c r="G196" s="82">
        <f t="shared" si="78"/>
        <v>0</v>
      </c>
      <c r="H196" s="82">
        <f t="shared" si="78"/>
        <v>0</v>
      </c>
      <c r="I196" s="139">
        <f t="shared" si="50"/>
        <v>0</v>
      </c>
      <c r="J196" s="82">
        <f t="shared" si="78"/>
        <v>0</v>
      </c>
      <c r="K196" s="82">
        <f t="shared" si="78"/>
        <v>0</v>
      </c>
      <c r="L196" s="82">
        <f t="shared" si="78"/>
        <v>0</v>
      </c>
      <c r="M196" s="3"/>
    </row>
    <row r="197" spans="1:13" ht="27" customHeight="1">
      <c r="A197" s="48"/>
      <c r="B197" s="46" t="s">
        <v>543</v>
      </c>
      <c r="C197" s="112" t="s">
        <v>544</v>
      </c>
      <c r="D197" s="80">
        <f t="shared" si="78"/>
        <v>2185</v>
      </c>
      <c r="E197" s="80">
        <f t="shared" si="78"/>
        <v>2185</v>
      </c>
      <c r="F197" s="80">
        <f t="shared" si="78"/>
        <v>0</v>
      </c>
      <c r="G197" s="80">
        <f t="shared" si="78"/>
        <v>0</v>
      </c>
      <c r="H197" s="80">
        <f t="shared" si="78"/>
        <v>0</v>
      </c>
      <c r="I197" s="139">
        <f t="shared" si="50"/>
        <v>2185</v>
      </c>
      <c r="J197" s="80">
        <f t="shared" si="78"/>
        <v>1213</v>
      </c>
      <c r="K197" s="80">
        <f t="shared" si="78"/>
        <v>1104</v>
      </c>
      <c r="L197" s="80">
        <f t="shared" si="78"/>
        <v>116</v>
      </c>
      <c r="M197" s="3"/>
    </row>
    <row r="198" spans="1:13" ht="27" hidden="1" customHeight="1">
      <c r="A198" s="48"/>
      <c r="B198" s="46" t="s">
        <v>549</v>
      </c>
      <c r="C198" s="112" t="s">
        <v>550</v>
      </c>
      <c r="D198" s="80"/>
      <c r="E198" s="80">
        <f t="shared" si="78"/>
        <v>0</v>
      </c>
      <c r="F198" s="80"/>
      <c r="G198" s="80">
        <f t="shared" si="78"/>
        <v>0</v>
      </c>
      <c r="H198" s="80">
        <f t="shared" si="78"/>
        <v>0</v>
      </c>
      <c r="I198" s="139">
        <f t="shared" si="50"/>
        <v>0</v>
      </c>
      <c r="J198" s="80">
        <f t="shared" si="78"/>
        <v>0</v>
      </c>
      <c r="K198" s="80">
        <f t="shared" si="78"/>
        <v>0</v>
      </c>
      <c r="L198" s="80">
        <f t="shared" si="78"/>
        <v>0</v>
      </c>
      <c r="M198" s="3"/>
    </row>
    <row r="199" spans="1:13" ht="57.75" customHeight="1">
      <c r="A199" s="45"/>
      <c r="B199" s="31" t="s">
        <v>480</v>
      </c>
      <c r="C199" s="24" t="s">
        <v>485</v>
      </c>
      <c r="D199" s="82">
        <f>D95</f>
        <v>14108</v>
      </c>
      <c r="E199" s="82">
        <f t="shared" ref="E199:H199" si="79">E95</f>
        <v>14108</v>
      </c>
      <c r="F199" s="82">
        <f t="shared" si="79"/>
        <v>0</v>
      </c>
      <c r="G199" s="82">
        <f t="shared" si="79"/>
        <v>0</v>
      </c>
      <c r="H199" s="82">
        <f t="shared" si="79"/>
        <v>0</v>
      </c>
      <c r="I199" s="139">
        <f t="shared" si="50"/>
        <v>14108</v>
      </c>
      <c r="J199" s="80">
        <f t="shared" ref="J199:L200" si="80">J95</f>
        <v>183129</v>
      </c>
      <c r="K199" s="80">
        <f t="shared" si="80"/>
        <v>72599</v>
      </c>
      <c r="L199" s="80">
        <f t="shared" si="80"/>
        <v>30156</v>
      </c>
      <c r="M199" s="3"/>
    </row>
    <row r="200" spans="1:13" ht="16.5" customHeight="1">
      <c r="A200" s="50"/>
      <c r="B200" s="218" t="s">
        <v>739</v>
      </c>
      <c r="C200" s="100" t="s">
        <v>484</v>
      </c>
      <c r="D200" s="80">
        <f t="shared" ref="D200:H200" si="81">D96</f>
        <v>12704</v>
      </c>
      <c r="E200" s="80">
        <f t="shared" si="81"/>
        <v>12704</v>
      </c>
      <c r="F200" s="80">
        <f t="shared" si="81"/>
        <v>0</v>
      </c>
      <c r="G200" s="80">
        <f t="shared" si="81"/>
        <v>0</v>
      </c>
      <c r="H200" s="80">
        <f t="shared" si="81"/>
        <v>0</v>
      </c>
      <c r="I200" s="139">
        <f t="shared" si="50"/>
        <v>12704</v>
      </c>
      <c r="J200" s="80">
        <f t="shared" si="80"/>
        <v>181682</v>
      </c>
      <c r="K200" s="80">
        <f t="shared" si="80"/>
        <v>72599</v>
      </c>
      <c r="L200" s="80">
        <f t="shared" si="80"/>
        <v>30156</v>
      </c>
      <c r="M200" s="3"/>
    </row>
    <row r="201" spans="1:13" ht="18" customHeight="1">
      <c r="A201" s="45"/>
      <c r="B201" s="32" t="s">
        <v>141</v>
      </c>
      <c r="C201" s="21" t="s">
        <v>481</v>
      </c>
      <c r="D201" s="82">
        <f>D96</f>
        <v>12704</v>
      </c>
      <c r="E201" s="82">
        <f t="shared" ref="E201:H201" si="82">E96</f>
        <v>12704</v>
      </c>
      <c r="F201" s="82">
        <f t="shared" si="82"/>
        <v>0</v>
      </c>
      <c r="G201" s="82">
        <f t="shared" si="82"/>
        <v>0</v>
      </c>
      <c r="H201" s="82">
        <f t="shared" si="82"/>
        <v>0</v>
      </c>
      <c r="I201" s="139">
        <f t="shared" si="50"/>
        <v>12704</v>
      </c>
      <c r="J201" s="80"/>
      <c r="K201" s="80"/>
      <c r="L201" s="80"/>
      <c r="M201" s="3"/>
    </row>
    <row r="202" spans="1:13" ht="17.25" customHeight="1">
      <c r="A202" s="45"/>
      <c r="B202" s="32" t="s">
        <v>137</v>
      </c>
      <c r="C202" s="21" t="s">
        <v>482</v>
      </c>
      <c r="D202" s="82"/>
      <c r="E202" s="82"/>
      <c r="F202" s="82"/>
      <c r="G202" s="82"/>
      <c r="H202" s="82"/>
      <c r="I202" s="139">
        <f t="shared" si="50"/>
        <v>0</v>
      </c>
      <c r="J202" s="80"/>
      <c r="K202" s="80"/>
      <c r="L202" s="80"/>
      <c r="M202" s="3"/>
    </row>
    <row r="203" spans="1:13" ht="19.5" customHeight="1">
      <c r="A203" s="45"/>
      <c r="B203" s="32" t="s">
        <v>138</v>
      </c>
      <c r="C203" s="106" t="s">
        <v>483</v>
      </c>
      <c r="D203" s="82">
        <v>0</v>
      </c>
      <c r="E203" s="82"/>
      <c r="F203" s="82"/>
      <c r="G203" s="82"/>
      <c r="H203" s="82"/>
      <c r="I203" s="139">
        <f t="shared" si="50"/>
        <v>0</v>
      </c>
      <c r="J203" s="80"/>
      <c r="K203" s="80"/>
      <c r="L203" s="80"/>
      <c r="M203" s="3"/>
    </row>
    <row r="204" spans="1:13" ht="20.25" customHeight="1">
      <c r="A204" s="45"/>
      <c r="B204" s="219" t="s">
        <v>740</v>
      </c>
      <c r="C204" s="99" t="s">
        <v>553</v>
      </c>
      <c r="D204" s="82">
        <f t="shared" ref="D204:L204" si="83">D205+D206+D207</f>
        <v>1273</v>
      </c>
      <c r="E204" s="82">
        <f t="shared" si="83"/>
        <v>1273</v>
      </c>
      <c r="F204" s="82">
        <f t="shared" si="83"/>
        <v>0</v>
      </c>
      <c r="G204" s="82">
        <f t="shared" si="83"/>
        <v>0</v>
      </c>
      <c r="H204" s="82">
        <f t="shared" si="83"/>
        <v>0</v>
      </c>
      <c r="I204" s="139">
        <f t="shared" ref="I204:I267" si="84">E204+F204+G204+H204</f>
        <v>1273</v>
      </c>
      <c r="J204" s="82">
        <f t="shared" si="83"/>
        <v>1356</v>
      </c>
      <c r="K204" s="82">
        <f t="shared" si="83"/>
        <v>0</v>
      </c>
      <c r="L204" s="82">
        <f t="shared" si="83"/>
        <v>0</v>
      </c>
      <c r="M204" s="3"/>
    </row>
    <row r="205" spans="1:13" ht="19.5" customHeight="1">
      <c r="A205" s="45"/>
      <c r="B205" s="32" t="s">
        <v>141</v>
      </c>
      <c r="C205" s="21" t="s">
        <v>554</v>
      </c>
      <c r="D205" s="82">
        <f t="shared" ref="D205:L206" si="85">D101</f>
        <v>1273</v>
      </c>
      <c r="E205" s="82">
        <f t="shared" si="85"/>
        <v>1273</v>
      </c>
      <c r="F205" s="82">
        <f t="shared" si="85"/>
        <v>0</v>
      </c>
      <c r="G205" s="82">
        <f t="shared" si="85"/>
        <v>0</v>
      </c>
      <c r="H205" s="82">
        <f t="shared" si="85"/>
        <v>0</v>
      </c>
      <c r="I205" s="139">
        <f t="shared" si="84"/>
        <v>1273</v>
      </c>
      <c r="J205" s="82">
        <f t="shared" si="85"/>
        <v>1356</v>
      </c>
      <c r="K205" s="82">
        <f t="shared" si="85"/>
        <v>0</v>
      </c>
      <c r="L205" s="82">
        <f t="shared" si="85"/>
        <v>0</v>
      </c>
      <c r="M205" s="3"/>
    </row>
    <row r="206" spans="1:13" ht="15.75" customHeight="1">
      <c r="A206" s="45"/>
      <c r="B206" s="32" t="s">
        <v>137</v>
      </c>
      <c r="C206" s="21" t="s">
        <v>139</v>
      </c>
      <c r="D206" s="82">
        <f t="shared" si="85"/>
        <v>0</v>
      </c>
      <c r="E206" s="82"/>
      <c r="F206" s="82"/>
      <c r="G206" s="82"/>
      <c r="H206" s="82"/>
      <c r="I206" s="139">
        <f t="shared" si="84"/>
        <v>0</v>
      </c>
      <c r="J206" s="82">
        <f t="shared" si="85"/>
        <v>0</v>
      </c>
      <c r="K206" s="82">
        <f t="shared" si="85"/>
        <v>0</v>
      </c>
      <c r="L206" s="82">
        <f t="shared" si="85"/>
        <v>0</v>
      </c>
      <c r="M206" s="3"/>
    </row>
    <row r="207" spans="1:13" ht="17.25" customHeight="1">
      <c r="A207" s="45"/>
      <c r="B207" s="32" t="s">
        <v>138</v>
      </c>
      <c r="C207" s="21" t="s">
        <v>556</v>
      </c>
      <c r="D207" s="82">
        <v>0</v>
      </c>
      <c r="E207" s="82"/>
      <c r="F207" s="82"/>
      <c r="G207" s="82"/>
      <c r="H207" s="82"/>
      <c r="I207" s="139">
        <f t="shared" si="84"/>
        <v>0</v>
      </c>
      <c r="J207" s="80"/>
      <c r="K207" s="80"/>
      <c r="L207" s="80"/>
      <c r="M207" s="3"/>
    </row>
    <row r="208" spans="1:13" ht="18" customHeight="1">
      <c r="A208" s="45"/>
      <c r="B208" s="220" t="s">
        <v>741</v>
      </c>
      <c r="C208" s="99" t="s">
        <v>557</v>
      </c>
      <c r="D208" s="82">
        <f>D104</f>
        <v>131</v>
      </c>
      <c r="E208" s="82">
        <f t="shared" ref="E208:H208" si="86">E104</f>
        <v>131</v>
      </c>
      <c r="F208" s="82">
        <f t="shared" si="86"/>
        <v>0</v>
      </c>
      <c r="G208" s="82">
        <f t="shared" si="86"/>
        <v>0</v>
      </c>
      <c r="H208" s="82">
        <f t="shared" si="86"/>
        <v>0</v>
      </c>
      <c r="I208" s="139">
        <f t="shared" si="84"/>
        <v>131</v>
      </c>
      <c r="J208" s="80"/>
      <c r="K208" s="80"/>
      <c r="L208" s="80"/>
      <c r="M208" s="3"/>
    </row>
    <row r="209" spans="1:17" ht="14.25" customHeight="1">
      <c r="A209" s="45"/>
      <c r="B209" s="32" t="s">
        <v>141</v>
      </c>
      <c r="C209" s="21" t="s">
        <v>558</v>
      </c>
      <c r="D209" s="82">
        <f>D105</f>
        <v>131</v>
      </c>
      <c r="E209" s="82">
        <f t="shared" ref="E209:H209" si="87">E105</f>
        <v>131</v>
      </c>
      <c r="F209" s="82">
        <f t="shared" si="87"/>
        <v>0</v>
      </c>
      <c r="G209" s="82">
        <f t="shared" si="87"/>
        <v>0</v>
      </c>
      <c r="H209" s="82">
        <f t="shared" si="87"/>
        <v>0</v>
      </c>
      <c r="I209" s="139">
        <f t="shared" si="84"/>
        <v>131</v>
      </c>
      <c r="J209" s="80"/>
      <c r="K209" s="80"/>
      <c r="L209" s="80"/>
      <c r="M209" s="3"/>
    </row>
    <row r="210" spans="1:17" ht="17.25" customHeight="1">
      <c r="A210" s="45"/>
      <c r="B210" s="32" t="s">
        <v>137</v>
      </c>
      <c r="C210" s="21" t="s">
        <v>559</v>
      </c>
      <c r="D210" s="82">
        <v>0</v>
      </c>
      <c r="E210" s="82"/>
      <c r="F210" s="82"/>
      <c r="G210" s="82"/>
      <c r="H210" s="82"/>
      <c r="I210" s="139">
        <f t="shared" si="84"/>
        <v>0</v>
      </c>
      <c r="J210" s="80"/>
      <c r="K210" s="80"/>
      <c r="L210" s="80"/>
      <c r="M210" s="3"/>
    </row>
    <row r="211" spans="1:17" ht="15.75" customHeight="1">
      <c r="A211" s="45"/>
      <c r="B211" s="32" t="s">
        <v>138</v>
      </c>
      <c r="C211" s="106" t="s">
        <v>560</v>
      </c>
      <c r="D211" s="82">
        <v>0</v>
      </c>
      <c r="E211" s="82"/>
      <c r="F211" s="82"/>
      <c r="G211" s="82"/>
      <c r="H211" s="82"/>
      <c r="I211" s="139">
        <f t="shared" si="84"/>
        <v>0</v>
      </c>
      <c r="J211" s="80"/>
      <c r="K211" s="80"/>
      <c r="L211" s="80"/>
      <c r="M211" s="3"/>
    </row>
    <row r="212" spans="1:17" ht="13.5" customHeight="1">
      <c r="A212" s="28"/>
      <c r="B212" s="29"/>
      <c r="C212" s="101"/>
      <c r="D212" s="141"/>
      <c r="E212" s="141"/>
      <c r="F212" s="141"/>
      <c r="G212" s="141"/>
      <c r="H212" s="141"/>
      <c r="I212" s="221">
        <f t="shared" si="84"/>
        <v>0</v>
      </c>
      <c r="J212" s="216"/>
      <c r="K212" s="216"/>
      <c r="L212" s="216"/>
      <c r="M212" s="3"/>
    </row>
    <row r="213" spans="1:17" ht="14.25">
      <c r="A213" s="45"/>
      <c r="B213" s="30" t="s">
        <v>3</v>
      </c>
      <c r="C213" s="24" t="s">
        <v>4</v>
      </c>
      <c r="D213" s="82"/>
      <c r="E213" s="82"/>
      <c r="F213" s="82"/>
      <c r="G213" s="82"/>
      <c r="H213" s="82"/>
      <c r="I213" s="139">
        <f t="shared" si="84"/>
        <v>0</v>
      </c>
      <c r="J213" s="80"/>
      <c r="K213" s="80"/>
      <c r="L213" s="80"/>
      <c r="M213" s="3"/>
    </row>
    <row r="214" spans="1:17" ht="18" customHeight="1">
      <c r="A214" s="52"/>
      <c r="B214" s="52" t="s">
        <v>165</v>
      </c>
      <c r="C214" s="102"/>
      <c r="D214" s="88">
        <f t="shared" ref="D214:H218" si="88">D237+D391+D424+D869+D931</f>
        <v>413113.88</v>
      </c>
      <c r="E214" s="88">
        <f t="shared" si="88"/>
        <v>180405.88</v>
      </c>
      <c r="F214" s="88">
        <f t="shared" si="88"/>
        <v>85729</v>
      </c>
      <c r="G214" s="88">
        <f t="shared" si="88"/>
        <v>81597</v>
      </c>
      <c r="H214" s="88">
        <f t="shared" si="88"/>
        <v>65382</v>
      </c>
      <c r="I214" s="139">
        <f t="shared" si="84"/>
        <v>413113.88</v>
      </c>
      <c r="J214" s="88">
        <f t="shared" ref="J214:L218" si="89">J237+J391+J424+J869+J931</f>
        <v>406663</v>
      </c>
      <c r="K214" s="88">
        <f t="shared" si="89"/>
        <v>304662</v>
      </c>
      <c r="L214" s="88">
        <f t="shared" si="89"/>
        <v>269246</v>
      </c>
      <c r="M214" s="3"/>
    </row>
    <row r="215" spans="1:17" ht="14.25">
      <c r="A215" s="117"/>
      <c r="B215" s="118" t="s">
        <v>166</v>
      </c>
      <c r="C215" s="121"/>
      <c r="D215" s="142">
        <f t="shared" si="88"/>
        <v>309134.88</v>
      </c>
      <c r="E215" s="142">
        <f t="shared" si="88"/>
        <v>86426.880000000005</v>
      </c>
      <c r="F215" s="142">
        <f t="shared" si="88"/>
        <v>83729</v>
      </c>
      <c r="G215" s="142">
        <f t="shared" si="88"/>
        <v>77597</v>
      </c>
      <c r="H215" s="142">
        <f t="shared" si="88"/>
        <v>61382</v>
      </c>
      <c r="I215" s="139">
        <f t="shared" si="84"/>
        <v>309134.88</v>
      </c>
      <c r="J215" s="120">
        <f t="shared" si="89"/>
        <v>218851</v>
      </c>
      <c r="K215" s="120">
        <f t="shared" si="89"/>
        <v>227464</v>
      </c>
      <c r="L215" s="120">
        <f t="shared" si="89"/>
        <v>237713</v>
      </c>
      <c r="M215" s="3"/>
    </row>
    <row r="216" spans="1:17" ht="14.25">
      <c r="A216" s="45"/>
      <c r="B216" s="37" t="s">
        <v>167</v>
      </c>
      <c r="C216" s="21">
        <v>0.01</v>
      </c>
      <c r="D216" s="90">
        <f t="shared" si="88"/>
        <v>303334.88</v>
      </c>
      <c r="E216" s="90">
        <f t="shared" si="88"/>
        <v>84972.88</v>
      </c>
      <c r="F216" s="90">
        <f t="shared" si="88"/>
        <v>82275</v>
      </c>
      <c r="G216" s="90">
        <f t="shared" si="88"/>
        <v>76144</v>
      </c>
      <c r="H216" s="90">
        <f t="shared" si="88"/>
        <v>59943</v>
      </c>
      <c r="I216" s="139">
        <f t="shared" si="84"/>
        <v>303334.88</v>
      </c>
      <c r="J216" s="88">
        <f t="shared" si="89"/>
        <v>213051</v>
      </c>
      <c r="K216" s="88">
        <f t="shared" si="89"/>
        <v>221664</v>
      </c>
      <c r="L216" s="88">
        <f t="shared" si="89"/>
        <v>231913</v>
      </c>
      <c r="M216" s="6"/>
      <c r="N216" s="161">
        <f>D217+D218+D219+D220+D221+D223+D224+D225</f>
        <v>309134.88</v>
      </c>
    </row>
    <row r="217" spans="1:17" ht="14.25">
      <c r="A217" s="45"/>
      <c r="B217" s="37" t="s">
        <v>168</v>
      </c>
      <c r="C217" s="21">
        <v>10</v>
      </c>
      <c r="D217" s="90">
        <f t="shared" si="88"/>
        <v>139901.88</v>
      </c>
      <c r="E217" s="90">
        <f t="shared" si="88"/>
        <v>35316.880000000005</v>
      </c>
      <c r="F217" s="90">
        <f t="shared" si="88"/>
        <v>40290</v>
      </c>
      <c r="G217" s="90">
        <f t="shared" si="88"/>
        <v>34910</v>
      </c>
      <c r="H217" s="90">
        <f t="shared" si="88"/>
        <v>29385</v>
      </c>
      <c r="I217" s="139">
        <f t="shared" si="84"/>
        <v>139901.88</v>
      </c>
      <c r="J217" s="88">
        <f t="shared" si="89"/>
        <v>82164</v>
      </c>
      <c r="K217" s="88">
        <f t="shared" si="89"/>
        <v>90164</v>
      </c>
      <c r="L217" s="88">
        <f t="shared" si="89"/>
        <v>98731</v>
      </c>
      <c r="M217" s="6"/>
      <c r="N217" s="6"/>
      <c r="O217" s="6"/>
      <c r="P217" s="6"/>
      <c r="Q217" s="6"/>
    </row>
    <row r="218" spans="1:17" ht="14.25">
      <c r="A218" s="45"/>
      <c r="B218" s="37" t="s">
        <v>169</v>
      </c>
      <c r="C218" s="21">
        <v>20</v>
      </c>
      <c r="D218" s="90">
        <f t="shared" si="88"/>
        <v>57879</v>
      </c>
      <c r="E218" s="90">
        <f t="shared" si="88"/>
        <v>14990</v>
      </c>
      <c r="F218" s="90">
        <f t="shared" si="88"/>
        <v>15838</v>
      </c>
      <c r="G218" s="90">
        <f t="shared" si="88"/>
        <v>16655</v>
      </c>
      <c r="H218" s="90">
        <f t="shared" si="88"/>
        <v>10396</v>
      </c>
      <c r="I218" s="139">
        <f t="shared" si="84"/>
        <v>57879</v>
      </c>
      <c r="J218" s="88">
        <f t="shared" si="89"/>
        <v>30775</v>
      </c>
      <c r="K218" s="88">
        <f t="shared" si="89"/>
        <v>31478</v>
      </c>
      <c r="L218" s="88">
        <f t="shared" si="89"/>
        <v>33150</v>
      </c>
      <c r="M218" s="3"/>
    </row>
    <row r="219" spans="1:17" ht="14.25">
      <c r="A219" s="45"/>
      <c r="B219" s="37" t="s">
        <v>170</v>
      </c>
      <c r="C219" s="21">
        <v>30</v>
      </c>
      <c r="D219" s="90">
        <f t="shared" ref="D219:L220" si="90">D242</f>
        <v>1500</v>
      </c>
      <c r="E219" s="90">
        <f t="shared" si="90"/>
        <v>380</v>
      </c>
      <c r="F219" s="90">
        <f t="shared" si="90"/>
        <v>375</v>
      </c>
      <c r="G219" s="90">
        <f t="shared" si="90"/>
        <v>375</v>
      </c>
      <c r="H219" s="90">
        <f t="shared" si="90"/>
        <v>370</v>
      </c>
      <c r="I219" s="139">
        <f t="shared" si="84"/>
        <v>1500</v>
      </c>
      <c r="J219" s="88">
        <f t="shared" si="90"/>
        <v>1300</v>
      </c>
      <c r="K219" s="88">
        <f t="shared" si="90"/>
        <v>1100</v>
      </c>
      <c r="L219" s="88">
        <f t="shared" si="90"/>
        <v>900</v>
      </c>
      <c r="M219" s="3"/>
    </row>
    <row r="220" spans="1:17" ht="14.25">
      <c r="A220" s="45"/>
      <c r="B220" s="37" t="s">
        <v>171</v>
      </c>
      <c r="C220" s="21">
        <v>50</v>
      </c>
      <c r="D220" s="90">
        <f t="shared" si="90"/>
        <v>1045</v>
      </c>
      <c r="E220" s="90">
        <f t="shared" si="90"/>
        <v>0</v>
      </c>
      <c r="F220" s="90">
        <f t="shared" si="90"/>
        <v>295</v>
      </c>
      <c r="G220" s="90">
        <f t="shared" si="90"/>
        <v>750</v>
      </c>
      <c r="H220" s="90">
        <f t="shared" si="90"/>
        <v>0</v>
      </c>
      <c r="I220" s="139">
        <f t="shared" si="84"/>
        <v>1045</v>
      </c>
      <c r="J220" s="88">
        <f t="shared" si="90"/>
        <v>1000</v>
      </c>
      <c r="K220" s="88">
        <f t="shared" si="90"/>
        <v>1000</v>
      </c>
      <c r="L220" s="88">
        <f t="shared" si="90"/>
        <v>1000</v>
      </c>
      <c r="M220" s="3"/>
    </row>
    <row r="221" spans="1:17" ht="12" customHeight="1">
      <c r="A221" s="45"/>
      <c r="B221" s="37" t="s">
        <v>172</v>
      </c>
      <c r="C221" s="21">
        <v>51</v>
      </c>
      <c r="D221" s="90">
        <f>D244+D429+D936</f>
        <v>73876</v>
      </c>
      <c r="E221" s="90">
        <f>E244+E429+E936</f>
        <v>16478</v>
      </c>
      <c r="F221" s="90">
        <f>F244+F429+F936</f>
        <v>19669</v>
      </c>
      <c r="G221" s="90">
        <f>G244+G429+G936</f>
        <v>19488</v>
      </c>
      <c r="H221" s="90">
        <f>H244+H429+H936</f>
        <v>18241</v>
      </c>
      <c r="I221" s="139">
        <f t="shared" si="84"/>
        <v>73876</v>
      </c>
      <c r="J221" s="88">
        <f>J244+J429+J936</f>
        <v>68906</v>
      </c>
      <c r="K221" s="88">
        <f>K244+K429+K936</f>
        <v>68906</v>
      </c>
      <c r="L221" s="88">
        <f>L244+L429+L936</f>
        <v>69006</v>
      </c>
      <c r="M221" s="3"/>
    </row>
    <row r="222" spans="1:17" ht="13.5" customHeight="1">
      <c r="A222" s="45"/>
      <c r="B222" s="37" t="s">
        <v>173</v>
      </c>
      <c r="C222" s="21">
        <v>55</v>
      </c>
      <c r="D222" s="90">
        <f t="shared" ref="D222:L222" si="91">D245</f>
        <v>0</v>
      </c>
      <c r="E222" s="90">
        <f t="shared" si="91"/>
        <v>0</v>
      </c>
      <c r="F222" s="90">
        <f t="shared" si="91"/>
        <v>0</v>
      </c>
      <c r="G222" s="90">
        <f t="shared" si="91"/>
        <v>0</v>
      </c>
      <c r="H222" s="90">
        <f t="shared" si="91"/>
        <v>0</v>
      </c>
      <c r="I222" s="139">
        <f t="shared" si="84"/>
        <v>0</v>
      </c>
      <c r="J222" s="88">
        <f t="shared" si="91"/>
        <v>0</v>
      </c>
      <c r="K222" s="88">
        <f t="shared" si="91"/>
        <v>0</v>
      </c>
      <c r="L222" s="88">
        <f t="shared" si="91"/>
        <v>0</v>
      </c>
      <c r="M222" s="3"/>
    </row>
    <row r="223" spans="1:17" ht="14.25">
      <c r="A223" s="45"/>
      <c r="B223" s="37" t="s">
        <v>174</v>
      </c>
      <c r="C223" s="21">
        <v>57</v>
      </c>
      <c r="D223" s="90">
        <f>D246+D430</f>
        <v>14843</v>
      </c>
      <c r="E223" s="90">
        <f>E246+E430</f>
        <v>9495</v>
      </c>
      <c r="F223" s="90">
        <f>F246+F430</f>
        <v>2746</v>
      </c>
      <c r="G223" s="90">
        <f>G246+G430</f>
        <v>1654</v>
      </c>
      <c r="H223" s="90">
        <f>H246+H430</f>
        <v>948</v>
      </c>
      <c r="I223" s="139">
        <f t="shared" si="84"/>
        <v>14843</v>
      </c>
      <c r="J223" s="88">
        <f>J246+J430</f>
        <v>14866</v>
      </c>
      <c r="K223" s="88">
        <f>K246+K430</f>
        <v>14976</v>
      </c>
      <c r="L223" s="88">
        <f>L246+L430</f>
        <v>15086</v>
      </c>
      <c r="M223" s="3"/>
    </row>
    <row r="224" spans="1:17" ht="14.25">
      <c r="A224" s="45"/>
      <c r="B224" s="37" t="s">
        <v>175</v>
      </c>
      <c r="C224" s="21">
        <v>59</v>
      </c>
      <c r="D224" s="90">
        <f>D247+D396+D431+D937</f>
        <v>14290</v>
      </c>
      <c r="E224" s="90">
        <f>E247+E396+E431+E937</f>
        <v>8313</v>
      </c>
      <c r="F224" s="90">
        <f>F247+F396+F431+F937</f>
        <v>3062</v>
      </c>
      <c r="G224" s="90">
        <f>G247+G396+G431+G937</f>
        <v>2312</v>
      </c>
      <c r="H224" s="90">
        <f>H247+H396+H431+H937</f>
        <v>603</v>
      </c>
      <c r="I224" s="139">
        <f t="shared" si="84"/>
        <v>14290</v>
      </c>
      <c r="J224" s="88">
        <f>J247+J396+J431+J937</f>
        <v>14040</v>
      </c>
      <c r="K224" s="88">
        <f>K247+K396+K431+K937</f>
        <v>14040</v>
      </c>
      <c r="L224" s="88">
        <f>L247+L396+L431+L937</f>
        <v>14040</v>
      </c>
      <c r="M224" s="3"/>
    </row>
    <row r="225" spans="1:14" ht="13.5" customHeight="1">
      <c r="A225" s="45"/>
      <c r="B225" s="37" t="s">
        <v>176</v>
      </c>
      <c r="C225" s="21">
        <v>79</v>
      </c>
      <c r="D225" s="90">
        <f t="shared" ref="D225:L225" si="92">D248</f>
        <v>5800</v>
      </c>
      <c r="E225" s="90">
        <f t="shared" si="92"/>
        <v>1454</v>
      </c>
      <c r="F225" s="90">
        <f t="shared" si="92"/>
        <v>1454</v>
      </c>
      <c r="G225" s="90">
        <f t="shared" si="92"/>
        <v>1453</v>
      </c>
      <c r="H225" s="90">
        <f t="shared" si="92"/>
        <v>1439</v>
      </c>
      <c r="I225" s="139">
        <f t="shared" si="84"/>
        <v>5800</v>
      </c>
      <c r="J225" s="88">
        <f t="shared" si="92"/>
        <v>5800</v>
      </c>
      <c r="K225" s="88">
        <f t="shared" si="92"/>
        <v>5800</v>
      </c>
      <c r="L225" s="88">
        <f t="shared" si="92"/>
        <v>5800</v>
      </c>
      <c r="M225" s="3"/>
    </row>
    <row r="226" spans="1:14" ht="13.5" hidden="1" customHeight="1">
      <c r="A226" s="45"/>
      <c r="B226" s="44" t="s">
        <v>177</v>
      </c>
      <c r="C226" s="21">
        <v>85.01</v>
      </c>
      <c r="D226" s="90">
        <f>D249+D432</f>
        <v>0</v>
      </c>
      <c r="E226" s="90">
        <f>E249+E432</f>
        <v>0</v>
      </c>
      <c r="F226" s="90">
        <f>F249+F432</f>
        <v>0</v>
      </c>
      <c r="G226" s="90">
        <f>G249+G432</f>
        <v>0</v>
      </c>
      <c r="H226" s="90">
        <f>H249+H432</f>
        <v>0</v>
      </c>
      <c r="I226" s="139">
        <f t="shared" si="84"/>
        <v>0</v>
      </c>
      <c r="J226" s="88">
        <f>J249+J432</f>
        <v>0</v>
      </c>
      <c r="K226" s="88">
        <f>K249+K432</f>
        <v>0</v>
      </c>
      <c r="L226" s="88">
        <f>L249+L432</f>
        <v>0</v>
      </c>
      <c r="M226" s="3"/>
    </row>
    <row r="227" spans="1:14" ht="14.25">
      <c r="A227" s="77"/>
      <c r="B227" s="122" t="s">
        <v>178</v>
      </c>
      <c r="C227" s="119"/>
      <c r="D227" s="120">
        <f>D250+D397+D433+D874+D938</f>
        <v>103979</v>
      </c>
      <c r="E227" s="120">
        <f>E250+E397+E433+E874+E938</f>
        <v>93979</v>
      </c>
      <c r="F227" s="120">
        <f>F250+F397+F433+F874+F938</f>
        <v>2000</v>
      </c>
      <c r="G227" s="120">
        <f>G250+G397+G433+G874+G938</f>
        <v>4000</v>
      </c>
      <c r="H227" s="120">
        <f>H250+H397+H433+H874+H938</f>
        <v>4000</v>
      </c>
      <c r="I227" s="139">
        <f t="shared" si="84"/>
        <v>103979</v>
      </c>
      <c r="J227" s="120">
        <f>J250+J397+J433+J874+J938</f>
        <v>187812</v>
      </c>
      <c r="K227" s="120">
        <f>K250+K397+K433+K874+K938</f>
        <v>77198</v>
      </c>
      <c r="L227" s="120">
        <f>L250+L397+L433+L874+L938</f>
        <v>31533</v>
      </c>
      <c r="M227" s="6" t="e">
        <f>#REF!+#REF!+#REF!+#REF!+#REF!+#REF!</f>
        <v>#REF!</v>
      </c>
    </row>
    <row r="228" spans="1:14" ht="28.5">
      <c r="A228" s="45"/>
      <c r="B228" s="42" t="s">
        <v>179</v>
      </c>
      <c r="C228" s="21">
        <v>51</v>
      </c>
      <c r="D228" s="90">
        <f>D434+D435+D436+D251</f>
        <v>43701</v>
      </c>
      <c r="E228" s="90">
        <f>E434+E435+E436+E251</f>
        <v>43701</v>
      </c>
      <c r="F228" s="90">
        <f>F434+F435+F436+F251</f>
        <v>0</v>
      </c>
      <c r="G228" s="90">
        <f>G434+G435+G436+G251</f>
        <v>0</v>
      </c>
      <c r="H228" s="90">
        <f>H434+H435+H436+H251</f>
        <v>0</v>
      </c>
      <c r="I228" s="139">
        <f t="shared" si="84"/>
        <v>43701</v>
      </c>
      <c r="J228" s="88">
        <f>J434+J435+J436+J251</f>
        <v>85</v>
      </c>
      <c r="K228" s="88">
        <f>K434+K435+K436+K251</f>
        <v>0</v>
      </c>
      <c r="L228" s="88">
        <f>L434+L435+L436+L251</f>
        <v>0</v>
      </c>
      <c r="M228" s="3"/>
      <c r="N228" s="161">
        <f>D228+D233+D234+D232</f>
        <v>77921</v>
      </c>
    </row>
    <row r="229" spans="1:14" ht="28.5" customHeight="1">
      <c r="A229" s="45"/>
      <c r="B229" s="42" t="s">
        <v>180</v>
      </c>
      <c r="C229" s="21" t="s">
        <v>181</v>
      </c>
      <c r="D229" s="90">
        <f t="shared" ref="D229:H230" si="93">D434</f>
        <v>41439</v>
      </c>
      <c r="E229" s="90">
        <f t="shared" si="93"/>
        <v>41439</v>
      </c>
      <c r="F229" s="90">
        <f t="shared" si="93"/>
        <v>0</v>
      </c>
      <c r="G229" s="90">
        <f t="shared" si="93"/>
        <v>0</v>
      </c>
      <c r="H229" s="90">
        <f t="shared" si="93"/>
        <v>0</v>
      </c>
      <c r="I229" s="139">
        <f t="shared" si="84"/>
        <v>41439</v>
      </c>
      <c r="J229" s="88">
        <f t="shared" ref="J229:L230" si="94">J434</f>
        <v>0</v>
      </c>
      <c r="K229" s="88">
        <f t="shared" si="94"/>
        <v>0</v>
      </c>
      <c r="L229" s="88">
        <f t="shared" si="94"/>
        <v>0</v>
      </c>
      <c r="M229" s="3"/>
    </row>
    <row r="230" spans="1:14" ht="28.5" hidden="1">
      <c r="A230" s="45"/>
      <c r="B230" s="42" t="s">
        <v>182</v>
      </c>
      <c r="C230" s="21" t="s">
        <v>183</v>
      </c>
      <c r="D230" s="90">
        <f t="shared" si="93"/>
        <v>0</v>
      </c>
      <c r="E230" s="90">
        <f t="shared" si="93"/>
        <v>0</v>
      </c>
      <c r="F230" s="90">
        <f t="shared" si="93"/>
        <v>0</v>
      </c>
      <c r="G230" s="90">
        <f t="shared" si="93"/>
        <v>0</v>
      </c>
      <c r="H230" s="90">
        <f t="shared" si="93"/>
        <v>0</v>
      </c>
      <c r="I230" s="139">
        <f t="shared" si="84"/>
        <v>0</v>
      </c>
      <c r="J230" s="88">
        <f t="shared" si="94"/>
        <v>0</v>
      </c>
      <c r="K230" s="88">
        <f t="shared" si="94"/>
        <v>0</v>
      </c>
      <c r="L230" s="88">
        <f t="shared" si="94"/>
        <v>0</v>
      </c>
      <c r="M230" s="3"/>
    </row>
    <row r="231" spans="1:14" ht="28.5">
      <c r="A231" s="45"/>
      <c r="B231" s="42" t="s">
        <v>184</v>
      </c>
      <c r="C231" s="21" t="s">
        <v>185</v>
      </c>
      <c r="D231" s="90">
        <f>D436+D252</f>
        <v>2262</v>
      </c>
      <c r="E231" s="90">
        <f>E436+E252</f>
        <v>2262</v>
      </c>
      <c r="F231" s="90">
        <f>F436+F252</f>
        <v>0</v>
      </c>
      <c r="G231" s="90">
        <f>G436+G252</f>
        <v>0</v>
      </c>
      <c r="H231" s="90">
        <f>H436+H252</f>
        <v>0</v>
      </c>
      <c r="I231" s="139">
        <f t="shared" si="84"/>
        <v>2262</v>
      </c>
      <c r="J231" s="88">
        <f>J436+J252</f>
        <v>85</v>
      </c>
      <c r="K231" s="88">
        <f>K436+K252</f>
        <v>0</v>
      </c>
      <c r="L231" s="88">
        <f>L436+L252</f>
        <v>0</v>
      </c>
      <c r="M231" s="3"/>
    </row>
    <row r="232" spans="1:14" ht="14.25">
      <c r="A232" s="45"/>
      <c r="B232" s="37" t="s">
        <v>186</v>
      </c>
      <c r="C232" s="21">
        <v>55</v>
      </c>
      <c r="D232" s="88">
        <f>D253+D939+D437</f>
        <v>16864</v>
      </c>
      <c r="E232" s="88">
        <f>E253+E939+E437</f>
        <v>16864</v>
      </c>
      <c r="F232" s="88">
        <f>F253+F939+F437</f>
        <v>0</v>
      </c>
      <c r="G232" s="88">
        <f>G253+G939+G437</f>
        <v>0</v>
      </c>
      <c r="H232" s="88">
        <f>H253+H939+H437</f>
        <v>0</v>
      </c>
      <c r="I232" s="139">
        <f t="shared" si="84"/>
        <v>16864</v>
      </c>
      <c r="J232" s="88">
        <f>J253+J939+J437</f>
        <v>957</v>
      </c>
      <c r="K232" s="88">
        <f>K253+K939+K437</f>
        <v>957</v>
      </c>
      <c r="L232" s="88">
        <f>L253+L939+L437</f>
        <v>957</v>
      </c>
      <c r="M232" s="3"/>
    </row>
    <row r="233" spans="1:14" ht="14.25">
      <c r="A233" s="45"/>
      <c r="B233" s="37" t="s">
        <v>187</v>
      </c>
      <c r="C233" s="21">
        <v>56</v>
      </c>
      <c r="D233" s="88">
        <f>D254+D438+D876+D941</f>
        <v>160</v>
      </c>
      <c r="E233" s="88">
        <f>E254+E438+E876+E941</f>
        <v>160</v>
      </c>
      <c r="F233" s="88">
        <f>F254+F438+F876+F941</f>
        <v>0</v>
      </c>
      <c r="G233" s="88">
        <f>G254+G438+G876+G941</f>
        <v>0</v>
      </c>
      <c r="H233" s="88">
        <f>H254+H438+H876+H941</f>
        <v>0</v>
      </c>
      <c r="I233" s="139">
        <f t="shared" si="84"/>
        <v>160</v>
      </c>
      <c r="J233" s="88">
        <f>J254+J438+J876+J941</f>
        <v>160</v>
      </c>
      <c r="K233" s="88">
        <f>K254+K438+K876+K941</f>
        <v>0</v>
      </c>
      <c r="L233" s="88">
        <f>L254+L438+L876+L941</f>
        <v>0</v>
      </c>
      <c r="M233" s="3"/>
    </row>
    <row r="234" spans="1:14" ht="14.25">
      <c r="A234" s="45"/>
      <c r="B234" s="37" t="s">
        <v>187</v>
      </c>
      <c r="C234" s="21">
        <v>58</v>
      </c>
      <c r="D234" s="90">
        <f>D877+D255+D942+D439</f>
        <v>17196</v>
      </c>
      <c r="E234" s="90">
        <f>E877+E255+E942+E439</f>
        <v>17196</v>
      </c>
      <c r="F234" s="90">
        <f>F877+F255+F942+F439</f>
        <v>0</v>
      </c>
      <c r="G234" s="90">
        <f>G877+G255+G942+G439</f>
        <v>0</v>
      </c>
      <c r="H234" s="90">
        <f>H877+H255+H942+H439</f>
        <v>0</v>
      </c>
      <c r="I234" s="139">
        <f t="shared" si="84"/>
        <v>17196</v>
      </c>
      <c r="J234" s="90">
        <f>J877+J255+J942+J439</f>
        <v>186610</v>
      </c>
      <c r="K234" s="90">
        <f>K877+K255+K942+K439</f>
        <v>76241</v>
      </c>
      <c r="L234" s="90">
        <f>L877+L255+L942+L439</f>
        <v>30576</v>
      </c>
      <c r="M234" s="3"/>
    </row>
    <row r="235" spans="1:14" ht="14.25">
      <c r="A235" s="45"/>
      <c r="B235" s="37" t="s">
        <v>188</v>
      </c>
      <c r="C235" s="21">
        <v>70</v>
      </c>
      <c r="D235" s="88">
        <f>D256+D398+D440+D878+D943</f>
        <v>26058</v>
      </c>
      <c r="E235" s="88">
        <f>E256+E398+E440+E878+E943</f>
        <v>16058</v>
      </c>
      <c r="F235" s="88">
        <f>F256+F398+F440+F878+F943</f>
        <v>2000</v>
      </c>
      <c r="G235" s="88">
        <f>G256+G398+G440+G878+G943</f>
        <v>4000</v>
      </c>
      <c r="H235" s="88">
        <f>H256+H398+H440+H878+H943</f>
        <v>4000</v>
      </c>
      <c r="I235" s="139">
        <f t="shared" si="84"/>
        <v>26058</v>
      </c>
      <c r="J235" s="88">
        <f>J256+J398+J440+J878+J943</f>
        <v>0</v>
      </c>
      <c r="K235" s="88">
        <f>K256+K398+K440+K878+K943</f>
        <v>0</v>
      </c>
      <c r="L235" s="88">
        <f>L256+L398+L440+L878+L943</f>
        <v>0</v>
      </c>
      <c r="M235" s="3"/>
    </row>
    <row r="236" spans="1:14" ht="20.25" hidden="1" customHeight="1">
      <c r="A236" s="45"/>
      <c r="B236" s="44" t="s">
        <v>177</v>
      </c>
      <c r="C236" s="21">
        <v>85.01</v>
      </c>
      <c r="D236" s="90">
        <f>D944</f>
        <v>0</v>
      </c>
      <c r="E236" s="90"/>
      <c r="F236" s="90"/>
      <c r="G236" s="90"/>
      <c r="H236" s="90"/>
      <c r="I236" s="139">
        <f t="shared" si="84"/>
        <v>0</v>
      </c>
      <c r="J236" s="88">
        <f>J944</f>
        <v>0</v>
      </c>
      <c r="K236" s="88">
        <f>K944</f>
        <v>0</v>
      </c>
      <c r="L236" s="88">
        <f>L944</f>
        <v>0</v>
      </c>
      <c r="M236" s="3"/>
    </row>
    <row r="237" spans="1:14" ht="17.25" customHeight="1">
      <c r="A237" s="53" t="s">
        <v>5</v>
      </c>
      <c r="B237" s="54" t="s">
        <v>515</v>
      </c>
      <c r="C237" s="103">
        <v>50.02</v>
      </c>
      <c r="D237" s="143">
        <f>D257+D357+D384</f>
        <v>65019</v>
      </c>
      <c r="E237" s="143">
        <f>E257+E357+E384</f>
        <v>26234</v>
      </c>
      <c r="F237" s="143">
        <f>F257+F357+F384</f>
        <v>15804</v>
      </c>
      <c r="G237" s="143">
        <f>G257+G357+G384</f>
        <v>13448</v>
      </c>
      <c r="H237" s="143">
        <f>H257+H357+H384</f>
        <v>9533</v>
      </c>
      <c r="I237" s="139">
        <f t="shared" si="84"/>
        <v>65019</v>
      </c>
      <c r="J237" s="91">
        <f>J257+J357+J384</f>
        <v>113954</v>
      </c>
      <c r="K237" s="91">
        <f>K257+K357+K384</f>
        <v>55024</v>
      </c>
      <c r="L237" s="91">
        <f>L257+L357+L384</f>
        <v>44443</v>
      </c>
      <c r="M237" s="3"/>
    </row>
    <row r="238" spans="1:14" ht="18.75" customHeight="1">
      <c r="A238" s="55"/>
      <c r="B238" s="35" t="s">
        <v>166</v>
      </c>
      <c r="C238" s="104"/>
      <c r="D238" s="143">
        <f>D258+D359+D363+D371+D381+D385</f>
        <v>51247</v>
      </c>
      <c r="E238" s="143">
        <f>E258+E359+E363+E371+E381+E385</f>
        <v>12462</v>
      </c>
      <c r="F238" s="143">
        <f>F258+F359+F363+F371+F381+F385</f>
        <v>15804</v>
      </c>
      <c r="G238" s="143">
        <f>G258+G359+G363+G371+G381+G385</f>
        <v>13448</v>
      </c>
      <c r="H238" s="143">
        <f>H258+H359+H363+H371+H381+H385</f>
        <v>9533</v>
      </c>
      <c r="I238" s="139">
        <f t="shared" si="84"/>
        <v>51247</v>
      </c>
      <c r="J238" s="91">
        <f>J258+J359+J363+J371+J381+J385</f>
        <v>41003</v>
      </c>
      <c r="K238" s="91">
        <f>K258+K359+K363+K371+K381+K385</f>
        <v>40258</v>
      </c>
      <c r="L238" s="91">
        <f>L258+L359+L363+L371+L381+L385</f>
        <v>39724</v>
      </c>
      <c r="M238" s="3"/>
    </row>
    <row r="239" spans="1:14" ht="15">
      <c r="A239" s="45"/>
      <c r="B239" s="44" t="s">
        <v>167</v>
      </c>
      <c r="C239" s="21"/>
      <c r="D239" s="82">
        <f>D259+D360+D364+D382+D386</f>
        <v>45447</v>
      </c>
      <c r="E239" s="82">
        <f>E259+E360+E364+E382+E386</f>
        <v>11008</v>
      </c>
      <c r="F239" s="82">
        <f>F259+F360+F364+F382+F386</f>
        <v>14350</v>
      </c>
      <c r="G239" s="82">
        <f>G259+G360+G364+G382+G386</f>
        <v>11995</v>
      </c>
      <c r="H239" s="82">
        <f>H259+H360+H364+H382+H386</f>
        <v>8094</v>
      </c>
      <c r="I239" s="139">
        <f t="shared" si="84"/>
        <v>45447</v>
      </c>
      <c r="J239" s="83">
        <f>J259+J360+J364+J382+J386</f>
        <v>35203</v>
      </c>
      <c r="K239" s="83">
        <f>K259+K360+K364+K382+K386</f>
        <v>34458</v>
      </c>
      <c r="L239" s="83">
        <f>L259+L360+L364+L382+L386</f>
        <v>33924</v>
      </c>
      <c r="M239" s="3"/>
    </row>
    <row r="240" spans="1:14" ht="15">
      <c r="A240" s="45"/>
      <c r="B240" s="44" t="s">
        <v>168</v>
      </c>
      <c r="C240" s="21">
        <v>10</v>
      </c>
      <c r="D240" s="83">
        <f>D260+D377</f>
        <v>30155</v>
      </c>
      <c r="E240" s="83">
        <f t="shared" ref="E240:F240" si="95">E260+E377</f>
        <v>7000</v>
      </c>
      <c r="F240" s="83">
        <f t="shared" si="95"/>
        <v>10655</v>
      </c>
      <c r="G240" s="83">
        <f t="shared" ref="G240:H240" si="96">G260+G377</f>
        <v>7000</v>
      </c>
      <c r="H240" s="83">
        <f t="shared" si="96"/>
        <v>5500</v>
      </c>
      <c r="I240" s="139">
        <f t="shared" si="84"/>
        <v>30155</v>
      </c>
      <c r="J240" s="83">
        <f>J260+J377</f>
        <v>24000</v>
      </c>
      <c r="K240" s="83">
        <f>K260+K377</f>
        <v>24000</v>
      </c>
      <c r="L240" s="83">
        <f>L260+L377</f>
        <v>24000</v>
      </c>
      <c r="M240" s="3"/>
      <c r="N240" s="161">
        <f>D240+D241+D242+D243+D244+D245+D246+D247+D248</f>
        <v>51247</v>
      </c>
    </row>
    <row r="241" spans="1:13" ht="15">
      <c r="A241" s="45"/>
      <c r="B241" s="44" t="s">
        <v>169</v>
      </c>
      <c r="C241" s="21">
        <v>20</v>
      </c>
      <c r="D241" s="83">
        <f>D261+D387+D378</f>
        <v>9367</v>
      </c>
      <c r="E241" s="83">
        <f t="shared" ref="E241:F241" si="97">E261+E387+E378</f>
        <v>2808</v>
      </c>
      <c r="F241" s="83">
        <f t="shared" si="97"/>
        <v>2135</v>
      </c>
      <c r="G241" s="83">
        <f t="shared" ref="G241:H241" si="98">G261+G387+G378</f>
        <v>3000</v>
      </c>
      <c r="H241" s="83">
        <f t="shared" si="98"/>
        <v>1424</v>
      </c>
      <c r="I241" s="139">
        <f t="shared" si="84"/>
        <v>9367</v>
      </c>
      <c r="J241" s="83">
        <f>J261+J387+J378</f>
        <v>5603</v>
      </c>
      <c r="K241" s="83">
        <f>K261+K387+K378</f>
        <v>5058</v>
      </c>
      <c r="L241" s="83">
        <f>L261+L387+L378</f>
        <v>4724</v>
      </c>
      <c r="M241" s="3"/>
    </row>
    <row r="242" spans="1:13" ht="15">
      <c r="A242" s="45"/>
      <c r="B242" s="44" t="s">
        <v>170</v>
      </c>
      <c r="C242" s="21">
        <v>30</v>
      </c>
      <c r="D242" s="83">
        <f>D388</f>
        <v>1500</v>
      </c>
      <c r="E242" s="83">
        <f t="shared" ref="E242:F242" si="99">E388</f>
        <v>380</v>
      </c>
      <c r="F242" s="83">
        <f t="shared" si="99"/>
        <v>375</v>
      </c>
      <c r="G242" s="83">
        <f t="shared" ref="G242:H242" si="100">G388</f>
        <v>375</v>
      </c>
      <c r="H242" s="83">
        <f t="shared" si="100"/>
        <v>370</v>
      </c>
      <c r="I242" s="139">
        <f t="shared" si="84"/>
        <v>1500</v>
      </c>
      <c r="J242" s="83">
        <f>J388</f>
        <v>1300</v>
      </c>
      <c r="K242" s="83">
        <f>K388</f>
        <v>1100</v>
      </c>
      <c r="L242" s="83">
        <f>L388</f>
        <v>900</v>
      </c>
      <c r="M242" s="3"/>
    </row>
    <row r="243" spans="1:13" ht="15">
      <c r="A243" s="45"/>
      <c r="B243" s="44" t="s">
        <v>189</v>
      </c>
      <c r="C243" s="21">
        <v>50</v>
      </c>
      <c r="D243" s="83">
        <f>D361</f>
        <v>1045</v>
      </c>
      <c r="E243" s="83">
        <f t="shared" ref="E243:F243" si="101">E361</f>
        <v>0</v>
      </c>
      <c r="F243" s="83">
        <f t="shared" si="101"/>
        <v>295</v>
      </c>
      <c r="G243" s="83">
        <f t="shared" ref="G243:H243" si="102">G361</f>
        <v>750</v>
      </c>
      <c r="H243" s="83">
        <f t="shared" si="102"/>
        <v>0</v>
      </c>
      <c r="I243" s="139">
        <f t="shared" si="84"/>
        <v>1045</v>
      </c>
      <c r="J243" s="83">
        <f>J361</f>
        <v>1000</v>
      </c>
      <c r="K243" s="83">
        <f>K361</f>
        <v>1000</v>
      </c>
      <c r="L243" s="83">
        <f>L361</f>
        <v>1000</v>
      </c>
      <c r="M243" s="3"/>
    </row>
    <row r="244" spans="1:13" ht="15">
      <c r="A244" s="45"/>
      <c r="B244" s="44" t="s">
        <v>172</v>
      </c>
      <c r="C244" s="21">
        <v>51</v>
      </c>
      <c r="D244" s="83">
        <f>D365+D383</f>
        <v>3150</v>
      </c>
      <c r="E244" s="83">
        <f t="shared" ref="E244:F244" si="103">E365+E383</f>
        <v>690</v>
      </c>
      <c r="F244" s="83">
        <f t="shared" si="103"/>
        <v>840</v>
      </c>
      <c r="G244" s="83">
        <f t="shared" ref="G244:H244" si="104">G365+G383</f>
        <v>840</v>
      </c>
      <c r="H244" s="83">
        <f t="shared" si="104"/>
        <v>780</v>
      </c>
      <c r="I244" s="139">
        <f t="shared" si="84"/>
        <v>3150</v>
      </c>
      <c r="J244" s="83">
        <f>J365+J383</f>
        <v>3150</v>
      </c>
      <c r="K244" s="83">
        <f>K365+K383</f>
        <v>3150</v>
      </c>
      <c r="L244" s="83">
        <f>L365+L383</f>
        <v>3150</v>
      </c>
      <c r="M244" s="3"/>
    </row>
    <row r="245" spans="1:13" ht="15" hidden="1">
      <c r="A245" s="45"/>
      <c r="B245" s="44" t="s">
        <v>173</v>
      </c>
      <c r="C245" s="21">
        <v>55</v>
      </c>
      <c r="D245" s="83">
        <f t="shared" ref="D245:L246" si="105">D262</f>
        <v>0</v>
      </c>
      <c r="E245" s="83">
        <f t="shared" ref="E245:F245" si="106">E262</f>
        <v>0</v>
      </c>
      <c r="F245" s="83">
        <f t="shared" si="106"/>
        <v>0</v>
      </c>
      <c r="G245" s="83">
        <f t="shared" ref="G245:H245" si="107">G262</f>
        <v>0</v>
      </c>
      <c r="H245" s="83">
        <f t="shared" si="107"/>
        <v>0</v>
      </c>
      <c r="I245" s="139">
        <f t="shared" si="84"/>
        <v>0</v>
      </c>
      <c r="J245" s="83">
        <f t="shared" si="105"/>
        <v>0</v>
      </c>
      <c r="K245" s="83">
        <f t="shared" si="105"/>
        <v>0</v>
      </c>
      <c r="L245" s="83">
        <f t="shared" si="105"/>
        <v>0</v>
      </c>
      <c r="M245" s="3"/>
    </row>
    <row r="246" spans="1:13" ht="15">
      <c r="A246" s="45"/>
      <c r="B246" s="32" t="s">
        <v>190</v>
      </c>
      <c r="C246" s="21">
        <v>57</v>
      </c>
      <c r="D246" s="83">
        <f t="shared" si="105"/>
        <v>80</v>
      </c>
      <c r="E246" s="83">
        <f t="shared" ref="E246:F246" si="108">E263</f>
        <v>80</v>
      </c>
      <c r="F246" s="83">
        <f t="shared" si="108"/>
        <v>0</v>
      </c>
      <c r="G246" s="83">
        <f t="shared" ref="G246:H246" si="109">G263</f>
        <v>0</v>
      </c>
      <c r="H246" s="83">
        <f t="shared" si="109"/>
        <v>0</v>
      </c>
      <c r="I246" s="139">
        <f t="shared" si="84"/>
        <v>80</v>
      </c>
      <c r="J246" s="83">
        <f t="shared" si="105"/>
        <v>0</v>
      </c>
      <c r="K246" s="83">
        <f t="shared" si="105"/>
        <v>0</v>
      </c>
      <c r="L246" s="83">
        <f t="shared" si="105"/>
        <v>0</v>
      </c>
      <c r="M246" s="3"/>
    </row>
    <row r="247" spans="1:13" ht="15">
      <c r="A247" s="45"/>
      <c r="B247" s="44" t="s">
        <v>191</v>
      </c>
      <c r="C247" s="21">
        <v>59</v>
      </c>
      <c r="D247" s="83">
        <f t="shared" ref="D247:L247" si="110">D265</f>
        <v>150</v>
      </c>
      <c r="E247" s="83">
        <f t="shared" ref="E247:F247" si="111">E265</f>
        <v>50</v>
      </c>
      <c r="F247" s="83">
        <f t="shared" si="111"/>
        <v>50</v>
      </c>
      <c r="G247" s="83">
        <f t="shared" ref="G247:H247" si="112">G265</f>
        <v>30</v>
      </c>
      <c r="H247" s="83">
        <f t="shared" si="112"/>
        <v>20</v>
      </c>
      <c r="I247" s="139">
        <f t="shared" si="84"/>
        <v>150</v>
      </c>
      <c r="J247" s="83">
        <f t="shared" si="110"/>
        <v>150</v>
      </c>
      <c r="K247" s="83">
        <f t="shared" si="110"/>
        <v>150</v>
      </c>
      <c r="L247" s="83">
        <f t="shared" si="110"/>
        <v>150</v>
      </c>
      <c r="M247" s="3"/>
    </row>
    <row r="248" spans="1:13" ht="15">
      <c r="A248" s="45"/>
      <c r="B248" s="44" t="s">
        <v>176</v>
      </c>
      <c r="C248" s="21">
        <v>79</v>
      </c>
      <c r="D248" s="83">
        <f>D372</f>
        <v>5800</v>
      </c>
      <c r="E248" s="83">
        <f t="shared" ref="E248:F248" si="113">E372</f>
        <v>1454</v>
      </c>
      <c r="F248" s="83">
        <f t="shared" si="113"/>
        <v>1454</v>
      </c>
      <c r="G248" s="83">
        <f t="shared" ref="G248:H248" si="114">G372</f>
        <v>1453</v>
      </c>
      <c r="H248" s="83">
        <f t="shared" si="114"/>
        <v>1439</v>
      </c>
      <c r="I248" s="139">
        <f t="shared" si="84"/>
        <v>5800</v>
      </c>
      <c r="J248" s="83">
        <f>J372</f>
        <v>5800</v>
      </c>
      <c r="K248" s="83">
        <f>K372</f>
        <v>5800</v>
      </c>
      <c r="L248" s="83">
        <f>L372</f>
        <v>5800</v>
      </c>
      <c r="M248" s="3"/>
    </row>
    <row r="249" spans="1:13" ht="15.75" hidden="1" customHeight="1">
      <c r="A249" s="45"/>
      <c r="B249" s="44" t="s">
        <v>177</v>
      </c>
      <c r="C249" s="21">
        <v>85.01</v>
      </c>
      <c r="D249" s="83">
        <f t="shared" ref="D249:L249" si="115">D264</f>
        <v>0</v>
      </c>
      <c r="E249" s="83">
        <f t="shared" ref="E249:F249" si="116">E264</f>
        <v>0</v>
      </c>
      <c r="F249" s="83">
        <f t="shared" si="116"/>
        <v>0</v>
      </c>
      <c r="G249" s="83">
        <f t="shared" ref="G249:H249" si="117">G264</f>
        <v>0</v>
      </c>
      <c r="H249" s="83">
        <f t="shared" si="117"/>
        <v>0</v>
      </c>
      <c r="I249" s="139">
        <f t="shared" si="84"/>
        <v>0</v>
      </c>
      <c r="J249" s="83">
        <f t="shared" si="115"/>
        <v>0</v>
      </c>
      <c r="K249" s="83">
        <f t="shared" si="115"/>
        <v>0</v>
      </c>
      <c r="L249" s="83">
        <f t="shared" si="115"/>
        <v>0</v>
      </c>
      <c r="M249" s="3"/>
    </row>
    <row r="250" spans="1:13" ht="12.75" customHeight="1">
      <c r="A250" s="45"/>
      <c r="B250" s="37" t="s">
        <v>178</v>
      </c>
      <c r="C250" s="21"/>
      <c r="D250" s="83">
        <f t="shared" ref="D250:L250" si="118">D253+D254+D256+D251+D255</f>
        <v>13772</v>
      </c>
      <c r="E250" s="83">
        <f t="shared" ref="E250:F250" si="119">E253+E254+E256+E251+E255</f>
        <v>13772</v>
      </c>
      <c r="F250" s="83">
        <f t="shared" si="119"/>
        <v>0</v>
      </c>
      <c r="G250" s="83">
        <f t="shared" ref="G250:H250" si="120">G253+G254+G256+G251+G255</f>
        <v>0</v>
      </c>
      <c r="H250" s="83">
        <f t="shared" si="120"/>
        <v>0</v>
      </c>
      <c r="I250" s="139">
        <f t="shared" si="84"/>
        <v>13772</v>
      </c>
      <c r="J250" s="83">
        <f t="shared" si="118"/>
        <v>72951</v>
      </c>
      <c r="K250" s="83">
        <f t="shared" si="118"/>
        <v>14766</v>
      </c>
      <c r="L250" s="83">
        <f t="shared" si="118"/>
        <v>4719</v>
      </c>
      <c r="M250" s="3"/>
    </row>
    <row r="251" spans="1:13" ht="17.25" hidden="1" customHeight="1">
      <c r="A251" s="45"/>
      <c r="B251" s="44" t="s">
        <v>192</v>
      </c>
      <c r="C251" s="21">
        <v>51</v>
      </c>
      <c r="D251" s="83">
        <f>D369</f>
        <v>0</v>
      </c>
      <c r="E251" s="83">
        <f t="shared" ref="E251:F251" si="121">E369</f>
        <v>0</v>
      </c>
      <c r="F251" s="83">
        <f t="shared" si="121"/>
        <v>0</v>
      </c>
      <c r="G251" s="83">
        <f t="shared" ref="G251:H251" si="122">G369</f>
        <v>0</v>
      </c>
      <c r="H251" s="83">
        <f t="shared" si="122"/>
        <v>0</v>
      </c>
      <c r="I251" s="139">
        <f t="shared" si="84"/>
        <v>0</v>
      </c>
      <c r="J251" s="83">
        <f>J369</f>
        <v>0</v>
      </c>
      <c r="K251" s="83">
        <f>K369</f>
        <v>0</v>
      </c>
      <c r="L251" s="83">
        <f>L369</f>
        <v>0</v>
      </c>
      <c r="M251" s="3"/>
    </row>
    <row r="252" spans="1:13" ht="15" hidden="1" customHeight="1">
      <c r="A252" s="45"/>
      <c r="B252" s="44" t="s">
        <v>193</v>
      </c>
      <c r="C252" s="21" t="s">
        <v>185</v>
      </c>
      <c r="D252" s="83">
        <f>D369</f>
        <v>0</v>
      </c>
      <c r="E252" s="83">
        <f t="shared" ref="E252:F252" si="123">E369</f>
        <v>0</v>
      </c>
      <c r="F252" s="83">
        <f t="shared" si="123"/>
        <v>0</v>
      </c>
      <c r="G252" s="83">
        <f t="shared" ref="G252:H252" si="124">G369</f>
        <v>0</v>
      </c>
      <c r="H252" s="83">
        <f t="shared" si="124"/>
        <v>0</v>
      </c>
      <c r="I252" s="139">
        <f t="shared" si="84"/>
        <v>0</v>
      </c>
      <c r="J252" s="83">
        <f>J369</f>
        <v>0</v>
      </c>
      <c r="K252" s="83">
        <f>K369</f>
        <v>0</v>
      </c>
      <c r="L252" s="83">
        <f>L369</f>
        <v>0</v>
      </c>
      <c r="M252" s="3"/>
    </row>
    <row r="253" spans="1:13" ht="15" hidden="1">
      <c r="A253" s="45"/>
      <c r="B253" s="32" t="s">
        <v>194</v>
      </c>
      <c r="C253" s="21">
        <v>55</v>
      </c>
      <c r="D253" s="83">
        <f t="shared" ref="D253:L253" si="125">D269</f>
        <v>0</v>
      </c>
      <c r="E253" s="83">
        <f t="shared" ref="E253:F253" si="126">E269</f>
        <v>0</v>
      </c>
      <c r="F253" s="83">
        <f t="shared" si="126"/>
        <v>0</v>
      </c>
      <c r="G253" s="83">
        <f t="shared" ref="G253:H253" si="127">G269</f>
        <v>0</v>
      </c>
      <c r="H253" s="83">
        <f t="shared" si="127"/>
        <v>0</v>
      </c>
      <c r="I253" s="139">
        <f t="shared" si="84"/>
        <v>0</v>
      </c>
      <c r="J253" s="83">
        <f t="shared" si="125"/>
        <v>0</v>
      </c>
      <c r="K253" s="83">
        <f t="shared" si="125"/>
        <v>0</v>
      </c>
      <c r="L253" s="83">
        <f t="shared" si="125"/>
        <v>0</v>
      </c>
      <c r="M253" s="3"/>
    </row>
    <row r="254" spans="1:13" ht="15" hidden="1">
      <c r="A254" s="45"/>
      <c r="B254" s="44" t="s">
        <v>187</v>
      </c>
      <c r="C254" s="21">
        <v>56</v>
      </c>
      <c r="D254" s="83">
        <f t="shared" ref="D254:L255" si="128">D271</f>
        <v>0</v>
      </c>
      <c r="E254" s="83">
        <f t="shared" ref="E254:F254" si="129">E271</f>
        <v>0</v>
      </c>
      <c r="F254" s="83">
        <f t="shared" si="129"/>
        <v>0</v>
      </c>
      <c r="G254" s="83">
        <f t="shared" ref="G254:H254" si="130">G271</f>
        <v>0</v>
      </c>
      <c r="H254" s="83">
        <f t="shared" si="130"/>
        <v>0</v>
      </c>
      <c r="I254" s="139">
        <f t="shared" si="84"/>
        <v>0</v>
      </c>
      <c r="J254" s="83">
        <f t="shared" si="128"/>
        <v>0</v>
      </c>
      <c r="K254" s="83">
        <f t="shared" si="128"/>
        <v>0</v>
      </c>
      <c r="L254" s="83">
        <f t="shared" si="128"/>
        <v>0</v>
      </c>
      <c r="M254" s="3"/>
    </row>
    <row r="255" spans="1:13" ht="15">
      <c r="A255" s="45"/>
      <c r="B255" s="44" t="s">
        <v>187</v>
      </c>
      <c r="C255" s="21">
        <v>58</v>
      </c>
      <c r="D255" s="83">
        <f t="shared" si="128"/>
        <v>10715</v>
      </c>
      <c r="E255" s="83">
        <f t="shared" ref="E255:F255" si="131">E272</f>
        <v>10715</v>
      </c>
      <c r="F255" s="83">
        <f t="shared" si="131"/>
        <v>0</v>
      </c>
      <c r="G255" s="83">
        <f t="shared" ref="G255:H255" si="132">G272</f>
        <v>0</v>
      </c>
      <c r="H255" s="83">
        <f t="shared" si="132"/>
        <v>0</v>
      </c>
      <c r="I255" s="139">
        <f t="shared" si="84"/>
        <v>10715</v>
      </c>
      <c r="J255" s="83">
        <f t="shared" si="128"/>
        <v>72951</v>
      </c>
      <c r="K255" s="83">
        <f t="shared" si="128"/>
        <v>14766</v>
      </c>
      <c r="L255" s="83">
        <f t="shared" si="128"/>
        <v>4719</v>
      </c>
      <c r="M255" s="3"/>
    </row>
    <row r="256" spans="1:13" ht="15">
      <c r="A256" s="45"/>
      <c r="B256" s="44" t="s">
        <v>188</v>
      </c>
      <c r="C256" s="21">
        <v>70</v>
      </c>
      <c r="D256" s="83">
        <f>D281+D379</f>
        <v>3057</v>
      </c>
      <c r="E256" s="83">
        <f>E281+E379</f>
        <v>3057</v>
      </c>
      <c r="F256" s="83">
        <f>F281+F379</f>
        <v>0</v>
      </c>
      <c r="G256" s="83">
        <f>G281+G379</f>
        <v>0</v>
      </c>
      <c r="H256" s="83">
        <f>H281+H379</f>
        <v>0</v>
      </c>
      <c r="I256" s="139">
        <f t="shared" si="84"/>
        <v>3057</v>
      </c>
      <c r="J256" s="83">
        <f>J281+J379</f>
        <v>0</v>
      </c>
      <c r="K256" s="83">
        <f>K281+K379</f>
        <v>0</v>
      </c>
      <c r="L256" s="83">
        <f>L281+L379</f>
        <v>0</v>
      </c>
      <c r="M256" s="3"/>
    </row>
    <row r="257" spans="1:13" ht="14.25">
      <c r="A257" s="155">
        <v>1</v>
      </c>
      <c r="B257" s="156" t="s">
        <v>195</v>
      </c>
      <c r="C257" s="157" t="s">
        <v>196</v>
      </c>
      <c r="D257" s="84">
        <f t="shared" ref="D257:L257" si="133">D258+D266</f>
        <v>53507</v>
      </c>
      <c r="E257" s="84">
        <f t="shared" si="133"/>
        <v>23710</v>
      </c>
      <c r="F257" s="84">
        <f t="shared" si="133"/>
        <v>12840</v>
      </c>
      <c r="G257" s="84">
        <f t="shared" si="133"/>
        <v>10030</v>
      </c>
      <c r="H257" s="84">
        <f t="shared" si="133"/>
        <v>6927</v>
      </c>
      <c r="I257" s="139">
        <f t="shared" si="84"/>
        <v>53507</v>
      </c>
      <c r="J257" s="84">
        <f t="shared" si="133"/>
        <v>102688</v>
      </c>
      <c r="K257" s="84">
        <f t="shared" si="133"/>
        <v>43959</v>
      </c>
      <c r="L257" s="84">
        <f t="shared" si="133"/>
        <v>33579</v>
      </c>
      <c r="M257" s="3"/>
    </row>
    <row r="258" spans="1:13" ht="14.25">
      <c r="A258" s="45"/>
      <c r="B258" s="35" t="s">
        <v>166</v>
      </c>
      <c r="C258" s="99"/>
      <c r="D258" s="88">
        <f t="shared" ref="D258:L258" si="134">D259+D264</f>
        <v>39735</v>
      </c>
      <c r="E258" s="88">
        <f t="shared" si="134"/>
        <v>9938</v>
      </c>
      <c r="F258" s="88">
        <f t="shared" si="134"/>
        <v>12840</v>
      </c>
      <c r="G258" s="88">
        <f t="shared" si="134"/>
        <v>10030</v>
      </c>
      <c r="H258" s="88">
        <f t="shared" si="134"/>
        <v>6927</v>
      </c>
      <c r="I258" s="139">
        <f t="shared" si="84"/>
        <v>39735</v>
      </c>
      <c r="J258" s="88">
        <f t="shared" si="134"/>
        <v>29737</v>
      </c>
      <c r="K258" s="88">
        <f t="shared" si="134"/>
        <v>29193</v>
      </c>
      <c r="L258" s="88">
        <f t="shared" si="134"/>
        <v>28860</v>
      </c>
      <c r="M258" s="3"/>
    </row>
    <row r="259" spans="1:13" ht="15">
      <c r="A259" s="45"/>
      <c r="B259" s="44" t="s">
        <v>167</v>
      </c>
      <c r="C259" s="21">
        <v>1</v>
      </c>
      <c r="D259" s="83">
        <f t="shared" ref="D259:H259" si="135">D260+D261+D262+D263+D265</f>
        <v>39735</v>
      </c>
      <c r="E259" s="83">
        <f t="shared" si="135"/>
        <v>9938</v>
      </c>
      <c r="F259" s="83">
        <f t="shared" si="135"/>
        <v>12840</v>
      </c>
      <c r="G259" s="83">
        <f t="shared" si="135"/>
        <v>10030</v>
      </c>
      <c r="H259" s="83">
        <f t="shared" si="135"/>
        <v>6927</v>
      </c>
      <c r="I259" s="139">
        <f t="shared" si="84"/>
        <v>39735</v>
      </c>
      <c r="J259" s="83">
        <f t="shared" ref="J259:L259" si="136">J260+J261+J262+J263+J265</f>
        <v>29737</v>
      </c>
      <c r="K259" s="83">
        <f t="shared" si="136"/>
        <v>29193</v>
      </c>
      <c r="L259" s="83">
        <f t="shared" si="136"/>
        <v>28860</v>
      </c>
      <c r="M259" s="3"/>
    </row>
    <row r="260" spans="1:13" ht="15">
      <c r="A260" s="45"/>
      <c r="B260" s="44" t="s">
        <v>168</v>
      </c>
      <c r="C260" s="21">
        <v>10</v>
      </c>
      <c r="D260" s="82">
        <f>27900+600+1655</f>
        <v>30155</v>
      </c>
      <c r="E260" s="82">
        <v>7000</v>
      </c>
      <c r="F260" s="82">
        <f>9000+1655</f>
        <v>10655</v>
      </c>
      <c r="G260" s="82">
        <v>7000</v>
      </c>
      <c r="H260" s="82">
        <v>5500</v>
      </c>
      <c r="I260" s="139">
        <f t="shared" si="84"/>
        <v>30155</v>
      </c>
      <c r="J260" s="80">
        <v>24000</v>
      </c>
      <c r="K260" s="80">
        <v>24000</v>
      </c>
      <c r="L260" s="80">
        <v>24000</v>
      </c>
      <c r="M260" s="3"/>
    </row>
    <row r="261" spans="1:13" ht="16.5" customHeight="1">
      <c r="A261" s="45"/>
      <c r="B261" s="44" t="s">
        <v>169</v>
      </c>
      <c r="C261" s="21">
        <v>20</v>
      </c>
      <c r="D261" s="82">
        <f>7980+1000+158+300+215-260-30-13</f>
        <v>9350</v>
      </c>
      <c r="E261" s="82">
        <f>3000+148+448+225-1000-13</f>
        <v>2808</v>
      </c>
      <c r="F261" s="82">
        <f>2363-153-75</f>
        <v>2135</v>
      </c>
      <c r="G261" s="82">
        <f>2000-152+1151+1</f>
        <v>3000</v>
      </c>
      <c r="H261" s="82">
        <f>2000-148-143-1301+1000-1</f>
        <v>1407</v>
      </c>
      <c r="I261" s="139">
        <f t="shared" si="84"/>
        <v>9350</v>
      </c>
      <c r="J261" s="80">
        <f>6000-363-50</f>
        <v>5587</v>
      </c>
      <c r="K261" s="80">
        <f>6000-907-50</f>
        <v>5043</v>
      </c>
      <c r="L261" s="80">
        <f>6000-1180-60-50</f>
        <v>4710</v>
      </c>
      <c r="M261" s="3"/>
    </row>
    <row r="262" spans="1:13" ht="16.5" hidden="1" customHeight="1">
      <c r="A262" s="45"/>
      <c r="B262" s="32" t="s">
        <v>197</v>
      </c>
      <c r="C262" s="106" t="s">
        <v>198</v>
      </c>
      <c r="D262" s="82"/>
      <c r="E262" s="82"/>
      <c r="F262" s="82"/>
      <c r="G262" s="82"/>
      <c r="H262" s="82"/>
      <c r="I262" s="139">
        <f t="shared" si="84"/>
        <v>0</v>
      </c>
      <c r="J262" s="80"/>
      <c r="K262" s="80"/>
      <c r="L262" s="80"/>
      <c r="M262" s="3"/>
    </row>
    <row r="263" spans="1:13" ht="16.5" customHeight="1">
      <c r="A263" s="45"/>
      <c r="B263" s="32" t="s">
        <v>190</v>
      </c>
      <c r="C263" s="106" t="s">
        <v>199</v>
      </c>
      <c r="D263" s="82">
        <v>80</v>
      </c>
      <c r="E263" s="82">
        <v>80</v>
      </c>
      <c r="F263" s="82"/>
      <c r="G263" s="82"/>
      <c r="H263" s="82"/>
      <c r="I263" s="139">
        <f t="shared" si="84"/>
        <v>80</v>
      </c>
      <c r="J263" s="80"/>
      <c r="K263" s="80"/>
      <c r="L263" s="80"/>
      <c r="M263" s="3"/>
    </row>
    <row r="264" spans="1:13" ht="0.75" customHeight="1">
      <c r="A264" s="32"/>
      <c r="B264" s="44" t="s">
        <v>177</v>
      </c>
      <c r="C264" s="21">
        <v>85.01</v>
      </c>
      <c r="D264" s="82"/>
      <c r="E264" s="82"/>
      <c r="F264" s="82"/>
      <c r="G264" s="82"/>
      <c r="H264" s="82"/>
      <c r="I264" s="139">
        <f t="shared" si="84"/>
        <v>0</v>
      </c>
      <c r="J264" s="80"/>
      <c r="K264" s="80"/>
      <c r="L264" s="80"/>
      <c r="M264" s="3"/>
    </row>
    <row r="265" spans="1:13" ht="18.75" customHeight="1">
      <c r="A265" s="32"/>
      <c r="B265" s="44" t="s">
        <v>191</v>
      </c>
      <c r="C265" s="21">
        <v>59</v>
      </c>
      <c r="D265" s="82">
        <v>150</v>
      </c>
      <c r="E265" s="82">
        <v>50</v>
      </c>
      <c r="F265" s="82">
        <v>50</v>
      </c>
      <c r="G265" s="82">
        <v>30</v>
      </c>
      <c r="H265" s="82">
        <v>20</v>
      </c>
      <c r="I265" s="139">
        <f t="shared" si="84"/>
        <v>150</v>
      </c>
      <c r="J265" s="80">
        <v>150</v>
      </c>
      <c r="K265" s="80">
        <v>150</v>
      </c>
      <c r="L265" s="80">
        <v>150</v>
      </c>
      <c r="M265" s="3"/>
    </row>
    <row r="266" spans="1:13" ht="20.25" customHeight="1">
      <c r="A266" s="45"/>
      <c r="B266" s="136" t="s">
        <v>178</v>
      </c>
      <c r="C266" s="137"/>
      <c r="D266" s="138">
        <f t="shared" ref="D266:H266" si="137">D269+D271+D281+D296+D267+D272</f>
        <v>13772</v>
      </c>
      <c r="E266" s="138">
        <f t="shared" si="137"/>
        <v>13772</v>
      </c>
      <c r="F266" s="138">
        <f t="shared" si="137"/>
        <v>0</v>
      </c>
      <c r="G266" s="138">
        <f t="shared" si="137"/>
        <v>0</v>
      </c>
      <c r="H266" s="138">
        <f t="shared" si="137"/>
        <v>0</v>
      </c>
      <c r="I266" s="139">
        <f t="shared" si="84"/>
        <v>13772</v>
      </c>
      <c r="J266" s="138">
        <f>J269+J271+J281+J296+J267+J272</f>
        <v>72951</v>
      </c>
      <c r="K266" s="138">
        <f>K269+K271+K281+K296+K267+K272</f>
        <v>14766</v>
      </c>
      <c r="L266" s="138">
        <f>L269+L271+L281+L296+L267+L272</f>
        <v>4719</v>
      </c>
      <c r="M266" s="3"/>
    </row>
    <row r="267" spans="1:13" ht="15" hidden="1">
      <c r="A267" s="45"/>
      <c r="B267" s="132" t="s">
        <v>200</v>
      </c>
      <c r="C267" s="134" t="s">
        <v>201</v>
      </c>
      <c r="D267" s="135">
        <f t="shared" ref="D267:L267" si="138">D268</f>
        <v>0</v>
      </c>
      <c r="E267" s="135"/>
      <c r="F267" s="135"/>
      <c r="G267" s="135"/>
      <c r="H267" s="135"/>
      <c r="I267" s="139">
        <f t="shared" si="84"/>
        <v>0</v>
      </c>
      <c r="J267" s="135">
        <f t="shared" si="138"/>
        <v>0</v>
      </c>
      <c r="K267" s="135">
        <f t="shared" si="138"/>
        <v>0</v>
      </c>
      <c r="L267" s="135">
        <f t="shared" si="138"/>
        <v>0</v>
      </c>
      <c r="M267" s="3"/>
    </row>
    <row r="268" spans="1:13" ht="45" hidden="1">
      <c r="A268" s="45"/>
      <c r="B268" s="46" t="s">
        <v>202</v>
      </c>
      <c r="C268" s="21" t="s">
        <v>203</v>
      </c>
      <c r="D268" s="83">
        <v>0</v>
      </c>
      <c r="E268" s="83"/>
      <c r="F268" s="83"/>
      <c r="G268" s="83"/>
      <c r="H268" s="83"/>
      <c r="I268" s="139">
        <f t="shared" ref="I268:I331" si="139">E268+F268+G268+H268</f>
        <v>0</v>
      </c>
      <c r="J268" s="83">
        <v>0</v>
      </c>
      <c r="K268" s="83">
        <v>0</v>
      </c>
      <c r="L268" s="83">
        <v>0</v>
      </c>
      <c r="M268" s="3"/>
    </row>
    <row r="269" spans="1:13" ht="16.5" hidden="1" customHeight="1">
      <c r="A269" s="45"/>
      <c r="B269" s="132" t="s">
        <v>194</v>
      </c>
      <c r="C269" s="134" t="s">
        <v>204</v>
      </c>
      <c r="D269" s="135"/>
      <c r="E269" s="135"/>
      <c r="F269" s="135"/>
      <c r="G269" s="135"/>
      <c r="H269" s="135"/>
      <c r="I269" s="139">
        <f t="shared" si="139"/>
        <v>0</v>
      </c>
      <c r="J269" s="135"/>
      <c r="K269" s="135"/>
      <c r="L269" s="135"/>
      <c r="M269" s="3"/>
    </row>
    <row r="270" spans="1:13" ht="16.5" hidden="1" customHeight="1">
      <c r="A270" s="45"/>
      <c r="B270" s="32" t="s">
        <v>205</v>
      </c>
      <c r="C270" s="21" t="s">
        <v>206</v>
      </c>
      <c r="D270" s="83"/>
      <c r="E270" s="83"/>
      <c r="F270" s="83"/>
      <c r="G270" s="83"/>
      <c r="H270" s="83"/>
      <c r="I270" s="139">
        <f t="shared" si="139"/>
        <v>0</v>
      </c>
      <c r="J270" s="83"/>
      <c r="K270" s="83"/>
      <c r="L270" s="83"/>
      <c r="M270" s="3"/>
    </row>
    <row r="271" spans="1:13" ht="18.75" hidden="1" customHeight="1">
      <c r="A271" s="45"/>
      <c r="B271" s="132" t="s">
        <v>187</v>
      </c>
      <c r="C271" s="134">
        <v>56</v>
      </c>
      <c r="D271" s="135"/>
      <c r="E271" s="135"/>
      <c r="F271" s="135"/>
      <c r="G271" s="135"/>
      <c r="H271" s="135"/>
      <c r="I271" s="139">
        <f t="shared" si="139"/>
        <v>0</v>
      </c>
      <c r="J271" s="135"/>
      <c r="K271" s="135"/>
      <c r="L271" s="135"/>
      <c r="M271" s="3"/>
    </row>
    <row r="272" spans="1:13" ht="30" customHeight="1">
      <c r="A272" s="45"/>
      <c r="B272" s="133" t="s">
        <v>486</v>
      </c>
      <c r="C272" s="134">
        <v>58</v>
      </c>
      <c r="D272" s="135">
        <f>D273+D277</f>
        <v>10715</v>
      </c>
      <c r="E272" s="135">
        <f t="shared" ref="E272:J272" si="140">E273+E277</f>
        <v>10715</v>
      </c>
      <c r="F272" s="135">
        <f t="shared" si="140"/>
        <v>0</v>
      </c>
      <c r="G272" s="135">
        <f t="shared" si="140"/>
        <v>0</v>
      </c>
      <c r="H272" s="135">
        <f t="shared" si="140"/>
        <v>0</v>
      </c>
      <c r="I272" s="139">
        <f t="shared" si="139"/>
        <v>10715</v>
      </c>
      <c r="J272" s="135">
        <f t="shared" si="140"/>
        <v>72951</v>
      </c>
      <c r="K272" s="135">
        <f>K273+K277</f>
        <v>14766</v>
      </c>
      <c r="L272" s="135">
        <f>L273+L277</f>
        <v>4719</v>
      </c>
      <c r="M272" s="3"/>
    </row>
    <row r="273" spans="1:13" ht="30" customHeight="1">
      <c r="A273" s="45"/>
      <c r="B273" s="59" t="s">
        <v>580</v>
      </c>
      <c r="C273" s="151">
        <v>58.01</v>
      </c>
      <c r="D273" s="82">
        <f>D299+D305+D311+D317+D323+D335+D341+D347+D353</f>
        <v>10181</v>
      </c>
      <c r="E273" s="82">
        <f t="shared" ref="E273:L273" si="141">E299+E305+E311+E317+E323+E335+E341+E347+E353</f>
        <v>10181</v>
      </c>
      <c r="F273" s="82">
        <f t="shared" si="141"/>
        <v>0</v>
      </c>
      <c r="G273" s="82">
        <f t="shared" si="141"/>
        <v>0</v>
      </c>
      <c r="H273" s="82">
        <f t="shared" si="141"/>
        <v>0</v>
      </c>
      <c r="I273" s="82">
        <f t="shared" si="141"/>
        <v>90346</v>
      </c>
      <c r="J273" s="82">
        <f t="shared" si="141"/>
        <v>72951</v>
      </c>
      <c r="K273" s="82">
        <f t="shared" si="141"/>
        <v>14766</v>
      </c>
      <c r="L273" s="82">
        <f t="shared" si="141"/>
        <v>4719</v>
      </c>
      <c r="M273" s="3"/>
    </row>
    <row r="274" spans="1:13" ht="14.25" customHeight="1">
      <c r="A274" s="45"/>
      <c r="B274" s="32" t="s">
        <v>533</v>
      </c>
      <c r="C274" s="21" t="s">
        <v>534</v>
      </c>
      <c r="D274" s="83">
        <f>D300+D306+D312+D318+D324+D336+D342+D348+D354</f>
        <v>1355</v>
      </c>
      <c r="E274" s="83">
        <f t="shared" ref="E274:L274" si="142">E300+E306+E312+E318+E324+E336+E342+E348+E354</f>
        <v>1355</v>
      </c>
      <c r="F274" s="83">
        <f t="shared" si="142"/>
        <v>0</v>
      </c>
      <c r="G274" s="83">
        <f t="shared" si="142"/>
        <v>0</v>
      </c>
      <c r="H274" s="83">
        <f t="shared" si="142"/>
        <v>0</v>
      </c>
      <c r="I274" s="83">
        <f t="shared" si="142"/>
        <v>46527</v>
      </c>
      <c r="J274" s="83">
        <f t="shared" si="142"/>
        <v>0</v>
      </c>
      <c r="K274" s="83">
        <f t="shared" si="142"/>
        <v>0</v>
      </c>
      <c r="L274" s="83">
        <f t="shared" si="142"/>
        <v>0</v>
      </c>
      <c r="M274" s="3"/>
    </row>
    <row r="275" spans="1:13" ht="18.75" customHeight="1">
      <c r="A275" s="45"/>
      <c r="B275" s="32" t="s">
        <v>535</v>
      </c>
      <c r="C275" s="21" t="s">
        <v>488</v>
      </c>
      <c r="D275" s="83">
        <f>D301+D307+D313+D319+D325+D337+D343+D349+D355</f>
        <v>8604</v>
      </c>
      <c r="E275" s="83">
        <f t="shared" ref="E275:L275" si="143">E301+E307+E313+E319+E325+E337+E343+E349+E355</f>
        <v>8604</v>
      </c>
      <c r="F275" s="83">
        <f t="shared" si="143"/>
        <v>0</v>
      </c>
      <c r="G275" s="83">
        <f t="shared" si="143"/>
        <v>0</v>
      </c>
      <c r="H275" s="83">
        <f t="shared" si="143"/>
        <v>0</v>
      </c>
      <c r="I275" s="83">
        <f t="shared" si="143"/>
        <v>31516</v>
      </c>
      <c r="J275" s="83">
        <f t="shared" si="143"/>
        <v>72951</v>
      </c>
      <c r="K275" s="83">
        <f t="shared" si="143"/>
        <v>14766</v>
      </c>
      <c r="L275" s="83">
        <f t="shared" si="143"/>
        <v>4719</v>
      </c>
      <c r="M275" s="3"/>
    </row>
    <row r="276" spans="1:13" ht="15.75" customHeight="1">
      <c r="A276" s="45"/>
      <c r="B276" s="32" t="s">
        <v>536</v>
      </c>
      <c r="C276" s="21" t="s">
        <v>489</v>
      </c>
      <c r="D276" s="83">
        <f>D302+D308+D314+D320+D326+D338+D344+D350+D356</f>
        <v>222</v>
      </c>
      <c r="E276" s="83">
        <f t="shared" ref="E276:L276" si="144">E302+E308+E314+E320+E326+E338+E344+E350+E356</f>
        <v>222</v>
      </c>
      <c r="F276" s="83">
        <f t="shared" si="144"/>
        <v>0</v>
      </c>
      <c r="G276" s="83">
        <f t="shared" si="144"/>
        <v>0</v>
      </c>
      <c r="H276" s="83">
        <f t="shared" si="144"/>
        <v>0</v>
      </c>
      <c r="I276" s="83">
        <f t="shared" si="144"/>
        <v>12303</v>
      </c>
      <c r="J276" s="83">
        <f t="shared" si="144"/>
        <v>0</v>
      </c>
      <c r="K276" s="83">
        <f t="shared" si="144"/>
        <v>0</v>
      </c>
      <c r="L276" s="83">
        <f t="shared" si="144"/>
        <v>0</v>
      </c>
      <c r="M276" s="3"/>
    </row>
    <row r="277" spans="1:13" ht="15.75" customHeight="1">
      <c r="A277" s="45"/>
      <c r="B277" s="32" t="s">
        <v>581</v>
      </c>
      <c r="C277" s="21" t="s">
        <v>582</v>
      </c>
      <c r="D277" s="83">
        <f t="shared" ref="D277:L280" si="145">D329</f>
        <v>534</v>
      </c>
      <c r="E277" s="83">
        <f t="shared" si="145"/>
        <v>534</v>
      </c>
      <c r="F277" s="83">
        <f t="shared" si="145"/>
        <v>0</v>
      </c>
      <c r="G277" s="83">
        <f t="shared" si="145"/>
        <v>0</v>
      </c>
      <c r="H277" s="83">
        <f t="shared" si="145"/>
        <v>0</v>
      </c>
      <c r="I277" s="139">
        <f t="shared" si="139"/>
        <v>534</v>
      </c>
      <c r="J277" s="83">
        <f t="shared" si="145"/>
        <v>0</v>
      </c>
      <c r="K277" s="83">
        <f t="shared" si="145"/>
        <v>0</v>
      </c>
      <c r="L277" s="83">
        <f t="shared" si="145"/>
        <v>0</v>
      </c>
      <c r="M277" s="3"/>
    </row>
    <row r="278" spans="1:13" ht="15.75" customHeight="1">
      <c r="A278" s="45"/>
      <c r="B278" s="32" t="s">
        <v>533</v>
      </c>
      <c r="C278" s="21" t="s">
        <v>546</v>
      </c>
      <c r="D278" s="83">
        <f t="shared" si="145"/>
        <v>69</v>
      </c>
      <c r="E278" s="83">
        <f t="shared" si="145"/>
        <v>69</v>
      </c>
      <c r="F278" s="83">
        <f t="shared" si="145"/>
        <v>0</v>
      </c>
      <c r="G278" s="83">
        <f t="shared" si="145"/>
        <v>0</v>
      </c>
      <c r="H278" s="83">
        <f t="shared" si="145"/>
        <v>0</v>
      </c>
      <c r="I278" s="139">
        <f t="shared" si="139"/>
        <v>69</v>
      </c>
      <c r="J278" s="83">
        <f t="shared" si="145"/>
        <v>0</v>
      </c>
      <c r="K278" s="83">
        <f t="shared" si="145"/>
        <v>0</v>
      </c>
      <c r="L278" s="83">
        <f t="shared" si="145"/>
        <v>0</v>
      </c>
      <c r="M278" s="3"/>
    </row>
    <row r="279" spans="1:13" ht="15.75" customHeight="1">
      <c r="A279" s="45"/>
      <c r="B279" s="32" t="s">
        <v>535</v>
      </c>
      <c r="C279" s="21" t="s">
        <v>547</v>
      </c>
      <c r="D279" s="83">
        <f t="shared" si="145"/>
        <v>454</v>
      </c>
      <c r="E279" s="83">
        <f t="shared" si="145"/>
        <v>454</v>
      </c>
      <c r="F279" s="83">
        <f t="shared" si="145"/>
        <v>0</v>
      </c>
      <c r="G279" s="83">
        <f t="shared" si="145"/>
        <v>0</v>
      </c>
      <c r="H279" s="83">
        <f t="shared" si="145"/>
        <v>0</v>
      </c>
      <c r="I279" s="139">
        <f t="shared" si="139"/>
        <v>454</v>
      </c>
      <c r="J279" s="83">
        <f t="shared" si="145"/>
        <v>0</v>
      </c>
      <c r="K279" s="83">
        <f t="shared" si="145"/>
        <v>0</v>
      </c>
      <c r="L279" s="83">
        <f t="shared" si="145"/>
        <v>0</v>
      </c>
      <c r="M279" s="3"/>
    </row>
    <row r="280" spans="1:13" ht="15.75" customHeight="1">
      <c r="A280" s="45"/>
      <c r="B280" s="32" t="s">
        <v>536</v>
      </c>
      <c r="C280" s="21" t="s">
        <v>548</v>
      </c>
      <c r="D280" s="83">
        <f t="shared" si="145"/>
        <v>11</v>
      </c>
      <c r="E280" s="83">
        <f t="shared" si="145"/>
        <v>11</v>
      </c>
      <c r="F280" s="83">
        <f t="shared" si="145"/>
        <v>0</v>
      </c>
      <c r="G280" s="83">
        <f t="shared" si="145"/>
        <v>0</v>
      </c>
      <c r="H280" s="83">
        <f t="shared" si="145"/>
        <v>0</v>
      </c>
      <c r="I280" s="139">
        <f t="shared" si="139"/>
        <v>11</v>
      </c>
      <c r="J280" s="83">
        <f t="shared" si="145"/>
        <v>0</v>
      </c>
      <c r="K280" s="83">
        <f t="shared" si="145"/>
        <v>0</v>
      </c>
      <c r="L280" s="83">
        <f t="shared" si="145"/>
        <v>0</v>
      </c>
      <c r="M280" s="3"/>
    </row>
    <row r="281" spans="1:13" ht="15.75" customHeight="1">
      <c r="A281" s="45"/>
      <c r="B281" s="132" t="s">
        <v>207</v>
      </c>
      <c r="C281" s="21">
        <v>70</v>
      </c>
      <c r="D281" s="135">
        <f>2907+150</f>
        <v>3057</v>
      </c>
      <c r="E281" s="135">
        <v>3057</v>
      </c>
      <c r="F281" s="135"/>
      <c r="G281" s="135"/>
      <c r="H281" s="135"/>
      <c r="I281" s="139">
        <f t="shared" si="139"/>
        <v>3057</v>
      </c>
      <c r="J281" s="135"/>
      <c r="K281" s="135"/>
      <c r="L281" s="135"/>
      <c r="M281" s="3"/>
    </row>
    <row r="282" spans="1:13" ht="18" hidden="1" customHeight="1">
      <c r="A282" s="45"/>
      <c r="B282" s="32" t="s">
        <v>208</v>
      </c>
      <c r="C282" s="21" t="s">
        <v>209</v>
      </c>
      <c r="D282" s="82">
        <v>0</v>
      </c>
      <c r="E282" s="82"/>
      <c r="F282" s="82"/>
      <c r="G282" s="82"/>
      <c r="H282" s="82"/>
      <c r="I282" s="139">
        <f t="shared" si="139"/>
        <v>0</v>
      </c>
      <c r="J282" s="80"/>
      <c r="K282" s="80"/>
      <c r="L282" s="80"/>
      <c r="M282" s="3"/>
    </row>
    <row r="283" spans="1:13" ht="18" hidden="1" customHeight="1">
      <c r="A283" s="45"/>
      <c r="B283" s="32" t="s">
        <v>210</v>
      </c>
      <c r="C283" s="21" t="s">
        <v>211</v>
      </c>
      <c r="D283" s="82"/>
      <c r="E283" s="82"/>
      <c r="F283" s="82"/>
      <c r="G283" s="82"/>
      <c r="H283" s="82"/>
      <c r="I283" s="139">
        <f t="shared" si="139"/>
        <v>0</v>
      </c>
      <c r="J283" s="80"/>
      <c r="K283" s="80"/>
      <c r="L283" s="80"/>
      <c r="M283" s="3"/>
    </row>
    <row r="284" spans="1:13" ht="21" hidden="1" customHeight="1">
      <c r="A284" s="45"/>
      <c r="B284" s="40" t="s">
        <v>212</v>
      </c>
      <c r="C284" s="21" t="s">
        <v>213</v>
      </c>
      <c r="D284" s="82"/>
      <c r="E284" s="82"/>
      <c r="F284" s="82"/>
      <c r="G284" s="82"/>
      <c r="H284" s="82"/>
      <c r="I284" s="139">
        <f t="shared" si="139"/>
        <v>0</v>
      </c>
      <c r="J284" s="80"/>
      <c r="K284" s="80"/>
      <c r="L284" s="80"/>
      <c r="M284" s="3"/>
    </row>
    <row r="285" spans="1:13" ht="21" hidden="1" customHeight="1">
      <c r="A285" s="45"/>
      <c r="B285" s="40" t="s">
        <v>214</v>
      </c>
      <c r="C285" s="21" t="s">
        <v>215</v>
      </c>
      <c r="D285" s="82"/>
      <c r="E285" s="82"/>
      <c r="F285" s="82"/>
      <c r="G285" s="82"/>
      <c r="H285" s="82"/>
      <c r="I285" s="139">
        <f t="shared" si="139"/>
        <v>0</v>
      </c>
      <c r="J285" s="80"/>
      <c r="K285" s="80"/>
      <c r="L285" s="80"/>
      <c r="M285" s="3"/>
    </row>
    <row r="286" spans="1:13" ht="25.5" hidden="1" customHeight="1">
      <c r="A286" s="45"/>
      <c r="B286" s="57" t="s">
        <v>216</v>
      </c>
      <c r="C286" s="21">
        <v>71.03</v>
      </c>
      <c r="D286" s="82"/>
      <c r="E286" s="82"/>
      <c r="F286" s="82"/>
      <c r="G286" s="82"/>
      <c r="H286" s="82"/>
      <c r="I286" s="139">
        <f t="shared" si="139"/>
        <v>0</v>
      </c>
      <c r="J286" s="80">
        <f>J287</f>
        <v>0</v>
      </c>
      <c r="K286" s="80"/>
      <c r="L286" s="80"/>
      <c r="M286" s="3"/>
    </row>
    <row r="287" spans="1:13" ht="33" hidden="1" customHeight="1">
      <c r="A287" s="45"/>
      <c r="B287" s="59" t="s">
        <v>542</v>
      </c>
      <c r="C287" s="21"/>
      <c r="D287" s="82"/>
      <c r="E287" s="82"/>
      <c r="F287" s="82"/>
      <c r="G287" s="82"/>
      <c r="H287" s="82"/>
      <c r="I287" s="139">
        <f t="shared" si="139"/>
        <v>0</v>
      </c>
      <c r="J287" s="80"/>
      <c r="K287" s="80"/>
      <c r="L287" s="80"/>
      <c r="M287" s="3"/>
    </row>
    <row r="288" spans="1:13" ht="4.5" hidden="1" customHeight="1">
      <c r="A288" s="45"/>
      <c r="B288" s="58" t="s">
        <v>475</v>
      </c>
      <c r="C288" s="21"/>
      <c r="D288" s="82"/>
      <c r="E288" s="82"/>
      <c r="F288" s="82"/>
      <c r="G288" s="82"/>
      <c r="H288" s="82"/>
      <c r="I288" s="139">
        <f t="shared" si="139"/>
        <v>0</v>
      </c>
      <c r="J288" s="80"/>
      <c r="K288" s="80"/>
      <c r="L288" s="80"/>
      <c r="M288" s="3"/>
    </row>
    <row r="289" spans="1:13" ht="73.5" hidden="1" customHeight="1">
      <c r="A289" s="45"/>
      <c r="B289" s="59" t="s">
        <v>465</v>
      </c>
      <c r="C289" s="21"/>
      <c r="D289" s="82"/>
      <c r="E289" s="82"/>
      <c r="F289" s="82"/>
      <c r="G289" s="82"/>
      <c r="H289" s="82"/>
      <c r="I289" s="139">
        <f t="shared" si="139"/>
        <v>0</v>
      </c>
      <c r="J289" s="80"/>
      <c r="K289" s="80"/>
      <c r="L289" s="80"/>
      <c r="M289" s="3"/>
    </row>
    <row r="290" spans="1:13" ht="27.75" hidden="1" customHeight="1">
      <c r="A290" s="45"/>
      <c r="B290" s="59" t="s">
        <v>466</v>
      </c>
      <c r="C290" s="21"/>
      <c r="D290" s="82"/>
      <c r="E290" s="82"/>
      <c r="F290" s="82"/>
      <c r="G290" s="82"/>
      <c r="H290" s="82"/>
      <c r="I290" s="139">
        <f t="shared" si="139"/>
        <v>0</v>
      </c>
      <c r="J290" s="80"/>
      <c r="K290" s="80"/>
      <c r="L290" s="80"/>
      <c r="M290" s="3"/>
    </row>
    <row r="291" spans="1:13" ht="32.25" hidden="1" customHeight="1">
      <c r="A291" s="45"/>
      <c r="B291" s="59" t="s">
        <v>467</v>
      </c>
      <c r="C291" s="21"/>
      <c r="D291" s="82"/>
      <c r="E291" s="82"/>
      <c r="F291" s="82"/>
      <c r="G291" s="82"/>
      <c r="H291" s="82"/>
      <c r="I291" s="139">
        <f t="shared" si="139"/>
        <v>0</v>
      </c>
      <c r="J291" s="80"/>
      <c r="K291" s="80"/>
      <c r="L291" s="80"/>
      <c r="M291" s="3"/>
    </row>
    <row r="292" spans="1:13" ht="25.5" hidden="1" customHeight="1">
      <c r="A292" s="45"/>
      <c r="B292" s="59" t="s">
        <v>468</v>
      </c>
      <c r="C292" s="21"/>
      <c r="D292" s="82"/>
      <c r="E292" s="82"/>
      <c r="F292" s="82"/>
      <c r="G292" s="82"/>
      <c r="H292" s="82"/>
      <c r="I292" s="139">
        <f t="shared" si="139"/>
        <v>0</v>
      </c>
      <c r="J292" s="80"/>
      <c r="K292" s="80"/>
      <c r="L292" s="80"/>
      <c r="M292" s="3"/>
    </row>
    <row r="293" spans="1:13" ht="31.5" hidden="1" customHeight="1">
      <c r="A293" s="45"/>
      <c r="B293" s="59" t="s">
        <v>490</v>
      </c>
      <c r="C293" s="21"/>
      <c r="D293" s="82"/>
      <c r="E293" s="82"/>
      <c r="F293" s="82"/>
      <c r="G293" s="82"/>
      <c r="H293" s="82"/>
      <c r="I293" s="139">
        <f t="shared" si="139"/>
        <v>0</v>
      </c>
      <c r="J293" s="80"/>
      <c r="K293" s="80"/>
      <c r="L293" s="80"/>
      <c r="M293" s="3"/>
    </row>
    <row r="294" spans="1:13" ht="25.5" hidden="1" customHeight="1">
      <c r="A294" s="45"/>
      <c r="B294" s="59" t="s">
        <v>491</v>
      </c>
      <c r="C294" s="21"/>
      <c r="D294" s="82"/>
      <c r="E294" s="82"/>
      <c r="F294" s="82"/>
      <c r="G294" s="82"/>
      <c r="H294" s="82"/>
      <c r="I294" s="139">
        <f t="shared" si="139"/>
        <v>0</v>
      </c>
      <c r="J294" s="80"/>
      <c r="K294" s="80"/>
      <c r="L294" s="80"/>
      <c r="M294" s="3"/>
    </row>
    <row r="295" spans="1:13" ht="25.5" hidden="1" customHeight="1">
      <c r="A295" s="45"/>
      <c r="B295" s="44" t="s">
        <v>216</v>
      </c>
      <c r="C295" s="21">
        <v>0</v>
      </c>
      <c r="D295" s="82"/>
      <c r="E295" s="82"/>
      <c r="F295" s="82"/>
      <c r="G295" s="82"/>
      <c r="H295" s="82"/>
      <c r="I295" s="139">
        <f t="shared" si="139"/>
        <v>0</v>
      </c>
      <c r="J295" s="80"/>
      <c r="K295" s="80"/>
      <c r="L295" s="80"/>
      <c r="M295" s="3"/>
    </row>
    <row r="296" spans="1:13" ht="21" hidden="1" customHeight="1">
      <c r="A296" s="45"/>
      <c r="B296" s="44" t="s">
        <v>177</v>
      </c>
      <c r="C296" s="21">
        <v>85.01</v>
      </c>
      <c r="D296" s="82"/>
      <c r="E296" s="82"/>
      <c r="F296" s="82"/>
      <c r="G296" s="82"/>
      <c r="H296" s="82"/>
      <c r="I296" s="139">
        <f t="shared" si="139"/>
        <v>0</v>
      </c>
      <c r="J296" s="80"/>
      <c r="K296" s="80"/>
      <c r="L296" s="80"/>
      <c r="M296" s="3"/>
    </row>
    <row r="297" spans="1:13" ht="27.75" customHeight="1">
      <c r="A297" s="45"/>
      <c r="B297" s="60" t="s">
        <v>459</v>
      </c>
      <c r="C297" s="108"/>
      <c r="D297" s="93">
        <f t="shared" ref="D297:L298" si="146">D298</f>
        <v>2500</v>
      </c>
      <c r="E297" s="93">
        <f t="shared" si="146"/>
        <v>2500</v>
      </c>
      <c r="F297" s="93">
        <f t="shared" si="146"/>
        <v>0</v>
      </c>
      <c r="G297" s="93">
        <f t="shared" si="146"/>
        <v>0</v>
      </c>
      <c r="H297" s="93">
        <f t="shared" si="146"/>
        <v>0</v>
      </c>
      <c r="I297" s="139">
        <f t="shared" si="139"/>
        <v>2500</v>
      </c>
      <c r="J297" s="93">
        <f t="shared" si="146"/>
        <v>15056</v>
      </c>
      <c r="K297" s="93">
        <f t="shared" si="146"/>
        <v>2014</v>
      </c>
      <c r="L297" s="93">
        <f t="shared" si="146"/>
        <v>0</v>
      </c>
      <c r="M297" s="3"/>
    </row>
    <row r="298" spans="1:13" ht="21" customHeight="1">
      <c r="A298" s="45"/>
      <c r="B298" s="44" t="s">
        <v>178</v>
      </c>
      <c r="C298" s="21"/>
      <c r="D298" s="83">
        <f t="shared" si="146"/>
        <v>2500</v>
      </c>
      <c r="E298" s="83">
        <f t="shared" si="146"/>
        <v>2500</v>
      </c>
      <c r="F298" s="83">
        <f t="shared" si="146"/>
        <v>0</v>
      </c>
      <c r="G298" s="83">
        <f t="shared" si="146"/>
        <v>0</v>
      </c>
      <c r="H298" s="83">
        <f t="shared" si="146"/>
        <v>0</v>
      </c>
      <c r="I298" s="139">
        <f t="shared" si="139"/>
        <v>2500</v>
      </c>
      <c r="J298" s="83">
        <f t="shared" si="146"/>
        <v>15056</v>
      </c>
      <c r="K298" s="83">
        <f t="shared" si="146"/>
        <v>2014</v>
      </c>
      <c r="L298" s="83">
        <f t="shared" si="146"/>
        <v>0</v>
      </c>
      <c r="M298" s="3"/>
    </row>
    <row r="299" spans="1:13" ht="28.5" customHeight="1">
      <c r="A299" s="45"/>
      <c r="B299" s="43" t="s">
        <v>486</v>
      </c>
      <c r="C299" s="21">
        <v>58</v>
      </c>
      <c r="D299" s="83">
        <f t="shared" ref="D299:L299" si="147">D300+D301+D302</f>
        <v>2500</v>
      </c>
      <c r="E299" s="83">
        <f t="shared" si="147"/>
        <v>2500</v>
      </c>
      <c r="F299" s="83">
        <f t="shared" si="147"/>
        <v>0</v>
      </c>
      <c r="G299" s="83">
        <f t="shared" si="147"/>
        <v>0</v>
      </c>
      <c r="H299" s="83">
        <f t="shared" si="147"/>
        <v>0</v>
      </c>
      <c r="I299" s="139">
        <f t="shared" si="139"/>
        <v>2500</v>
      </c>
      <c r="J299" s="83">
        <f t="shared" si="147"/>
        <v>15056</v>
      </c>
      <c r="K299" s="83">
        <f t="shared" si="147"/>
        <v>2014</v>
      </c>
      <c r="L299" s="83">
        <f t="shared" si="147"/>
        <v>0</v>
      </c>
      <c r="M299" s="3"/>
    </row>
    <row r="300" spans="1:13" ht="14.25" customHeight="1">
      <c r="A300" s="45"/>
      <c r="B300" s="32" t="s">
        <v>533</v>
      </c>
      <c r="C300" s="21" t="s">
        <v>534</v>
      </c>
      <c r="D300" s="82">
        <v>325</v>
      </c>
      <c r="E300" s="82">
        <v>325</v>
      </c>
      <c r="F300" s="146"/>
      <c r="G300" s="146"/>
      <c r="H300" s="146"/>
      <c r="I300" s="139">
        <f t="shared" si="139"/>
        <v>325</v>
      </c>
      <c r="J300" s="146"/>
      <c r="K300" s="146"/>
      <c r="L300" s="82"/>
      <c r="M300" s="3"/>
    </row>
    <row r="301" spans="1:13" ht="15" customHeight="1">
      <c r="A301" s="45"/>
      <c r="B301" s="32" t="s">
        <v>535</v>
      </c>
      <c r="C301" s="21" t="s">
        <v>488</v>
      </c>
      <c r="D301" s="82">
        <v>2125</v>
      </c>
      <c r="E301" s="82">
        <v>2125</v>
      </c>
      <c r="F301" s="146"/>
      <c r="G301" s="146"/>
      <c r="H301" s="146"/>
      <c r="I301" s="139">
        <f t="shared" si="139"/>
        <v>2125</v>
      </c>
      <c r="J301" s="82">
        <v>15056</v>
      </c>
      <c r="K301" s="82">
        <v>2014</v>
      </c>
      <c r="L301" s="82"/>
      <c r="M301" s="3"/>
    </row>
    <row r="302" spans="1:13" ht="15.75" customHeight="1">
      <c r="A302" s="45"/>
      <c r="B302" s="32" t="s">
        <v>536</v>
      </c>
      <c r="C302" s="21" t="s">
        <v>489</v>
      </c>
      <c r="D302" s="82">
        <v>50</v>
      </c>
      <c r="E302" s="82">
        <v>50</v>
      </c>
      <c r="F302" s="146"/>
      <c r="G302" s="146"/>
      <c r="H302" s="146"/>
      <c r="I302" s="139">
        <f t="shared" si="139"/>
        <v>50</v>
      </c>
      <c r="J302" s="145"/>
      <c r="K302" s="145"/>
      <c r="L302" s="80"/>
      <c r="M302" s="3"/>
    </row>
    <row r="303" spans="1:13" ht="25.5" customHeight="1">
      <c r="A303" s="45"/>
      <c r="B303" s="60" t="s">
        <v>460</v>
      </c>
      <c r="C303" s="108"/>
      <c r="D303" s="93">
        <f t="shared" ref="D303:L304" si="148">D304</f>
        <v>2000</v>
      </c>
      <c r="E303" s="93">
        <f t="shared" si="148"/>
        <v>2000</v>
      </c>
      <c r="F303" s="93">
        <f t="shared" si="148"/>
        <v>0</v>
      </c>
      <c r="G303" s="93">
        <f t="shared" si="148"/>
        <v>0</v>
      </c>
      <c r="H303" s="93">
        <f t="shared" si="148"/>
        <v>0</v>
      </c>
      <c r="I303" s="139">
        <f t="shared" si="139"/>
        <v>2000</v>
      </c>
      <c r="J303" s="93">
        <f t="shared" si="148"/>
        <v>17438</v>
      </c>
      <c r="K303" s="93">
        <f t="shared" si="148"/>
        <v>2023</v>
      </c>
      <c r="L303" s="93">
        <f t="shared" si="148"/>
        <v>0</v>
      </c>
      <c r="M303" s="3"/>
    </row>
    <row r="304" spans="1:13" ht="20.25" customHeight="1">
      <c r="A304" s="45"/>
      <c r="B304" s="44" t="s">
        <v>178</v>
      </c>
      <c r="C304" s="21"/>
      <c r="D304" s="82">
        <f t="shared" si="148"/>
        <v>2000</v>
      </c>
      <c r="E304" s="82">
        <f t="shared" si="148"/>
        <v>2000</v>
      </c>
      <c r="F304" s="82">
        <f t="shared" si="148"/>
        <v>0</v>
      </c>
      <c r="G304" s="82">
        <f t="shared" si="148"/>
        <v>0</v>
      </c>
      <c r="H304" s="82">
        <f t="shared" si="148"/>
        <v>0</v>
      </c>
      <c r="I304" s="139">
        <f t="shared" si="139"/>
        <v>2000</v>
      </c>
      <c r="J304" s="82">
        <f t="shared" si="148"/>
        <v>17438</v>
      </c>
      <c r="K304" s="82">
        <f t="shared" si="148"/>
        <v>2023</v>
      </c>
      <c r="L304" s="82">
        <f t="shared" si="148"/>
        <v>0</v>
      </c>
      <c r="M304" s="3"/>
    </row>
    <row r="305" spans="1:13" ht="25.5" customHeight="1">
      <c r="A305" s="45"/>
      <c r="B305" s="43" t="s">
        <v>486</v>
      </c>
      <c r="C305" s="21">
        <v>58</v>
      </c>
      <c r="D305" s="83">
        <f t="shared" ref="D305:L305" si="149">D306+D307+D308</f>
        <v>2000</v>
      </c>
      <c r="E305" s="83">
        <f t="shared" si="149"/>
        <v>2000</v>
      </c>
      <c r="F305" s="83">
        <f t="shared" si="149"/>
        <v>0</v>
      </c>
      <c r="G305" s="83">
        <f t="shared" si="149"/>
        <v>0</v>
      </c>
      <c r="H305" s="83">
        <f t="shared" si="149"/>
        <v>0</v>
      </c>
      <c r="I305" s="139">
        <f t="shared" si="139"/>
        <v>2000</v>
      </c>
      <c r="J305" s="83">
        <f t="shared" si="149"/>
        <v>17438</v>
      </c>
      <c r="K305" s="83">
        <f t="shared" si="149"/>
        <v>2023</v>
      </c>
      <c r="L305" s="83">
        <f t="shared" si="149"/>
        <v>0</v>
      </c>
      <c r="M305" s="3"/>
    </row>
    <row r="306" spans="1:13" ht="19.5" customHeight="1">
      <c r="A306" s="45"/>
      <c r="B306" s="32" t="s">
        <v>533</v>
      </c>
      <c r="C306" s="21" t="s">
        <v>534</v>
      </c>
      <c r="D306" s="82">
        <v>260</v>
      </c>
      <c r="E306" s="82">
        <v>260</v>
      </c>
      <c r="F306" s="82"/>
      <c r="G306" s="82"/>
      <c r="H306" s="82"/>
      <c r="I306" s="139">
        <f t="shared" si="139"/>
        <v>260</v>
      </c>
      <c r="J306" s="82"/>
      <c r="K306" s="82"/>
      <c r="L306" s="82"/>
      <c r="M306" s="3"/>
    </row>
    <row r="307" spans="1:13" ht="16.5" customHeight="1">
      <c r="A307" s="45"/>
      <c r="B307" s="32" t="s">
        <v>535</v>
      </c>
      <c r="C307" s="21" t="s">
        <v>488</v>
      </c>
      <c r="D307" s="82">
        <v>1700</v>
      </c>
      <c r="E307" s="82">
        <v>1700</v>
      </c>
      <c r="F307" s="82"/>
      <c r="G307" s="82"/>
      <c r="H307" s="82"/>
      <c r="I307" s="139">
        <f t="shared" si="139"/>
        <v>1700</v>
      </c>
      <c r="J307" s="82">
        <v>17438</v>
      </c>
      <c r="K307" s="82">
        <v>2023</v>
      </c>
      <c r="L307" s="82"/>
      <c r="M307" s="3"/>
    </row>
    <row r="308" spans="1:13" ht="13.5" customHeight="1">
      <c r="A308" s="45"/>
      <c r="B308" s="32" t="s">
        <v>536</v>
      </c>
      <c r="C308" s="21" t="s">
        <v>489</v>
      </c>
      <c r="D308" s="82">
        <v>40</v>
      </c>
      <c r="E308" s="82">
        <v>40</v>
      </c>
      <c r="F308" s="82"/>
      <c r="G308" s="82"/>
      <c r="H308" s="82"/>
      <c r="I308" s="139">
        <f t="shared" si="139"/>
        <v>40</v>
      </c>
      <c r="J308" s="80"/>
      <c r="K308" s="80"/>
      <c r="L308" s="80"/>
      <c r="M308" s="3"/>
    </row>
    <row r="309" spans="1:13" ht="38.25" customHeight="1">
      <c r="A309" s="45"/>
      <c r="B309" s="60" t="s">
        <v>461</v>
      </c>
      <c r="C309" s="108"/>
      <c r="D309" s="93">
        <f t="shared" ref="D309:L310" si="150">D310</f>
        <v>2500</v>
      </c>
      <c r="E309" s="93">
        <f t="shared" si="150"/>
        <v>2500</v>
      </c>
      <c r="F309" s="93">
        <f t="shared" si="150"/>
        <v>0</v>
      </c>
      <c r="G309" s="93">
        <f t="shared" si="150"/>
        <v>0</v>
      </c>
      <c r="H309" s="93">
        <f t="shared" si="150"/>
        <v>0</v>
      </c>
      <c r="I309" s="139">
        <f t="shared" si="139"/>
        <v>2500</v>
      </c>
      <c r="J309" s="93">
        <f t="shared" si="150"/>
        <v>8191</v>
      </c>
      <c r="K309" s="93">
        <f t="shared" si="150"/>
        <v>0</v>
      </c>
      <c r="L309" s="93">
        <f t="shared" si="150"/>
        <v>0</v>
      </c>
      <c r="M309" s="3"/>
    </row>
    <row r="310" spans="1:13" ht="23.25" customHeight="1">
      <c r="A310" s="45"/>
      <c r="B310" s="44" t="s">
        <v>178</v>
      </c>
      <c r="C310" s="21"/>
      <c r="D310" s="83">
        <f t="shared" si="150"/>
        <v>2500</v>
      </c>
      <c r="E310" s="83">
        <f t="shared" si="150"/>
        <v>2500</v>
      </c>
      <c r="F310" s="83">
        <f t="shared" si="150"/>
        <v>0</v>
      </c>
      <c r="G310" s="83">
        <f t="shared" si="150"/>
        <v>0</v>
      </c>
      <c r="H310" s="83">
        <f t="shared" si="150"/>
        <v>0</v>
      </c>
      <c r="I310" s="139">
        <f t="shared" si="139"/>
        <v>2500</v>
      </c>
      <c r="J310" s="83">
        <f t="shared" si="150"/>
        <v>8191</v>
      </c>
      <c r="K310" s="83">
        <f t="shared" si="150"/>
        <v>0</v>
      </c>
      <c r="L310" s="83">
        <f t="shared" si="150"/>
        <v>0</v>
      </c>
      <c r="M310" s="3"/>
    </row>
    <row r="311" spans="1:13" ht="32.25" customHeight="1">
      <c r="A311" s="45"/>
      <c r="B311" s="43" t="s">
        <v>486</v>
      </c>
      <c r="C311" s="21">
        <v>58</v>
      </c>
      <c r="D311" s="83">
        <f t="shared" ref="D311:L311" si="151">D312+D313+D314</f>
        <v>2500</v>
      </c>
      <c r="E311" s="83">
        <f t="shared" si="151"/>
        <v>2500</v>
      </c>
      <c r="F311" s="83">
        <f t="shared" si="151"/>
        <v>0</v>
      </c>
      <c r="G311" s="83">
        <f t="shared" si="151"/>
        <v>0</v>
      </c>
      <c r="H311" s="83">
        <f t="shared" si="151"/>
        <v>0</v>
      </c>
      <c r="I311" s="139">
        <f t="shared" si="139"/>
        <v>2500</v>
      </c>
      <c r="J311" s="83">
        <f t="shared" si="151"/>
        <v>8191</v>
      </c>
      <c r="K311" s="83">
        <f t="shared" si="151"/>
        <v>0</v>
      </c>
      <c r="L311" s="83">
        <f t="shared" si="151"/>
        <v>0</v>
      </c>
      <c r="M311" s="3"/>
    </row>
    <row r="312" spans="1:13" ht="16.5" customHeight="1">
      <c r="A312" s="45"/>
      <c r="B312" s="32" t="s">
        <v>533</v>
      </c>
      <c r="C312" s="21" t="s">
        <v>534</v>
      </c>
      <c r="D312" s="82">
        <v>325</v>
      </c>
      <c r="E312" s="82">
        <v>325</v>
      </c>
      <c r="F312" s="82"/>
      <c r="G312" s="82"/>
      <c r="H312" s="82"/>
      <c r="I312" s="139">
        <f t="shared" si="139"/>
        <v>325</v>
      </c>
      <c r="J312" s="82"/>
      <c r="K312" s="82"/>
      <c r="L312" s="82"/>
      <c r="M312" s="3"/>
    </row>
    <row r="313" spans="1:13" ht="17.25" customHeight="1">
      <c r="A313" s="45"/>
      <c r="B313" s="32" t="s">
        <v>535</v>
      </c>
      <c r="C313" s="21" t="s">
        <v>488</v>
      </c>
      <c r="D313" s="82">
        <v>2125</v>
      </c>
      <c r="E313" s="82">
        <v>2125</v>
      </c>
      <c r="F313" s="82"/>
      <c r="G313" s="82"/>
      <c r="H313" s="82"/>
      <c r="I313" s="139">
        <f t="shared" si="139"/>
        <v>2125</v>
      </c>
      <c r="J313" s="82">
        <v>8191</v>
      </c>
      <c r="K313" s="82"/>
      <c r="L313" s="82"/>
      <c r="M313" s="3"/>
    </row>
    <row r="314" spans="1:13" ht="21" customHeight="1">
      <c r="A314" s="45"/>
      <c r="B314" s="32" t="s">
        <v>536</v>
      </c>
      <c r="C314" s="21" t="s">
        <v>489</v>
      </c>
      <c r="D314" s="82">
        <v>50</v>
      </c>
      <c r="E314" s="82">
        <v>50</v>
      </c>
      <c r="F314" s="82"/>
      <c r="G314" s="82"/>
      <c r="H314" s="82"/>
      <c r="I314" s="139">
        <f t="shared" si="139"/>
        <v>50</v>
      </c>
      <c r="J314" s="80"/>
      <c r="K314" s="80"/>
      <c r="L314" s="80"/>
      <c r="M314" s="3"/>
    </row>
    <row r="315" spans="1:13" ht="33.75" customHeight="1">
      <c r="A315" s="45"/>
      <c r="B315" s="60" t="s">
        <v>462</v>
      </c>
      <c r="C315" s="107"/>
      <c r="D315" s="92">
        <f t="shared" ref="D315:L319" si="152">D316</f>
        <v>1000</v>
      </c>
      <c r="E315" s="92">
        <f t="shared" si="152"/>
        <v>1000</v>
      </c>
      <c r="F315" s="92">
        <f t="shared" si="152"/>
        <v>0</v>
      </c>
      <c r="G315" s="92">
        <f t="shared" si="152"/>
        <v>0</v>
      </c>
      <c r="H315" s="92">
        <f t="shared" si="152"/>
        <v>0</v>
      </c>
      <c r="I315" s="139">
        <f t="shared" si="139"/>
        <v>1000</v>
      </c>
      <c r="J315" s="92">
        <f t="shared" si="152"/>
        <v>2190</v>
      </c>
      <c r="K315" s="92">
        <f t="shared" si="152"/>
        <v>0</v>
      </c>
      <c r="L315" s="92">
        <f t="shared" si="152"/>
        <v>0</v>
      </c>
      <c r="M315" s="3"/>
    </row>
    <row r="316" spans="1:13" ht="21" customHeight="1">
      <c r="A316" s="45"/>
      <c r="B316" s="44" t="s">
        <v>178</v>
      </c>
      <c r="C316" s="21"/>
      <c r="D316" s="83">
        <f t="shared" si="152"/>
        <v>1000</v>
      </c>
      <c r="E316" s="83">
        <f t="shared" si="152"/>
        <v>1000</v>
      </c>
      <c r="F316" s="83">
        <f t="shared" si="152"/>
        <v>0</v>
      </c>
      <c r="G316" s="83">
        <f t="shared" si="152"/>
        <v>0</v>
      </c>
      <c r="H316" s="83">
        <f t="shared" si="152"/>
        <v>0</v>
      </c>
      <c r="I316" s="139">
        <f t="shared" si="139"/>
        <v>1000</v>
      </c>
      <c r="J316" s="83">
        <f t="shared" si="152"/>
        <v>2190</v>
      </c>
      <c r="K316" s="83">
        <f t="shared" si="152"/>
        <v>0</v>
      </c>
      <c r="L316" s="83">
        <f t="shared" si="152"/>
        <v>0</v>
      </c>
      <c r="M316" s="3"/>
    </row>
    <row r="317" spans="1:13" ht="27" customHeight="1">
      <c r="A317" s="45"/>
      <c r="B317" s="43" t="s">
        <v>486</v>
      </c>
      <c r="C317" s="21">
        <v>58</v>
      </c>
      <c r="D317" s="83">
        <f t="shared" ref="D317:L317" si="153">D318+D319+D320</f>
        <v>1000</v>
      </c>
      <c r="E317" s="83">
        <f t="shared" si="153"/>
        <v>1000</v>
      </c>
      <c r="F317" s="83">
        <f t="shared" si="153"/>
        <v>0</v>
      </c>
      <c r="G317" s="83">
        <f t="shared" si="153"/>
        <v>0</v>
      </c>
      <c r="H317" s="83">
        <f t="shared" si="153"/>
        <v>0</v>
      </c>
      <c r="I317" s="139">
        <f t="shared" si="139"/>
        <v>1000</v>
      </c>
      <c r="J317" s="83">
        <f t="shared" si="153"/>
        <v>2190</v>
      </c>
      <c r="K317" s="83">
        <f t="shared" si="153"/>
        <v>0</v>
      </c>
      <c r="L317" s="83">
        <f t="shared" si="153"/>
        <v>0</v>
      </c>
      <c r="M317" s="3"/>
    </row>
    <row r="318" spans="1:13" ht="18" customHeight="1">
      <c r="A318" s="45"/>
      <c r="B318" s="32" t="s">
        <v>533</v>
      </c>
      <c r="C318" s="21" t="s">
        <v>534</v>
      </c>
      <c r="D318" s="82">
        <v>127</v>
      </c>
      <c r="E318" s="82">
        <v>127</v>
      </c>
      <c r="F318" s="82"/>
      <c r="G318" s="82"/>
      <c r="H318" s="82"/>
      <c r="I318" s="139">
        <f t="shared" si="139"/>
        <v>127</v>
      </c>
      <c r="J318" s="82"/>
      <c r="K318" s="82"/>
      <c r="L318" s="82"/>
      <c r="M318" s="3"/>
    </row>
    <row r="319" spans="1:13" ht="19.5" customHeight="1">
      <c r="A319" s="45"/>
      <c r="B319" s="32" t="s">
        <v>535</v>
      </c>
      <c r="C319" s="21" t="s">
        <v>488</v>
      </c>
      <c r="D319" s="82">
        <v>834</v>
      </c>
      <c r="E319" s="82">
        <v>834</v>
      </c>
      <c r="F319" s="82"/>
      <c r="G319" s="82"/>
      <c r="H319" s="82"/>
      <c r="I319" s="139">
        <f t="shared" si="139"/>
        <v>834</v>
      </c>
      <c r="J319" s="82">
        <v>2190</v>
      </c>
      <c r="K319" s="82">
        <f t="shared" si="152"/>
        <v>0</v>
      </c>
      <c r="L319" s="82">
        <f t="shared" si="152"/>
        <v>0</v>
      </c>
      <c r="M319" s="3"/>
    </row>
    <row r="320" spans="1:13" ht="24.75" customHeight="1">
      <c r="A320" s="45"/>
      <c r="B320" s="32" t="s">
        <v>536</v>
      </c>
      <c r="C320" s="21" t="s">
        <v>489</v>
      </c>
      <c r="D320" s="82">
        <f>20+19</f>
        <v>39</v>
      </c>
      <c r="E320" s="82">
        <v>39</v>
      </c>
      <c r="F320" s="82"/>
      <c r="G320" s="82"/>
      <c r="H320" s="82"/>
      <c r="I320" s="139">
        <f t="shared" si="139"/>
        <v>39</v>
      </c>
      <c r="J320" s="80"/>
      <c r="K320" s="80"/>
      <c r="L320" s="80"/>
      <c r="M320" s="3"/>
    </row>
    <row r="321" spans="1:13" ht="39.75" customHeight="1">
      <c r="A321" s="45"/>
      <c r="B321" s="60" t="s">
        <v>537</v>
      </c>
      <c r="C321" s="107"/>
      <c r="D321" s="92">
        <f t="shared" ref="D321:L322" si="154">D322</f>
        <v>1500</v>
      </c>
      <c r="E321" s="92">
        <f t="shared" si="154"/>
        <v>1500</v>
      </c>
      <c r="F321" s="92">
        <f t="shared" si="154"/>
        <v>0</v>
      </c>
      <c r="G321" s="92">
        <f t="shared" si="154"/>
        <v>0</v>
      </c>
      <c r="H321" s="92">
        <f t="shared" si="154"/>
        <v>0</v>
      </c>
      <c r="I321" s="139">
        <f t="shared" si="139"/>
        <v>1500</v>
      </c>
      <c r="J321" s="92">
        <f t="shared" si="154"/>
        <v>25388</v>
      </c>
      <c r="K321" s="92">
        <f t="shared" si="154"/>
        <v>6833</v>
      </c>
      <c r="L321" s="92">
        <f t="shared" si="154"/>
        <v>0</v>
      </c>
      <c r="M321" s="3"/>
    </row>
    <row r="322" spans="1:13" ht="25.5" customHeight="1">
      <c r="A322" s="45"/>
      <c r="B322" s="44" t="s">
        <v>178</v>
      </c>
      <c r="C322" s="21"/>
      <c r="D322" s="83">
        <f t="shared" si="154"/>
        <v>1500</v>
      </c>
      <c r="E322" s="83">
        <f t="shared" si="154"/>
        <v>1500</v>
      </c>
      <c r="F322" s="83">
        <f t="shared" si="154"/>
        <v>0</v>
      </c>
      <c r="G322" s="83">
        <f t="shared" si="154"/>
        <v>0</v>
      </c>
      <c r="H322" s="83">
        <f t="shared" si="154"/>
        <v>0</v>
      </c>
      <c r="I322" s="139">
        <f t="shared" si="139"/>
        <v>1500</v>
      </c>
      <c r="J322" s="83">
        <f t="shared" si="154"/>
        <v>25388</v>
      </c>
      <c r="K322" s="83">
        <f t="shared" si="154"/>
        <v>6833</v>
      </c>
      <c r="L322" s="83">
        <f>L323</f>
        <v>0</v>
      </c>
      <c r="M322" s="3"/>
    </row>
    <row r="323" spans="1:13" ht="30" customHeight="1">
      <c r="A323" s="45"/>
      <c r="B323" s="43" t="s">
        <v>486</v>
      </c>
      <c r="C323" s="21">
        <v>58</v>
      </c>
      <c r="D323" s="83">
        <f t="shared" ref="D323:L323" si="155">D324+D325+D326</f>
        <v>1500</v>
      </c>
      <c r="E323" s="83">
        <f t="shared" si="155"/>
        <v>1500</v>
      </c>
      <c r="F323" s="83">
        <f t="shared" si="155"/>
        <v>0</v>
      </c>
      <c r="G323" s="83">
        <f t="shared" si="155"/>
        <v>0</v>
      </c>
      <c r="H323" s="83">
        <f t="shared" si="155"/>
        <v>0</v>
      </c>
      <c r="I323" s="139">
        <f t="shared" si="139"/>
        <v>1500</v>
      </c>
      <c r="J323" s="83">
        <f t="shared" si="155"/>
        <v>25388</v>
      </c>
      <c r="K323" s="83">
        <f t="shared" si="155"/>
        <v>6833</v>
      </c>
      <c r="L323" s="83">
        <f t="shared" si="155"/>
        <v>0</v>
      </c>
      <c r="M323" s="3"/>
    </row>
    <row r="324" spans="1:13" ht="17.25" customHeight="1">
      <c r="A324" s="45"/>
      <c r="B324" s="32" t="s">
        <v>533</v>
      </c>
      <c r="C324" s="21" t="s">
        <v>534</v>
      </c>
      <c r="D324" s="82">
        <v>195</v>
      </c>
      <c r="E324" s="82">
        <v>195</v>
      </c>
      <c r="F324" s="82"/>
      <c r="G324" s="82"/>
      <c r="H324" s="82"/>
      <c r="I324" s="139">
        <f t="shared" si="139"/>
        <v>195</v>
      </c>
      <c r="J324" s="80"/>
      <c r="K324" s="80"/>
      <c r="L324" s="80"/>
      <c r="M324" s="3"/>
    </row>
    <row r="325" spans="1:13" ht="17.25" customHeight="1">
      <c r="A325" s="45"/>
      <c r="B325" s="32" t="s">
        <v>535</v>
      </c>
      <c r="C325" s="21" t="s">
        <v>488</v>
      </c>
      <c r="D325" s="82">
        <v>1275</v>
      </c>
      <c r="E325" s="82">
        <v>1275</v>
      </c>
      <c r="F325" s="82"/>
      <c r="G325" s="82"/>
      <c r="H325" s="82"/>
      <c r="I325" s="139">
        <f t="shared" si="139"/>
        <v>1275</v>
      </c>
      <c r="J325" s="80">
        <v>25388</v>
      </c>
      <c r="K325" s="80">
        <v>6833</v>
      </c>
      <c r="L325" s="80"/>
      <c r="M325" s="3"/>
    </row>
    <row r="326" spans="1:13" ht="17.25" customHeight="1">
      <c r="A326" s="45"/>
      <c r="B326" s="32" t="s">
        <v>536</v>
      </c>
      <c r="C326" s="21" t="s">
        <v>489</v>
      </c>
      <c r="D326" s="82">
        <v>30</v>
      </c>
      <c r="E326" s="82">
        <v>30</v>
      </c>
      <c r="F326" s="82"/>
      <c r="G326" s="82"/>
      <c r="H326" s="82"/>
      <c r="I326" s="139">
        <f t="shared" si="139"/>
        <v>30</v>
      </c>
      <c r="J326" s="80"/>
      <c r="K326" s="80"/>
      <c r="L326" s="80"/>
      <c r="M326" s="3"/>
    </row>
    <row r="327" spans="1:13" ht="41.25" customHeight="1">
      <c r="A327" s="45"/>
      <c r="B327" s="60" t="s">
        <v>538</v>
      </c>
      <c r="C327" s="108"/>
      <c r="D327" s="144">
        <f t="shared" ref="D327:L328" si="156">D328</f>
        <v>534</v>
      </c>
      <c r="E327" s="144">
        <f t="shared" si="156"/>
        <v>534</v>
      </c>
      <c r="F327" s="144">
        <f t="shared" si="156"/>
        <v>0</v>
      </c>
      <c r="G327" s="144">
        <f t="shared" si="156"/>
        <v>0</v>
      </c>
      <c r="H327" s="144">
        <f t="shared" si="156"/>
        <v>0</v>
      </c>
      <c r="I327" s="139">
        <f t="shared" si="139"/>
        <v>534</v>
      </c>
      <c r="J327" s="144">
        <f t="shared" si="156"/>
        <v>0</v>
      </c>
      <c r="K327" s="144">
        <f t="shared" si="156"/>
        <v>0</v>
      </c>
      <c r="L327" s="144">
        <f t="shared" si="156"/>
        <v>0</v>
      </c>
      <c r="M327" s="3"/>
    </row>
    <row r="328" spans="1:13" ht="17.25" customHeight="1">
      <c r="A328" s="45"/>
      <c r="B328" s="44" t="s">
        <v>178</v>
      </c>
      <c r="C328" s="21"/>
      <c r="D328" s="88">
        <f t="shared" si="156"/>
        <v>534</v>
      </c>
      <c r="E328" s="88">
        <f t="shared" si="156"/>
        <v>534</v>
      </c>
      <c r="F328" s="88">
        <f t="shared" si="156"/>
        <v>0</v>
      </c>
      <c r="G328" s="88">
        <f t="shared" si="156"/>
        <v>0</v>
      </c>
      <c r="H328" s="88">
        <f t="shared" si="156"/>
        <v>0</v>
      </c>
      <c r="I328" s="139">
        <f t="shared" si="139"/>
        <v>534</v>
      </c>
      <c r="J328" s="88">
        <f t="shared" si="156"/>
        <v>0</v>
      </c>
      <c r="K328" s="88">
        <f t="shared" si="156"/>
        <v>0</v>
      </c>
      <c r="L328" s="88">
        <f t="shared" si="156"/>
        <v>0</v>
      </c>
      <c r="M328" s="3"/>
    </row>
    <row r="329" spans="1:13" ht="28.5" customHeight="1">
      <c r="A329" s="45"/>
      <c r="B329" s="43" t="s">
        <v>486</v>
      </c>
      <c r="C329" s="21">
        <v>58</v>
      </c>
      <c r="D329" s="88">
        <f t="shared" ref="D329:L329" si="157">D330+D331+D332</f>
        <v>534</v>
      </c>
      <c r="E329" s="88">
        <f t="shared" si="157"/>
        <v>534</v>
      </c>
      <c r="F329" s="88">
        <f t="shared" si="157"/>
        <v>0</v>
      </c>
      <c r="G329" s="88">
        <f t="shared" si="157"/>
        <v>0</v>
      </c>
      <c r="H329" s="88">
        <f t="shared" si="157"/>
        <v>0</v>
      </c>
      <c r="I329" s="139">
        <f t="shared" si="139"/>
        <v>534</v>
      </c>
      <c r="J329" s="88">
        <f t="shared" si="157"/>
        <v>0</v>
      </c>
      <c r="K329" s="88">
        <f t="shared" si="157"/>
        <v>0</v>
      </c>
      <c r="L329" s="88">
        <f t="shared" si="157"/>
        <v>0</v>
      </c>
      <c r="M329" s="3"/>
    </row>
    <row r="330" spans="1:13" ht="17.25" customHeight="1">
      <c r="A330" s="45"/>
      <c r="B330" s="32" t="s">
        <v>533</v>
      </c>
      <c r="C330" s="21" t="s">
        <v>546</v>
      </c>
      <c r="D330" s="82">
        <v>69</v>
      </c>
      <c r="E330" s="82">
        <v>69</v>
      </c>
      <c r="F330" s="146"/>
      <c r="G330" s="146"/>
      <c r="H330" s="146"/>
      <c r="I330" s="139">
        <f t="shared" si="139"/>
        <v>69</v>
      </c>
      <c r="J330" s="80"/>
      <c r="K330" s="80"/>
      <c r="L330" s="80"/>
      <c r="M330" s="3"/>
    </row>
    <row r="331" spans="1:13" ht="17.25" customHeight="1">
      <c r="A331" s="45"/>
      <c r="B331" s="32" t="s">
        <v>535</v>
      </c>
      <c r="C331" s="21" t="s">
        <v>547</v>
      </c>
      <c r="D331" s="82">
        <v>454</v>
      </c>
      <c r="E331" s="82">
        <v>454</v>
      </c>
      <c r="F331" s="146"/>
      <c r="G331" s="146"/>
      <c r="H331" s="146"/>
      <c r="I331" s="139">
        <f t="shared" si="139"/>
        <v>454</v>
      </c>
      <c r="J331" s="80"/>
      <c r="K331" s="80"/>
      <c r="L331" s="80"/>
      <c r="M331" s="3"/>
    </row>
    <row r="332" spans="1:13" ht="17.25" customHeight="1">
      <c r="A332" s="45"/>
      <c r="B332" s="32" t="s">
        <v>536</v>
      </c>
      <c r="C332" s="21" t="s">
        <v>548</v>
      </c>
      <c r="D332" s="82">
        <v>11</v>
      </c>
      <c r="E332" s="82">
        <v>11</v>
      </c>
      <c r="F332" s="146"/>
      <c r="G332" s="146"/>
      <c r="H332" s="146"/>
      <c r="I332" s="139">
        <f t="shared" ref="I332:I401" si="158">E332+F332+G332+H332</f>
        <v>11</v>
      </c>
      <c r="J332" s="80"/>
      <c r="K332" s="80"/>
      <c r="L332" s="80"/>
      <c r="M332" s="3"/>
    </row>
    <row r="333" spans="1:13" ht="59.25" customHeight="1">
      <c r="A333" s="45"/>
      <c r="B333" s="60" t="s">
        <v>562</v>
      </c>
      <c r="C333" s="108"/>
      <c r="D333" s="93">
        <f t="shared" ref="D333:L334" si="159">D334</f>
        <v>127</v>
      </c>
      <c r="E333" s="93">
        <f t="shared" si="159"/>
        <v>127</v>
      </c>
      <c r="F333" s="93">
        <f t="shared" si="159"/>
        <v>0</v>
      </c>
      <c r="G333" s="93">
        <f t="shared" si="159"/>
        <v>0</v>
      </c>
      <c r="H333" s="93">
        <f t="shared" si="159"/>
        <v>0</v>
      </c>
      <c r="I333" s="139">
        <f t="shared" si="158"/>
        <v>127</v>
      </c>
      <c r="J333" s="93">
        <f t="shared" si="159"/>
        <v>0</v>
      </c>
      <c r="K333" s="93">
        <f t="shared" si="159"/>
        <v>0</v>
      </c>
      <c r="L333" s="93">
        <f t="shared" si="159"/>
        <v>0</v>
      </c>
      <c r="M333" s="3"/>
    </row>
    <row r="334" spans="1:13" ht="23.25" customHeight="1">
      <c r="A334" s="45"/>
      <c r="B334" s="44" t="s">
        <v>178</v>
      </c>
      <c r="C334" s="151"/>
      <c r="D334" s="82">
        <f t="shared" si="159"/>
        <v>127</v>
      </c>
      <c r="E334" s="82">
        <f t="shared" si="159"/>
        <v>127</v>
      </c>
      <c r="F334" s="82">
        <f t="shared" si="159"/>
        <v>0</v>
      </c>
      <c r="G334" s="82">
        <f t="shared" si="159"/>
        <v>0</v>
      </c>
      <c r="H334" s="82">
        <f t="shared" si="159"/>
        <v>0</v>
      </c>
      <c r="I334" s="139">
        <f t="shared" si="158"/>
        <v>127</v>
      </c>
      <c r="J334" s="82">
        <f t="shared" si="159"/>
        <v>0</v>
      </c>
      <c r="K334" s="82">
        <f t="shared" si="159"/>
        <v>0</v>
      </c>
      <c r="L334" s="82">
        <f t="shared" si="159"/>
        <v>0</v>
      </c>
      <c r="M334" s="3"/>
    </row>
    <row r="335" spans="1:13" ht="30.75" customHeight="1">
      <c r="A335" s="45"/>
      <c r="B335" s="43" t="s">
        <v>486</v>
      </c>
      <c r="C335" s="21">
        <v>58</v>
      </c>
      <c r="D335" s="80">
        <f t="shared" ref="D335:L335" si="160">D336+D337+D338</f>
        <v>127</v>
      </c>
      <c r="E335" s="80">
        <f t="shared" si="160"/>
        <v>127</v>
      </c>
      <c r="F335" s="80">
        <f t="shared" si="160"/>
        <v>0</v>
      </c>
      <c r="G335" s="80">
        <f t="shared" si="160"/>
        <v>0</v>
      </c>
      <c r="H335" s="80">
        <f t="shared" si="160"/>
        <v>0</v>
      </c>
      <c r="I335" s="139">
        <f t="shared" si="158"/>
        <v>127</v>
      </c>
      <c r="J335" s="80">
        <f t="shared" si="160"/>
        <v>0</v>
      </c>
      <c r="K335" s="80">
        <f t="shared" si="160"/>
        <v>0</v>
      </c>
      <c r="L335" s="80">
        <f t="shared" si="160"/>
        <v>0</v>
      </c>
      <c r="M335" s="3"/>
    </row>
    <row r="336" spans="1:13" ht="17.25" customHeight="1">
      <c r="A336" s="45"/>
      <c r="B336" s="32" t="s">
        <v>533</v>
      </c>
      <c r="C336" s="21" t="s">
        <v>534</v>
      </c>
      <c r="D336" s="82">
        <v>35</v>
      </c>
      <c r="E336" s="82">
        <v>35</v>
      </c>
      <c r="F336" s="146"/>
      <c r="G336" s="146"/>
      <c r="H336" s="146"/>
      <c r="I336" s="139">
        <f t="shared" si="158"/>
        <v>35</v>
      </c>
      <c r="J336" s="80"/>
      <c r="K336" s="80"/>
      <c r="L336" s="80"/>
      <c r="M336" s="3"/>
    </row>
    <row r="337" spans="1:13" ht="17.25" customHeight="1">
      <c r="A337" s="45"/>
      <c r="B337" s="32" t="s">
        <v>535</v>
      </c>
      <c r="C337" s="21" t="s">
        <v>488</v>
      </c>
      <c r="D337" s="82">
        <v>89</v>
      </c>
      <c r="E337" s="82">
        <v>89</v>
      </c>
      <c r="F337" s="146"/>
      <c r="G337" s="146"/>
      <c r="H337" s="146"/>
      <c r="I337" s="139">
        <f t="shared" si="158"/>
        <v>89</v>
      </c>
      <c r="J337" s="80"/>
      <c r="K337" s="80"/>
      <c r="L337" s="80"/>
      <c r="M337" s="3"/>
    </row>
    <row r="338" spans="1:13" ht="17.25" customHeight="1">
      <c r="A338" s="45"/>
      <c r="B338" s="32" t="s">
        <v>536</v>
      </c>
      <c r="C338" s="21" t="s">
        <v>489</v>
      </c>
      <c r="D338" s="82">
        <v>3</v>
      </c>
      <c r="E338" s="82">
        <v>3</v>
      </c>
      <c r="F338" s="146"/>
      <c r="G338" s="146"/>
      <c r="H338" s="146"/>
      <c r="I338" s="139">
        <f t="shared" si="158"/>
        <v>3</v>
      </c>
      <c r="J338" s="80"/>
      <c r="K338" s="80"/>
      <c r="L338" s="80"/>
      <c r="M338" s="3"/>
    </row>
    <row r="339" spans="1:13" ht="44.25" customHeight="1">
      <c r="A339" s="45"/>
      <c r="B339" s="60" t="s">
        <v>561</v>
      </c>
      <c r="C339" s="108"/>
      <c r="D339" s="93">
        <f t="shared" ref="D339:L340" si="161">D340</f>
        <v>104</v>
      </c>
      <c r="E339" s="93">
        <f t="shared" si="161"/>
        <v>104</v>
      </c>
      <c r="F339" s="93">
        <f t="shared" si="161"/>
        <v>0</v>
      </c>
      <c r="G339" s="93">
        <f t="shared" si="161"/>
        <v>0</v>
      </c>
      <c r="H339" s="93">
        <f t="shared" si="161"/>
        <v>0</v>
      </c>
      <c r="I339" s="139">
        <f t="shared" si="158"/>
        <v>104</v>
      </c>
      <c r="J339" s="93">
        <f t="shared" si="161"/>
        <v>0</v>
      </c>
      <c r="K339" s="93">
        <f t="shared" si="161"/>
        <v>0</v>
      </c>
      <c r="L339" s="93">
        <f t="shared" si="161"/>
        <v>0</v>
      </c>
      <c r="M339" s="3"/>
    </row>
    <row r="340" spans="1:13" ht="24.75" customHeight="1">
      <c r="A340" s="152"/>
      <c r="B340" s="44" t="s">
        <v>178</v>
      </c>
      <c r="C340" s="151"/>
      <c r="D340" s="82">
        <f t="shared" si="161"/>
        <v>104</v>
      </c>
      <c r="E340" s="82">
        <f t="shared" si="161"/>
        <v>104</v>
      </c>
      <c r="F340" s="82">
        <f t="shared" si="161"/>
        <v>0</v>
      </c>
      <c r="G340" s="82">
        <f t="shared" si="161"/>
        <v>0</v>
      </c>
      <c r="H340" s="82">
        <f t="shared" si="161"/>
        <v>0</v>
      </c>
      <c r="I340" s="139">
        <f t="shared" si="158"/>
        <v>104</v>
      </c>
      <c r="J340" s="82">
        <f t="shared" si="161"/>
        <v>0</v>
      </c>
      <c r="K340" s="82">
        <f t="shared" si="161"/>
        <v>0</v>
      </c>
      <c r="L340" s="82">
        <f t="shared" si="161"/>
        <v>0</v>
      </c>
      <c r="M340" s="3"/>
    </row>
    <row r="341" spans="1:13" ht="28.5" customHeight="1">
      <c r="A341" s="45"/>
      <c r="B341" s="43" t="s">
        <v>486</v>
      </c>
      <c r="C341" s="21">
        <v>58</v>
      </c>
      <c r="D341" s="80">
        <f t="shared" ref="D341:L341" si="162">D342+D343+D344</f>
        <v>104</v>
      </c>
      <c r="E341" s="80">
        <f t="shared" si="162"/>
        <v>104</v>
      </c>
      <c r="F341" s="80">
        <f t="shared" si="162"/>
        <v>0</v>
      </c>
      <c r="G341" s="80">
        <f t="shared" si="162"/>
        <v>0</v>
      </c>
      <c r="H341" s="80">
        <f t="shared" si="162"/>
        <v>0</v>
      </c>
      <c r="I341" s="139">
        <f t="shared" si="158"/>
        <v>104</v>
      </c>
      <c r="J341" s="80">
        <f t="shared" si="162"/>
        <v>0</v>
      </c>
      <c r="K341" s="80">
        <f t="shared" si="162"/>
        <v>0</v>
      </c>
      <c r="L341" s="80">
        <f t="shared" si="162"/>
        <v>0</v>
      </c>
      <c r="M341" s="3"/>
    </row>
    <row r="342" spans="1:13" ht="17.25" customHeight="1">
      <c r="A342" s="45"/>
      <c r="B342" s="32" t="s">
        <v>533</v>
      </c>
      <c r="C342" s="21" t="s">
        <v>534</v>
      </c>
      <c r="D342" s="82">
        <v>29</v>
      </c>
      <c r="E342" s="82">
        <v>29</v>
      </c>
      <c r="F342" s="146"/>
      <c r="G342" s="146"/>
      <c r="H342" s="146"/>
      <c r="I342" s="139">
        <f t="shared" si="158"/>
        <v>29</v>
      </c>
      <c r="J342" s="80"/>
      <c r="K342" s="80"/>
      <c r="L342" s="80"/>
      <c r="M342" s="3"/>
    </row>
    <row r="343" spans="1:13" ht="17.25" customHeight="1">
      <c r="A343" s="45"/>
      <c r="B343" s="32" t="s">
        <v>535</v>
      </c>
      <c r="C343" s="21" t="s">
        <v>488</v>
      </c>
      <c r="D343" s="82">
        <v>73</v>
      </c>
      <c r="E343" s="82">
        <v>73</v>
      </c>
      <c r="F343" s="146"/>
      <c r="G343" s="146"/>
      <c r="H343" s="146"/>
      <c r="I343" s="139">
        <f t="shared" si="158"/>
        <v>73</v>
      </c>
      <c r="J343" s="80"/>
      <c r="K343" s="80"/>
      <c r="L343" s="80"/>
      <c r="M343" s="3"/>
    </row>
    <row r="344" spans="1:13" ht="17.25" customHeight="1">
      <c r="A344" s="45"/>
      <c r="B344" s="32" t="s">
        <v>536</v>
      </c>
      <c r="C344" s="21" t="s">
        <v>489</v>
      </c>
      <c r="D344" s="82">
        <v>2</v>
      </c>
      <c r="E344" s="82">
        <v>2</v>
      </c>
      <c r="F344" s="146"/>
      <c r="G344" s="146"/>
      <c r="H344" s="146"/>
      <c r="I344" s="139">
        <f t="shared" si="158"/>
        <v>2</v>
      </c>
      <c r="J344" s="80"/>
      <c r="K344" s="80"/>
      <c r="L344" s="80"/>
      <c r="M344" s="3"/>
    </row>
    <row r="345" spans="1:13" ht="35.25" customHeight="1">
      <c r="A345" s="45"/>
      <c r="B345" s="160" t="s">
        <v>579</v>
      </c>
      <c r="C345" s="134"/>
      <c r="D345" s="135">
        <f t="shared" ref="D345:L346" si="163">D346</f>
        <v>200</v>
      </c>
      <c r="E345" s="135">
        <f t="shared" si="163"/>
        <v>200</v>
      </c>
      <c r="F345" s="135">
        <f t="shared" si="163"/>
        <v>0</v>
      </c>
      <c r="G345" s="135">
        <f t="shared" si="163"/>
        <v>0</v>
      </c>
      <c r="H345" s="135">
        <f t="shared" si="163"/>
        <v>0</v>
      </c>
      <c r="I345" s="139">
        <f t="shared" si="158"/>
        <v>200</v>
      </c>
      <c r="J345" s="135">
        <f t="shared" si="163"/>
        <v>1551</v>
      </c>
      <c r="K345" s="135">
        <f t="shared" si="163"/>
        <v>1638</v>
      </c>
      <c r="L345" s="135">
        <f t="shared" si="163"/>
        <v>0</v>
      </c>
      <c r="M345" s="3"/>
    </row>
    <row r="346" spans="1:13" ht="17.25" customHeight="1">
      <c r="A346" s="45"/>
      <c r="B346" s="44" t="s">
        <v>178</v>
      </c>
      <c r="C346" s="21"/>
      <c r="D346" s="80">
        <f t="shared" si="163"/>
        <v>200</v>
      </c>
      <c r="E346" s="80">
        <f t="shared" si="163"/>
        <v>200</v>
      </c>
      <c r="F346" s="80">
        <f t="shared" si="163"/>
        <v>0</v>
      </c>
      <c r="G346" s="80">
        <f t="shared" si="163"/>
        <v>0</v>
      </c>
      <c r="H346" s="80">
        <f t="shared" si="163"/>
        <v>0</v>
      </c>
      <c r="I346" s="139">
        <f t="shared" si="158"/>
        <v>200</v>
      </c>
      <c r="J346" s="80">
        <f t="shared" si="163"/>
        <v>1551</v>
      </c>
      <c r="K346" s="80">
        <f t="shared" si="163"/>
        <v>1638</v>
      </c>
      <c r="L346" s="80">
        <f t="shared" si="163"/>
        <v>0</v>
      </c>
      <c r="M346" s="3"/>
    </row>
    <row r="347" spans="1:13" ht="29.25" customHeight="1">
      <c r="A347" s="45"/>
      <c r="B347" s="43" t="s">
        <v>486</v>
      </c>
      <c r="C347" s="21">
        <v>58</v>
      </c>
      <c r="D347" s="80">
        <f t="shared" ref="D347:L347" si="164">D348+D349+D350</f>
        <v>200</v>
      </c>
      <c r="E347" s="80">
        <f t="shared" si="164"/>
        <v>200</v>
      </c>
      <c r="F347" s="80">
        <f t="shared" si="164"/>
        <v>0</v>
      </c>
      <c r="G347" s="80">
        <f t="shared" si="164"/>
        <v>0</v>
      </c>
      <c r="H347" s="80">
        <f t="shared" si="164"/>
        <v>0</v>
      </c>
      <c r="I347" s="139">
        <f t="shared" si="158"/>
        <v>200</v>
      </c>
      <c r="J347" s="80">
        <f t="shared" si="164"/>
        <v>1551</v>
      </c>
      <c r="K347" s="80">
        <f t="shared" si="164"/>
        <v>1638</v>
      </c>
      <c r="L347" s="80">
        <f t="shared" si="164"/>
        <v>0</v>
      </c>
      <c r="M347" s="3"/>
    </row>
    <row r="348" spans="1:13" ht="17.25" customHeight="1">
      <c r="A348" s="45"/>
      <c r="B348" s="32" t="s">
        <v>533</v>
      </c>
      <c r="C348" s="21" t="s">
        <v>534</v>
      </c>
      <c r="D348" s="82">
        <v>26</v>
      </c>
      <c r="E348" s="82">
        <v>26</v>
      </c>
      <c r="F348" s="82"/>
      <c r="G348" s="82"/>
      <c r="H348" s="82"/>
      <c r="I348" s="139">
        <f t="shared" si="158"/>
        <v>26</v>
      </c>
      <c r="J348" s="80"/>
      <c r="K348" s="80"/>
      <c r="L348" s="80"/>
      <c r="M348" s="3"/>
    </row>
    <row r="349" spans="1:13" ht="17.25" customHeight="1">
      <c r="A349" s="45"/>
      <c r="B349" s="32" t="s">
        <v>535</v>
      </c>
      <c r="C349" s="21" t="s">
        <v>488</v>
      </c>
      <c r="D349" s="82">
        <v>170</v>
      </c>
      <c r="E349" s="82">
        <v>170</v>
      </c>
      <c r="F349" s="82"/>
      <c r="G349" s="82"/>
      <c r="H349" s="82"/>
      <c r="I349" s="139">
        <f t="shared" si="158"/>
        <v>170</v>
      </c>
      <c r="J349" s="80">
        <v>1551</v>
      </c>
      <c r="K349" s="80">
        <v>1638</v>
      </c>
      <c r="L349" s="80"/>
      <c r="M349" s="3"/>
    </row>
    <row r="350" spans="1:13" ht="17.25" customHeight="1">
      <c r="A350" s="45"/>
      <c r="B350" s="32" t="s">
        <v>536</v>
      </c>
      <c r="C350" s="21" t="s">
        <v>489</v>
      </c>
      <c r="D350" s="82">
        <v>4</v>
      </c>
      <c r="E350" s="82">
        <v>4</v>
      </c>
      <c r="F350" s="82"/>
      <c r="G350" s="82"/>
      <c r="H350" s="82"/>
      <c r="I350" s="139">
        <f t="shared" si="158"/>
        <v>4</v>
      </c>
      <c r="J350" s="80"/>
      <c r="K350" s="80"/>
      <c r="L350" s="80"/>
      <c r="M350" s="3"/>
    </row>
    <row r="351" spans="1:13" ht="43.5" customHeight="1">
      <c r="A351" s="45"/>
      <c r="B351" s="160" t="s">
        <v>817</v>
      </c>
      <c r="C351" s="134"/>
      <c r="D351" s="93">
        <f>D352</f>
        <v>250</v>
      </c>
      <c r="E351" s="93">
        <f t="shared" ref="E351:L352" si="165">E352</f>
        <v>250</v>
      </c>
      <c r="F351" s="93">
        <f t="shared" si="165"/>
        <v>0</v>
      </c>
      <c r="G351" s="93">
        <f t="shared" si="165"/>
        <v>0</v>
      </c>
      <c r="H351" s="93">
        <f t="shared" si="165"/>
        <v>0</v>
      </c>
      <c r="I351" s="93">
        <f t="shared" si="165"/>
        <v>80415</v>
      </c>
      <c r="J351" s="93">
        <f t="shared" si="165"/>
        <v>3137</v>
      </c>
      <c r="K351" s="93">
        <f t="shared" si="165"/>
        <v>2258</v>
      </c>
      <c r="L351" s="93">
        <f t="shared" si="165"/>
        <v>4719</v>
      </c>
      <c r="M351" s="3"/>
    </row>
    <row r="352" spans="1:13" ht="17.25" customHeight="1">
      <c r="A352" s="45"/>
      <c r="B352" s="44" t="s">
        <v>178</v>
      </c>
      <c r="C352" s="21"/>
      <c r="D352" s="82">
        <f>D353</f>
        <v>250</v>
      </c>
      <c r="E352" s="82">
        <f t="shared" si="165"/>
        <v>250</v>
      </c>
      <c r="F352" s="82">
        <f t="shared" si="165"/>
        <v>0</v>
      </c>
      <c r="G352" s="82">
        <f t="shared" si="165"/>
        <v>0</v>
      </c>
      <c r="H352" s="82">
        <f t="shared" si="165"/>
        <v>0</v>
      </c>
      <c r="I352" s="82">
        <f t="shared" si="165"/>
        <v>80415</v>
      </c>
      <c r="J352" s="82">
        <f t="shared" si="165"/>
        <v>3137</v>
      </c>
      <c r="K352" s="82">
        <f t="shared" si="165"/>
        <v>2258</v>
      </c>
      <c r="L352" s="82">
        <f t="shared" si="165"/>
        <v>4719</v>
      </c>
      <c r="M352" s="3"/>
    </row>
    <row r="353" spans="1:13" ht="17.25" customHeight="1">
      <c r="A353" s="45"/>
      <c r="B353" s="43" t="s">
        <v>486</v>
      </c>
      <c r="C353" s="21">
        <v>58</v>
      </c>
      <c r="D353" s="82">
        <f>D354+D355+D356</f>
        <v>250</v>
      </c>
      <c r="E353" s="82">
        <f t="shared" ref="E353:L356" si="166">E354+E355+E356</f>
        <v>250</v>
      </c>
      <c r="F353" s="82">
        <f t="shared" si="166"/>
        <v>0</v>
      </c>
      <c r="G353" s="82">
        <f t="shared" si="166"/>
        <v>0</v>
      </c>
      <c r="H353" s="82">
        <f t="shared" si="166"/>
        <v>0</v>
      </c>
      <c r="I353" s="82">
        <f t="shared" si="166"/>
        <v>80415</v>
      </c>
      <c r="J353" s="82">
        <f t="shared" si="166"/>
        <v>3137</v>
      </c>
      <c r="K353" s="82">
        <f t="shared" si="166"/>
        <v>2258</v>
      </c>
      <c r="L353" s="82">
        <f t="shared" si="166"/>
        <v>4719</v>
      </c>
      <c r="M353" s="3"/>
    </row>
    <row r="354" spans="1:13" ht="17.25" customHeight="1">
      <c r="A354" s="45"/>
      <c r="B354" s="32" t="s">
        <v>533</v>
      </c>
      <c r="C354" s="21" t="s">
        <v>534</v>
      </c>
      <c r="D354" s="82">
        <v>33</v>
      </c>
      <c r="E354" s="82">
        <v>33</v>
      </c>
      <c r="F354" s="82"/>
      <c r="G354" s="82"/>
      <c r="H354" s="82"/>
      <c r="I354" s="82">
        <f t="shared" si="166"/>
        <v>45205</v>
      </c>
      <c r="J354" s="80"/>
      <c r="K354" s="80"/>
      <c r="L354" s="80"/>
      <c r="M354" s="3"/>
    </row>
    <row r="355" spans="1:13" ht="17.25" customHeight="1">
      <c r="A355" s="45"/>
      <c r="B355" s="32" t="s">
        <v>535</v>
      </c>
      <c r="C355" s="21" t="s">
        <v>488</v>
      </c>
      <c r="D355" s="82">
        <v>213</v>
      </c>
      <c r="E355" s="82">
        <v>213</v>
      </c>
      <c r="F355" s="82"/>
      <c r="G355" s="82"/>
      <c r="H355" s="82"/>
      <c r="I355" s="82">
        <f t="shared" si="166"/>
        <v>23125</v>
      </c>
      <c r="J355" s="80">
        <v>3137</v>
      </c>
      <c r="K355" s="80">
        <v>2258</v>
      </c>
      <c r="L355" s="80">
        <v>4719</v>
      </c>
      <c r="M355" s="3"/>
    </row>
    <row r="356" spans="1:13" ht="17.25" customHeight="1">
      <c r="A356" s="45"/>
      <c r="B356" s="32" t="s">
        <v>536</v>
      </c>
      <c r="C356" s="21" t="s">
        <v>489</v>
      </c>
      <c r="D356" s="82">
        <v>4</v>
      </c>
      <c r="E356" s="82">
        <v>4</v>
      </c>
      <c r="F356" s="82"/>
      <c r="G356" s="82"/>
      <c r="H356" s="82"/>
      <c r="I356" s="82">
        <f t="shared" si="166"/>
        <v>12085</v>
      </c>
      <c r="J356" s="80"/>
      <c r="K356" s="80"/>
      <c r="L356" s="80"/>
      <c r="M356" s="3"/>
    </row>
    <row r="357" spans="1:13" ht="28.5">
      <c r="A357" s="52">
        <v>2</v>
      </c>
      <c r="B357" s="54" t="s">
        <v>224</v>
      </c>
      <c r="C357" s="105" t="s">
        <v>225</v>
      </c>
      <c r="D357" s="88">
        <f t="shared" ref="D357:L357" si="167">D358+D362+D370+D376+D380</f>
        <v>9995</v>
      </c>
      <c r="E357" s="88">
        <f t="shared" ref="E357:F357" si="168">E358+E362+E370+E376+E380</f>
        <v>2144</v>
      </c>
      <c r="F357" s="88">
        <f t="shared" si="168"/>
        <v>2589</v>
      </c>
      <c r="G357" s="88">
        <f t="shared" ref="G357:H357" si="169">G358+G362+G370+G376+G380</f>
        <v>3043</v>
      </c>
      <c r="H357" s="88">
        <f t="shared" si="169"/>
        <v>2219</v>
      </c>
      <c r="I357" s="139">
        <f t="shared" si="158"/>
        <v>9995</v>
      </c>
      <c r="J357" s="88">
        <f t="shared" si="167"/>
        <v>9950</v>
      </c>
      <c r="K357" s="88">
        <f t="shared" si="167"/>
        <v>9950</v>
      </c>
      <c r="L357" s="88">
        <f t="shared" si="167"/>
        <v>9950</v>
      </c>
      <c r="M357" s="3"/>
    </row>
    <row r="358" spans="1:13" ht="14.25">
      <c r="A358" s="45" t="s">
        <v>226</v>
      </c>
      <c r="B358" s="37" t="s">
        <v>227</v>
      </c>
      <c r="C358" s="99">
        <v>50</v>
      </c>
      <c r="D358" s="88">
        <f t="shared" ref="D358:L360" si="170">D359</f>
        <v>1045</v>
      </c>
      <c r="E358" s="88">
        <f t="shared" si="170"/>
        <v>0</v>
      </c>
      <c r="F358" s="88">
        <f t="shared" si="170"/>
        <v>295</v>
      </c>
      <c r="G358" s="88">
        <f t="shared" si="170"/>
        <v>750</v>
      </c>
      <c r="H358" s="88">
        <f t="shared" si="170"/>
        <v>0</v>
      </c>
      <c r="I358" s="139">
        <f t="shared" si="158"/>
        <v>1045</v>
      </c>
      <c r="J358" s="88">
        <f t="shared" si="170"/>
        <v>1000</v>
      </c>
      <c r="K358" s="88">
        <f t="shared" si="170"/>
        <v>1000</v>
      </c>
      <c r="L358" s="88">
        <f t="shared" si="170"/>
        <v>1000</v>
      </c>
      <c r="M358" s="3"/>
    </row>
    <row r="359" spans="1:13" ht="14.25">
      <c r="A359" s="45"/>
      <c r="B359" s="35" t="s">
        <v>166</v>
      </c>
      <c r="C359" s="99"/>
      <c r="D359" s="88">
        <f t="shared" si="170"/>
        <v>1045</v>
      </c>
      <c r="E359" s="88">
        <f t="shared" si="170"/>
        <v>0</v>
      </c>
      <c r="F359" s="88">
        <f t="shared" si="170"/>
        <v>295</v>
      </c>
      <c r="G359" s="88">
        <f t="shared" si="170"/>
        <v>750</v>
      </c>
      <c r="H359" s="88">
        <f t="shared" si="170"/>
        <v>0</v>
      </c>
      <c r="I359" s="139">
        <f t="shared" si="158"/>
        <v>1045</v>
      </c>
      <c r="J359" s="88">
        <f t="shared" si="170"/>
        <v>1000</v>
      </c>
      <c r="K359" s="88">
        <f t="shared" si="170"/>
        <v>1000</v>
      </c>
      <c r="L359" s="88">
        <f t="shared" si="170"/>
        <v>1000</v>
      </c>
      <c r="M359" s="3"/>
    </row>
    <row r="360" spans="1:13" ht="15">
      <c r="A360" s="45"/>
      <c r="B360" s="44" t="s">
        <v>167</v>
      </c>
      <c r="C360" s="99"/>
      <c r="D360" s="88">
        <f t="shared" si="170"/>
        <v>1045</v>
      </c>
      <c r="E360" s="88">
        <f t="shared" si="170"/>
        <v>0</v>
      </c>
      <c r="F360" s="88">
        <f t="shared" si="170"/>
        <v>295</v>
      </c>
      <c r="G360" s="88">
        <f t="shared" si="170"/>
        <v>750</v>
      </c>
      <c r="H360" s="88">
        <f t="shared" si="170"/>
        <v>0</v>
      </c>
      <c r="I360" s="139">
        <f t="shared" si="158"/>
        <v>1045</v>
      </c>
      <c r="J360" s="88">
        <f t="shared" si="170"/>
        <v>1000</v>
      </c>
      <c r="K360" s="88">
        <f t="shared" si="170"/>
        <v>1000</v>
      </c>
      <c r="L360" s="88">
        <f t="shared" si="170"/>
        <v>1000</v>
      </c>
      <c r="M360" s="3"/>
    </row>
    <row r="361" spans="1:13" ht="15">
      <c r="A361" s="45"/>
      <c r="B361" s="44" t="s">
        <v>228</v>
      </c>
      <c r="C361" s="21" t="s">
        <v>229</v>
      </c>
      <c r="D361" s="82">
        <f>2000+1000-250-50-1655</f>
        <v>1045</v>
      </c>
      <c r="E361" s="82">
        <v>0</v>
      </c>
      <c r="F361" s="82">
        <f>2000-50-1655</f>
        <v>295</v>
      </c>
      <c r="G361" s="82">
        <v>750</v>
      </c>
      <c r="H361" s="82">
        <v>0</v>
      </c>
      <c r="I361" s="139">
        <f t="shared" si="158"/>
        <v>1045</v>
      </c>
      <c r="J361" s="80">
        <v>1000</v>
      </c>
      <c r="K361" s="80">
        <v>1000</v>
      </c>
      <c r="L361" s="80">
        <v>1000</v>
      </c>
      <c r="M361" s="3"/>
    </row>
    <row r="362" spans="1:13" ht="28.5">
      <c r="A362" s="45" t="s">
        <v>230</v>
      </c>
      <c r="B362" s="61" t="s">
        <v>231</v>
      </c>
      <c r="C362" s="99" t="s">
        <v>232</v>
      </c>
      <c r="D362" s="88">
        <f t="shared" ref="D362:L362" si="171">D363+D368</f>
        <v>3150</v>
      </c>
      <c r="E362" s="88">
        <f t="shared" ref="E362:F362" si="172">E363+E368</f>
        <v>690</v>
      </c>
      <c r="F362" s="88">
        <f t="shared" si="172"/>
        <v>840</v>
      </c>
      <c r="G362" s="88">
        <f t="shared" ref="G362:H362" si="173">G363+G368</f>
        <v>840</v>
      </c>
      <c r="H362" s="88">
        <f t="shared" si="173"/>
        <v>780</v>
      </c>
      <c r="I362" s="139">
        <f t="shared" si="158"/>
        <v>3150</v>
      </c>
      <c r="J362" s="88">
        <f t="shared" si="171"/>
        <v>3150</v>
      </c>
      <c r="K362" s="88">
        <f t="shared" si="171"/>
        <v>3150</v>
      </c>
      <c r="L362" s="88">
        <f t="shared" si="171"/>
        <v>3150</v>
      </c>
      <c r="M362" s="159"/>
    </row>
    <row r="363" spans="1:13" ht="14.25">
      <c r="A363" s="45"/>
      <c r="B363" s="35" t="s">
        <v>166</v>
      </c>
      <c r="C363" s="99"/>
      <c r="D363" s="88">
        <f t="shared" ref="D363:L364" si="174">D364</f>
        <v>3150</v>
      </c>
      <c r="E363" s="88">
        <f t="shared" si="174"/>
        <v>690</v>
      </c>
      <c r="F363" s="88">
        <f t="shared" si="174"/>
        <v>840</v>
      </c>
      <c r="G363" s="88">
        <f t="shared" si="174"/>
        <v>840</v>
      </c>
      <c r="H363" s="88">
        <f t="shared" si="174"/>
        <v>780</v>
      </c>
      <c r="I363" s="139">
        <f t="shared" si="158"/>
        <v>3150</v>
      </c>
      <c r="J363" s="88">
        <f t="shared" si="174"/>
        <v>3150</v>
      </c>
      <c r="K363" s="88">
        <f t="shared" si="174"/>
        <v>3150</v>
      </c>
      <c r="L363" s="88">
        <f t="shared" si="174"/>
        <v>3150</v>
      </c>
      <c r="M363" s="3"/>
    </row>
    <row r="364" spans="1:13" ht="15">
      <c r="A364" s="45"/>
      <c r="B364" s="44" t="s">
        <v>167</v>
      </c>
      <c r="C364" s="21">
        <v>0.01</v>
      </c>
      <c r="D364" s="83">
        <f t="shared" si="174"/>
        <v>3150</v>
      </c>
      <c r="E364" s="83">
        <f t="shared" si="174"/>
        <v>690</v>
      </c>
      <c r="F364" s="83">
        <f t="shared" si="174"/>
        <v>840</v>
      </c>
      <c r="G364" s="83">
        <f t="shared" si="174"/>
        <v>840</v>
      </c>
      <c r="H364" s="83">
        <f t="shared" si="174"/>
        <v>780</v>
      </c>
      <c r="I364" s="139">
        <f t="shared" si="158"/>
        <v>3150</v>
      </c>
      <c r="J364" s="83">
        <f t="shared" si="174"/>
        <v>3150</v>
      </c>
      <c r="K364" s="83">
        <f t="shared" si="174"/>
        <v>3150</v>
      </c>
      <c r="L364" s="83">
        <f t="shared" si="174"/>
        <v>3150</v>
      </c>
      <c r="M364" s="3"/>
    </row>
    <row r="365" spans="1:13" ht="15">
      <c r="A365" s="45"/>
      <c r="B365" s="44" t="s">
        <v>172</v>
      </c>
      <c r="C365" s="21" t="s">
        <v>233</v>
      </c>
      <c r="D365" s="83">
        <f t="shared" ref="D365:L365" si="175">D366+D367</f>
        <v>3150</v>
      </c>
      <c r="E365" s="83">
        <f t="shared" ref="E365:F365" si="176">E366+E367</f>
        <v>690</v>
      </c>
      <c r="F365" s="83">
        <f t="shared" si="176"/>
        <v>840</v>
      </c>
      <c r="G365" s="83">
        <f t="shared" ref="G365:H365" si="177">G366+G367</f>
        <v>840</v>
      </c>
      <c r="H365" s="83">
        <f t="shared" si="177"/>
        <v>780</v>
      </c>
      <c r="I365" s="139">
        <f t="shared" si="158"/>
        <v>3150</v>
      </c>
      <c r="J365" s="83">
        <f t="shared" si="175"/>
        <v>3150</v>
      </c>
      <c r="K365" s="83">
        <f t="shared" si="175"/>
        <v>3150</v>
      </c>
      <c r="L365" s="83">
        <f t="shared" si="175"/>
        <v>3150</v>
      </c>
      <c r="M365" s="3"/>
    </row>
    <row r="366" spans="1:13" ht="15">
      <c r="A366" s="45"/>
      <c r="B366" s="44" t="s">
        <v>168</v>
      </c>
      <c r="C366" s="21">
        <v>10</v>
      </c>
      <c r="D366" s="82">
        <v>2800</v>
      </c>
      <c r="E366" s="82">
        <v>600</v>
      </c>
      <c r="F366" s="82">
        <v>750</v>
      </c>
      <c r="G366" s="82">
        <v>750</v>
      </c>
      <c r="H366" s="82">
        <v>700</v>
      </c>
      <c r="I366" s="139">
        <f t="shared" si="158"/>
        <v>2800</v>
      </c>
      <c r="J366" s="80">
        <v>2800</v>
      </c>
      <c r="K366" s="80">
        <v>2800</v>
      </c>
      <c r="L366" s="80">
        <v>2800</v>
      </c>
      <c r="M366" s="3"/>
    </row>
    <row r="367" spans="1:13" ht="16.5" customHeight="1">
      <c r="A367" s="45"/>
      <c r="B367" s="44" t="s">
        <v>169</v>
      </c>
      <c r="C367" s="21">
        <v>20</v>
      </c>
      <c r="D367" s="82">
        <f>320+30</f>
        <v>350</v>
      </c>
      <c r="E367" s="82">
        <v>90</v>
      </c>
      <c r="F367" s="82">
        <v>90</v>
      </c>
      <c r="G367" s="82">
        <v>90</v>
      </c>
      <c r="H367" s="82">
        <v>80</v>
      </c>
      <c r="I367" s="139">
        <f t="shared" si="158"/>
        <v>350</v>
      </c>
      <c r="J367" s="80">
        <v>350</v>
      </c>
      <c r="K367" s="80">
        <v>350</v>
      </c>
      <c r="L367" s="80">
        <v>350</v>
      </c>
      <c r="M367" s="3"/>
    </row>
    <row r="368" spans="1:13" ht="15.75" hidden="1" customHeight="1">
      <c r="A368" s="45"/>
      <c r="B368" s="37" t="s">
        <v>178</v>
      </c>
      <c r="C368" s="21"/>
      <c r="D368" s="88">
        <f t="shared" ref="D368:L368" si="178">D369</f>
        <v>0</v>
      </c>
      <c r="E368" s="88">
        <f t="shared" si="178"/>
        <v>0</v>
      </c>
      <c r="F368" s="88">
        <f t="shared" si="178"/>
        <v>0</v>
      </c>
      <c r="G368" s="88">
        <f t="shared" si="178"/>
        <v>0</v>
      </c>
      <c r="H368" s="88">
        <f t="shared" si="178"/>
        <v>0</v>
      </c>
      <c r="I368" s="139">
        <f t="shared" si="158"/>
        <v>0</v>
      </c>
      <c r="J368" s="88">
        <f t="shared" si="178"/>
        <v>0</v>
      </c>
      <c r="K368" s="88">
        <f t="shared" si="178"/>
        <v>0</v>
      </c>
      <c r="L368" s="88">
        <f t="shared" si="178"/>
        <v>0</v>
      </c>
      <c r="M368" s="3"/>
    </row>
    <row r="369" spans="1:13" ht="18.75" hidden="1" customHeight="1">
      <c r="A369" s="45"/>
      <c r="B369" s="44" t="s">
        <v>234</v>
      </c>
      <c r="C369" s="21" t="s">
        <v>185</v>
      </c>
      <c r="D369" s="82"/>
      <c r="E369" s="82"/>
      <c r="F369" s="82"/>
      <c r="G369" s="82"/>
      <c r="H369" s="82"/>
      <c r="I369" s="139">
        <f t="shared" si="158"/>
        <v>0</v>
      </c>
      <c r="J369" s="80"/>
      <c r="K369" s="80"/>
      <c r="L369" s="80"/>
      <c r="M369" s="3"/>
    </row>
    <row r="370" spans="1:13" ht="14.25">
      <c r="A370" s="45" t="s">
        <v>235</v>
      </c>
      <c r="B370" s="37" t="s">
        <v>236</v>
      </c>
      <c r="C370" s="99" t="s">
        <v>237</v>
      </c>
      <c r="D370" s="88">
        <f t="shared" ref="D370:L372" si="179">D371</f>
        <v>5800</v>
      </c>
      <c r="E370" s="88">
        <f t="shared" si="179"/>
        <v>1454</v>
      </c>
      <c r="F370" s="88">
        <f t="shared" si="179"/>
        <v>1454</v>
      </c>
      <c r="G370" s="88">
        <f t="shared" si="179"/>
        <v>1453</v>
      </c>
      <c r="H370" s="88">
        <f t="shared" si="179"/>
        <v>1439</v>
      </c>
      <c r="I370" s="139">
        <f t="shared" si="158"/>
        <v>5800</v>
      </c>
      <c r="J370" s="88">
        <f t="shared" si="179"/>
        <v>5800</v>
      </c>
      <c r="K370" s="88">
        <f t="shared" si="179"/>
        <v>5800</v>
      </c>
      <c r="L370" s="88">
        <f t="shared" si="179"/>
        <v>5800</v>
      </c>
      <c r="M370" s="3"/>
    </row>
    <row r="371" spans="1:13" ht="14.25">
      <c r="A371" s="45"/>
      <c r="B371" s="35" t="s">
        <v>166</v>
      </c>
      <c r="C371" s="99"/>
      <c r="D371" s="88">
        <f t="shared" si="179"/>
        <v>5800</v>
      </c>
      <c r="E371" s="88">
        <f t="shared" si="179"/>
        <v>1454</v>
      </c>
      <c r="F371" s="88">
        <f t="shared" si="179"/>
        <v>1454</v>
      </c>
      <c r="G371" s="88">
        <f t="shared" si="179"/>
        <v>1453</v>
      </c>
      <c r="H371" s="88">
        <f t="shared" si="179"/>
        <v>1439</v>
      </c>
      <c r="I371" s="139">
        <f t="shared" si="158"/>
        <v>5800</v>
      </c>
      <c r="J371" s="88">
        <f t="shared" si="179"/>
        <v>5800</v>
      </c>
      <c r="K371" s="88">
        <f t="shared" si="179"/>
        <v>5800</v>
      </c>
      <c r="L371" s="88">
        <f t="shared" si="179"/>
        <v>5800</v>
      </c>
    </row>
    <row r="372" spans="1:13" ht="14.25">
      <c r="A372" s="45"/>
      <c r="B372" s="37" t="s">
        <v>176</v>
      </c>
      <c r="C372" s="99">
        <v>79</v>
      </c>
      <c r="D372" s="88">
        <f t="shared" si="179"/>
        <v>5800</v>
      </c>
      <c r="E372" s="88">
        <f t="shared" si="179"/>
        <v>1454</v>
      </c>
      <c r="F372" s="88">
        <f t="shared" si="179"/>
        <v>1454</v>
      </c>
      <c r="G372" s="88">
        <f t="shared" si="179"/>
        <v>1453</v>
      </c>
      <c r="H372" s="88">
        <f t="shared" si="179"/>
        <v>1439</v>
      </c>
      <c r="I372" s="139">
        <f t="shared" si="158"/>
        <v>5800</v>
      </c>
      <c r="J372" s="88">
        <f t="shared" si="179"/>
        <v>5800</v>
      </c>
      <c r="K372" s="88">
        <f t="shared" si="179"/>
        <v>5800</v>
      </c>
      <c r="L372" s="88">
        <f t="shared" si="179"/>
        <v>5800</v>
      </c>
    </row>
    <row r="373" spans="1:13" ht="14.25">
      <c r="A373" s="45"/>
      <c r="B373" s="37" t="s">
        <v>238</v>
      </c>
      <c r="C373" s="21">
        <v>81</v>
      </c>
      <c r="D373" s="83">
        <f t="shared" ref="D373:L373" si="180">D374+D375</f>
        <v>5800</v>
      </c>
      <c r="E373" s="83">
        <f t="shared" si="180"/>
        <v>1454</v>
      </c>
      <c r="F373" s="83">
        <f t="shared" si="180"/>
        <v>1454</v>
      </c>
      <c r="G373" s="83">
        <f t="shared" si="180"/>
        <v>1453</v>
      </c>
      <c r="H373" s="83">
        <f t="shared" si="180"/>
        <v>1439</v>
      </c>
      <c r="I373" s="139">
        <f t="shared" si="158"/>
        <v>5800</v>
      </c>
      <c r="J373" s="83">
        <f t="shared" si="180"/>
        <v>5800</v>
      </c>
      <c r="K373" s="83">
        <f t="shared" si="180"/>
        <v>5800</v>
      </c>
      <c r="L373" s="83">
        <f t="shared" si="180"/>
        <v>5800</v>
      </c>
    </row>
    <row r="374" spans="1:13" ht="15">
      <c r="A374" s="45"/>
      <c r="B374" s="44" t="s">
        <v>239</v>
      </c>
      <c r="C374" s="21" t="s">
        <v>240</v>
      </c>
      <c r="D374" s="82">
        <v>5800</v>
      </c>
      <c r="E374" s="82">
        <v>1454</v>
      </c>
      <c r="F374" s="82">
        <v>1454</v>
      </c>
      <c r="G374" s="82">
        <v>1453</v>
      </c>
      <c r="H374" s="82">
        <v>1439</v>
      </c>
      <c r="I374" s="139">
        <f t="shared" si="158"/>
        <v>5800</v>
      </c>
      <c r="J374" s="80">
        <v>5800</v>
      </c>
      <c r="K374" s="80">
        <v>5800</v>
      </c>
      <c r="L374" s="80">
        <v>5800</v>
      </c>
      <c r="M374" s="159"/>
    </row>
    <row r="375" spans="1:13" ht="13.5" hidden="1" customHeight="1">
      <c r="A375" s="45"/>
      <c r="B375" s="44" t="s">
        <v>241</v>
      </c>
      <c r="C375" s="21" t="s">
        <v>242</v>
      </c>
      <c r="D375" s="150">
        <v>0</v>
      </c>
      <c r="E375" s="150"/>
      <c r="F375" s="150"/>
      <c r="G375" s="150"/>
      <c r="H375" s="150"/>
      <c r="I375" s="139">
        <f t="shared" si="158"/>
        <v>0</v>
      </c>
      <c r="J375" s="80">
        <v>0</v>
      </c>
      <c r="K375" s="80">
        <v>0</v>
      </c>
      <c r="L375" s="80">
        <v>0</v>
      </c>
      <c r="M375" s="2" t="s">
        <v>545</v>
      </c>
    </row>
    <row r="376" spans="1:13" ht="17.25" hidden="1" customHeight="1">
      <c r="A376" s="45" t="s">
        <v>243</v>
      </c>
      <c r="B376" s="37" t="s">
        <v>244</v>
      </c>
      <c r="C376" s="21"/>
      <c r="D376" s="82">
        <f>D377+D378+D379</f>
        <v>0</v>
      </c>
      <c r="E376" s="82"/>
      <c r="F376" s="82"/>
      <c r="G376" s="82"/>
      <c r="H376" s="82"/>
      <c r="I376" s="139">
        <f t="shared" si="158"/>
        <v>0</v>
      </c>
      <c r="J376" s="80"/>
      <c r="K376" s="80"/>
      <c r="L376" s="80"/>
    </row>
    <row r="377" spans="1:13" ht="18.75" hidden="1" customHeight="1">
      <c r="A377" s="45"/>
      <c r="B377" s="44" t="s">
        <v>168</v>
      </c>
      <c r="C377" s="21"/>
      <c r="D377" s="82"/>
      <c r="E377" s="82"/>
      <c r="F377" s="82"/>
      <c r="G377" s="82"/>
      <c r="H377" s="82"/>
      <c r="I377" s="139">
        <f t="shared" si="158"/>
        <v>0</v>
      </c>
      <c r="J377" s="80"/>
      <c r="K377" s="80"/>
      <c r="L377" s="80"/>
    </row>
    <row r="378" spans="1:13" ht="18.75" hidden="1" customHeight="1">
      <c r="A378" s="45"/>
      <c r="B378" s="44" t="s">
        <v>169</v>
      </c>
      <c r="C378" s="21"/>
      <c r="D378" s="82"/>
      <c r="E378" s="82"/>
      <c r="F378" s="82"/>
      <c r="G378" s="82"/>
      <c r="H378" s="82"/>
      <c r="I378" s="139">
        <f t="shared" si="158"/>
        <v>0</v>
      </c>
      <c r="J378" s="80"/>
      <c r="K378" s="80"/>
      <c r="L378" s="80"/>
    </row>
    <row r="379" spans="1:13" ht="18.75" hidden="1" customHeight="1">
      <c r="A379" s="45"/>
      <c r="B379" s="37" t="s">
        <v>245</v>
      </c>
      <c r="C379" s="21"/>
      <c r="D379" s="82"/>
      <c r="E379" s="82"/>
      <c r="F379" s="82"/>
      <c r="G379" s="82"/>
      <c r="H379" s="82"/>
      <c r="I379" s="139">
        <f t="shared" si="158"/>
        <v>0</v>
      </c>
      <c r="J379" s="80"/>
      <c r="K379" s="80"/>
      <c r="L379" s="80"/>
    </row>
    <row r="380" spans="1:13" ht="29.25" hidden="1" customHeight="1">
      <c r="A380" s="45" t="s">
        <v>246</v>
      </c>
      <c r="B380" s="42" t="s">
        <v>247</v>
      </c>
      <c r="C380" s="99" t="s">
        <v>237</v>
      </c>
      <c r="D380" s="80">
        <f t="shared" ref="D380:L382" si="181">D381</f>
        <v>0</v>
      </c>
      <c r="E380" s="80"/>
      <c r="F380" s="80"/>
      <c r="G380" s="80"/>
      <c r="H380" s="80"/>
      <c r="I380" s="139">
        <f t="shared" si="158"/>
        <v>0</v>
      </c>
      <c r="J380" s="80">
        <f t="shared" si="181"/>
        <v>0</v>
      </c>
      <c r="K380" s="80">
        <f t="shared" si="181"/>
        <v>0</v>
      </c>
      <c r="L380" s="80">
        <f t="shared" si="181"/>
        <v>0</v>
      </c>
    </row>
    <row r="381" spans="1:13" ht="13.5" hidden="1" customHeight="1">
      <c r="A381" s="45"/>
      <c r="B381" s="35" t="s">
        <v>166</v>
      </c>
      <c r="C381" s="21"/>
      <c r="D381" s="80">
        <f t="shared" si="181"/>
        <v>0</v>
      </c>
      <c r="E381" s="80"/>
      <c r="F381" s="80"/>
      <c r="G381" s="80"/>
      <c r="H381" s="80"/>
      <c r="I381" s="139">
        <f t="shared" si="158"/>
        <v>0</v>
      </c>
      <c r="J381" s="80">
        <f t="shared" si="181"/>
        <v>0</v>
      </c>
      <c r="K381" s="80">
        <f t="shared" si="181"/>
        <v>0</v>
      </c>
      <c r="L381" s="80">
        <f t="shared" si="181"/>
        <v>0</v>
      </c>
    </row>
    <row r="382" spans="1:13" ht="19.5" hidden="1" customHeight="1">
      <c r="A382" s="45"/>
      <c r="B382" s="44" t="s">
        <v>167</v>
      </c>
      <c r="C382" s="21">
        <v>1</v>
      </c>
      <c r="D382" s="80">
        <f t="shared" si="181"/>
        <v>0</v>
      </c>
      <c r="E382" s="80"/>
      <c r="F382" s="80"/>
      <c r="G382" s="80"/>
      <c r="H382" s="80"/>
      <c r="I382" s="139">
        <f t="shared" si="158"/>
        <v>0</v>
      </c>
      <c r="J382" s="80">
        <f t="shared" si="181"/>
        <v>0</v>
      </c>
      <c r="K382" s="80">
        <f t="shared" si="181"/>
        <v>0</v>
      </c>
      <c r="L382" s="80">
        <f t="shared" si="181"/>
        <v>0</v>
      </c>
    </row>
    <row r="383" spans="1:13" ht="15.75" hidden="1" customHeight="1">
      <c r="A383" s="45"/>
      <c r="B383" s="62" t="s">
        <v>248</v>
      </c>
      <c r="C383" s="21" t="s">
        <v>249</v>
      </c>
      <c r="D383" s="82">
        <v>0</v>
      </c>
      <c r="E383" s="82"/>
      <c r="F383" s="82"/>
      <c r="G383" s="82"/>
      <c r="H383" s="82"/>
      <c r="I383" s="139">
        <f t="shared" si="158"/>
        <v>0</v>
      </c>
      <c r="J383" s="80"/>
      <c r="K383" s="80"/>
      <c r="L383" s="80"/>
    </row>
    <row r="384" spans="1:13" ht="15" customHeight="1">
      <c r="A384" s="45">
        <v>3</v>
      </c>
      <c r="B384" s="37" t="s">
        <v>250</v>
      </c>
      <c r="C384" s="99" t="s">
        <v>251</v>
      </c>
      <c r="D384" s="88">
        <f t="shared" ref="D384:L384" si="182">D386</f>
        <v>1517</v>
      </c>
      <c r="E384" s="88">
        <f t="shared" si="182"/>
        <v>380</v>
      </c>
      <c r="F384" s="88">
        <f t="shared" si="182"/>
        <v>375</v>
      </c>
      <c r="G384" s="88">
        <f t="shared" si="182"/>
        <v>375</v>
      </c>
      <c r="H384" s="88">
        <f t="shared" si="182"/>
        <v>387</v>
      </c>
      <c r="I384" s="139">
        <f t="shared" si="158"/>
        <v>1517</v>
      </c>
      <c r="J384" s="88">
        <f t="shared" si="182"/>
        <v>1316</v>
      </c>
      <c r="K384" s="88">
        <f t="shared" si="182"/>
        <v>1115</v>
      </c>
      <c r="L384" s="88">
        <f t="shared" si="182"/>
        <v>914</v>
      </c>
      <c r="M384" s="159"/>
    </row>
    <row r="385" spans="1:13" ht="14.25">
      <c r="A385" s="45"/>
      <c r="B385" s="35" t="s">
        <v>166</v>
      </c>
      <c r="C385" s="99"/>
      <c r="D385" s="88">
        <f t="shared" ref="D385:L385" si="183">D386</f>
        <v>1517</v>
      </c>
      <c r="E385" s="88">
        <f t="shared" si="183"/>
        <v>380</v>
      </c>
      <c r="F385" s="88">
        <f t="shared" si="183"/>
        <v>375</v>
      </c>
      <c r="G385" s="88">
        <f t="shared" si="183"/>
        <v>375</v>
      </c>
      <c r="H385" s="88">
        <f t="shared" si="183"/>
        <v>387</v>
      </c>
      <c r="I385" s="139">
        <f t="shared" si="158"/>
        <v>1517</v>
      </c>
      <c r="J385" s="88">
        <f t="shared" si="183"/>
        <v>1316</v>
      </c>
      <c r="K385" s="88">
        <f t="shared" si="183"/>
        <v>1115</v>
      </c>
      <c r="L385" s="88">
        <f t="shared" si="183"/>
        <v>914</v>
      </c>
    </row>
    <row r="386" spans="1:13" ht="16.5" customHeight="1">
      <c r="A386" s="45"/>
      <c r="B386" s="44" t="s">
        <v>167</v>
      </c>
      <c r="C386" s="99">
        <v>1</v>
      </c>
      <c r="D386" s="88">
        <f t="shared" ref="D386:L386" si="184">D388+D387</f>
        <v>1517</v>
      </c>
      <c r="E386" s="88">
        <f t="shared" si="184"/>
        <v>380</v>
      </c>
      <c r="F386" s="88">
        <f t="shared" si="184"/>
        <v>375</v>
      </c>
      <c r="G386" s="88">
        <f t="shared" si="184"/>
        <v>375</v>
      </c>
      <c r="H386" s="88">
        <f t="shared" si="184"/>
        <v>387</v>
      </c>
      <c r="I386" s="139">
        <f t="shared" si="158"/>
        <v>1517</v>
      </c>
      <c r="J386" s="88">
        <f t="shared" si="184"/>
        <v>1316</v>
      </c>
      <c r="K386" s="88">
        <f t="shared" si="184"/>
        <v>1115</v>
      </c>
      <c r="L386" s="88">
        <f t="shared" si="184"/>
        <v>914</v>
      </c>
    </row>
    <row r="387" spans="1:13" ht="14.25" customHeight="1">
      <c r="A387" s="45"/>
      <c r="B387" s="44" t="s">
        <v>169</v>
      </c>
      <c r="C387" s="99" t="s">
        <v>252</v>
      </c>
      <c r="D387" s="82">
        <v>17</v>
      </c>
      <c r="E387" s="82">
        <v>0</v>
      </c>
      <c r="F387" s="82"/>
      <c r="G387" s="82"/>
      <c r="H387" s="82">
        <v>17</v>
      </c>
      <c r="I387" s="139">
        <f t="shared" si="158"/>
        <v>17</v>
      </c>
      <c r="J387" s="80">
        <v>16</v>
      </c>
      <c r="K387" s="80">
        <v>15</v>
      </c>
      <c r="L387" s="80">
        <v>14</v>
      </c>
    </row>
    <row r="388" spans="1:13" ht="18" customHeight="1">
      <c r="A388" s="45"/>
      <c r="B388" s="44" t="s">
        <v>253</v>
      </c>
      <c r="C388" s="21">
        <v>30</v>
      </c>
      <c r="D388" s="83">
        <f t="shared" ref="D388:L388" si="185">D389+D390</f>
        <v>1500</v>
      </c>
      <c r="E388" s="83">
        <f t="shared" si="185"/>
        <v>380</v>
      </c>
      <c r="F388" s="83">
        <f t="shared" si="185"/>
        <v>375</v>
      </c>
      <c r="G388" s="83">
        <f t="shared" si="185"/>
        <v>375</v>
      </c>
      <c r="H388" s="83">
        <f t="shared" si="185"/>
        <v>370</v>
      </c>
      <c r="I388" s="139">
        <f t="shared" si="158"/>
        <v>1500</v>
      </c>
      <c r="J388" s="83">
        <f t="shared" si="185"/>
        <v>1300</v>
      </c>
      <c r="K388" s="83">
        <f t="shared" si="185"/>
        <v>1100</v>
      </c>
      <c r="L388" s="83">
        <f t="shared" si="185"/>
        <v>900</v>
      </c>
    </row>
    <row r="389" spans="1:13" ht="15.75" customHeight="1">
      <c r="A389" s="45"/>
      <c r="B389" s="44" t="s">
        <v>254</v>
      </c>
      <c r="C389" s="99" t="s">
        <v>255</v>
      </c>
      <c r="D389" s="82">
        <v>1500</v>
      </c>
      <c r="E389" s="82">
        <v>380</v>
      </c>
      <c r="F389" s="82">
        <v>375</v>
      </c>
      <c r="G389" s="82">
        <v>375</v>
      </c>
      <c r="H389" s="82">
        <v>370</v>
      </c>
      <c r="I389" s="139">
        <f t="shared" si="158"/>
        <v>1500</v>
      </c>
      <c r="J389" s="80">
        <v>1300</v>
      </c>
      <c r="K389" s="80">
        <v>1100</v>
      </c>
      <c r="L389" s="80">
        <v>900</v>
      </c>
    </row>
    <row r="390" spans="1:13" ht="15.75" hidden="1" customHeight="1">
      <c r="A390" s="45"/>
      <c r="B390" s="44" t="s">
        <v>256</v>
      </c>
      <c r="C390" s="99" t="s">
        <v>54</v>
      </c>
      <c r="D390" s="82"/>
      <c r="E390" s="82"/>
      <c r="F390" s="82"/>
      <c r="G390" s="82"/>
      <c r="H390" s="82"/>
      <c r="I390" s="139">
        <f t="shared" si="158"/>
        <v>0</v>
      </c>
      <c r="J390" s="80"/>
      <c r="K390" s="80"/>
      <c r="L390" s="80"/>
    </row>
    <row r="391" spans="1:13" ht="22.5" customHeight="1">
      <c r="A391" s="53" t="s">
        <v>6</v>
      </c>
      <c r="B391" s="54" t="s">
        <v>516</v>
      </c>
      <c r="C391" s="103">
        <v>59.02</v>
      </c>
      <c r="D391" s="91">
        <f t="shared" ref="D391:L391" si="186">D399+D413</f>
        <v>1932</v>
      </c>
      <c r="E391" s="91">
        <f t="shared" ref="E391:F391" si="187">E399+E413</f>
        <v>517</v>
      </c>
      <c r="F391" s="91">
        <f t="shared" si="187"/>
        <v>480</v>
      </c>
      <c r="G391" s="91">
        <f t="shared" ref="G391:H391" si="188">G399+G413</f>
        <v>480</v>
      </c>
      <c r="H391" s="91">
        <f t="shared" si="188"/>
        <v>455</v>
      </c>
      <c r="I391" s="139">
        <f t="shared" si="158"/>
        <v>1932</v>
      </c>
      <c r="J391" s="91">
        <f t="shared" si="186"/>
        <v>1620</v>
      </c>
      <c r="K391" s="91">
        <f t="shared" si="186"/>
        <v>1620</v>
      </c>
      <c r="L391" s="91">
        <f t="shared" si="186"/>
        <v>1620</v>
      </c>
    </row>
    <row r="392" spans="1:13" ht="16.5" customHeight="1">
      <c r="A392" s="55"/>
      <c r="B392" s="35" t="s">
        <v>166</v>
      </c>
      <c r="C392" s="104"/>
      <c r="D392" s="91">
        <f t="shared" ref="D392:L393" si="189">D401+D410+D415</f>
        <v>1720</v>
      </c>
      <c r="E392" s="91">
        <f t="shared" ref="E392:F392" si="190">E401+E410+E415</f>
        <v>305</v>
      </c>
      <c r="F392" s="91">
        <f t="shared" si="190"/>
        <v>480</v>
      </c>
      <c r="G392" s="91">
        <f t="shared" ref="G392:H392" si="191">G401+G410+G415</f>
        <v>480</v>
      </c>
      <c r="H392" s="91">
        <f t="shared" si="191"/>
        <v>455</v>
      </c>
      <c r="I392" s="139">
        <f t="shared" si="158"/>
        <v>1720</v>
      </c>
      <c r="J392" s="91">
        <f t="shared" si="189"/>
        <v>1620</v>
      </c>
      <c r="K392" s="91">
        <f t="shared" si="189"/>
        <v>1620</v>
      </c>
      <c r="L392" s="91">
        <f t="shared" si="189"/>
        <v>1620</v>
      </c>
    </row>
    <row r="393" spans="1:13" ht="15">
      <c r="A393" s="45"/>
      <c r="B393" s="44" t="s">
        <v>167</v>
      </c>
      <c r="C393" s="99">
        <v>0.01</v>
      </c>
      <c r="D393" s="83">
        <f t="shared" si="189"/>
        <v>1720</v>
      </c>
      <c r="E393" s="83">
        <f t="shared" ref="E393:F393" si="192">E402+E411+E416</f>
        <v>305</v>
      </c>
      <c r="F393" s="83">
        <f t="shared" si="192"/>
        <v>480</v>
      </c>
      <c r="G393" s="83">
        <f t="shared" ref="G393:H393" si="193">G402+G411+G416</f>
        <v>480</v>
      </c>
      <c r="H393" s="83">
        <f t="shared" si="193"/>
        <v>455</v>
      </c>
      <c r="I393" s="139">
        <f t="shared" si="158"/>
        <v>1720</v>
      </c>
      <c r="J393" s="83">
        <f t="shared" si="189"/>
        <v>1620</v>
      </c>
      <c r="K393" s="83">
        <f t="shared" si="189"/>
        <v>1620</v>
      </c>
      <c r="L393" s="83">
        <f t="shared" si="189"/>
        <v>1620</v>
      </c>
    </row>
    <row r="394" spans="1:13" ht="15">
      <c r="A394" s="45"/>
      <c r="B394" s="44" t="s">
        <v>168</v>
      </c>
      <c r="C394" s="21">
        <v>10</v>
      </c>
      <c r="D394" s="83">
        <f t="shared" ref="D394:L394" si="194">D417</f>
        <v>0</v>
      </c>
      <c r="E394" s="83">
        <f t="shared" ref="E394:F394" si="195">E417</f>
        <v>0</v>
      </c>
      <c r="F394" s="83">
        <f t="shared" si="195"/>
        <v>0</v>
      </c>
      <c r="G394" s="83">
        <f t="shared" ref="G394:H394" si="196">G417</f>
        <v>0</v>
      </c>
      <c r="H394" s="83">
        <f t="shared" si="196"/>
        <v>0</v>
      </c>
      <c r="I394" s="139">
        <f t="shared" si="158"/>
        <v>0</v>
      </c>
      <c r="J394" s="83">
        <f t="shared" si="194"/>
        <v>0</v>
      </c>
      <c r="K394" s="83">
        <f t="shared" si="194"/>
        <v>0</v>
      </c>
      <c r="L394" s="83">
        <f t="shared" si="194"/>
        <v>0</v>
      </c>
    </row>
    <row r="395" spans="1:13" ht="15">
      <c r="A395" s="45"/>
      <c r="B395" s="44" t="s">
        <v>169</v>
      </c>
      <c r="C395" s="21">
        <v>20</v>
      </c>
      <c r="D395" s="83">
        <f t="shared" ref="D395:L395" si="197">D403+D412+D418</f>
        <v>1720</v>
      </c>
      <c r="E395" s="83">
        <f t="shared" ref="E395:F395" si="198">E403+E412+E418</f>
        <v>305</v>
      </c>
      <c r="F395" s="83">
        <f t="shared" si="198"/>
        <v>480</v>
      </c>
      <c r="G395" s="83">
        <f t="shared" ref="G395:H395" si="199">G403+G412+G418</f>
        <v>480</v>
      </c>
      <c r="H395" s="83">
        <f t="shared" si="199"/>
        <v>455</v>
      </c>
      <c r="I395" s="139">
        <f t="shared" si="158"/>
        <v>1720</v>
      </c>
      <c r="J395" s="83">
        <f t="shared" si="197"/>
        <v>1620</v>
      </c>
      <c r="K395" s="83">
        <f t="shared" si="197"/>
        <v>1620</v>
      </c>
      <c r="L395" s="83">
        <f t="shared" si="197"/>
        <v>1620</v>
      </c>
    </row>
    <row r="396" spans="1:13" ht="15">
      <c r="A396" s="45"/>
      <c r="B396" s="44" t="s">
        <v>257</v>
      </c>
      <c r="C396" s="21" t="s">
        <v>258</v>
      </c>
      <c r="D396" s="83">
        <f t="shared" ref="D396:L396" si="200">D419</f>
        <v>0</v>
      </c>
      <c r="E396" s="83">
        <f t="shared" ref="E396:F396" si="201">E419</f>
        <v>0</v>
      </c>
      <c r="F396" s="83">
        <f t="shared" si="201"/>
        <v>0</v>
      </c>
      <c r="G396" s="83">
        <f t="shared" ref="G396:H396" si="202">G419</f>
        <v>0</v>
      </c>
      <c r="H396" s="83">
        <f t="shared" si="202"/>
        <v>0</v>
      </c>
      <c r="I396" s="139">
        <f t="shared" si="158"/>
        <v>0</v>
      </c>
      <c r="J396" s="83">
        <f t="shared" si="200"/>
        <v>0</v>
      </c>
      <c r="K396" s="83">
        <f t="shared" si="200"/>
        <v>0</v>
      </c>
      <c r="L396" s="83">
        <f t="shared" si="200"/>
        <v>0</v>
      </c>
    </row>
    <row r="397" spans="1:13" ht="14.25">
      <c r="A397" s="45"/>
      <c r="B397" s="37" t="s">
        <v>178</v>
      </c>
      <c r="C397" s="21"/>
      <c r="D397" s="88">
        <f t="shared" ref="D397:L398" si="203">D404+D420</f>
        <v>212</v>
      </c>
      <c r="E397" s="88">
        <f t="shared" ref="E397:F397" si="204">E404+E420</f>
        <v>212</v>
      </c>
      <c r="F397" s="88">
        <f t="shared" si="204"/>
        <v>0</v>
      </c>
      <c r="G397" s="88">
        <f t="shared" ref="G397:H397" si="205">G404+G420</f>
        <v>0</v>
      </c>
      <c r="H397" s="88">
        <f t="shared" si="205"/>
        <v>0</v>
      </c>
      <c r="I397" s="139">
        <f t="shared" si="158"/>
        <v>212</v>
      </c>
      <c r="J397" s="88">
        <f t="shared" si="203"/>
        <v>0</v>
      </c>
      <c r="K397" s="88">
        <f t="shared" si="203"/>
        <v>0</v>
      </c>
      <c r="L397" s="88">
        <f t="shared" si="203"/>
        <v>0</v>
      </c>
    </row>
    <row r="398" spans="1:13" ht="15">
      <c r="A398" s="45"/>
      <c r="B398" s="44" t="s">
        <v>207</v>
      </c>
      <c r="C398" s="21">
        <v>70</v>
      </c>
      <c r="D398" s="88">
        <f t="shared" si="203"/>
        <v>212</v>
      </c>
      <c r="E398" s="88">
        <f t="shared" ref="E398:F398" si="206">E405+E421</f>
        <v>212</v>
      </c>
      <c r="F398" s="88">
        <f t="shared" si="206"/>
        <v>0</v>
      </c>
      <c r="G398" s="88">
        <f t="shared" ref="G398:H398" si="207">G405+G421</f>
        <v>0</v>
      </c>
      <c r="H398" s="88">
        <f t="shared" si="207"/>
        <v>0</v>
      </c>
      <c r="I398" s="139">
        <f t="shared" si="158"/>
        <v>212</v>
      </c>
      <c r="J398" s="88">
        <f t="shared" si="203"/>
        <v>0</v>
      </c>
      <c r="K398" s="88">
        <f t="shared" si="203"/>
        <v>0</v>
      </c>
      <c r="L398" s="88">
        <f t="shared" si="203"/>
        <v>0</v>
      </c>
    </row>
    <row r="399" spans="1:13" ht="14.25">
      <c r="A399" s="45">
        <v>1</v>
      </c>
      <c r="B399" s="37" t="s">
        <v>259</v>
      </c>
      <c r="C399" s="99">
        <v>60.02</v>
      </c>
      <c r="D399" s="88">
        <f t="shared" ref="D399:L399" si="208">D400+D409</f>
        <v>720</v>
      </c>
      <c r="E399" s="88">
        <f t="shared" ref="E399:F399" si="209">E400+E409</f>
        <v>105</v>
      </c>
      <c r="F399" s="88">
        <f t="shared" si="209"/>
        <v>205</v>
      </c>
      <c r="G399" s="88">
        <f t="shared" ref="G399:H399" si="210">G400+G409</f>
        <v>205</v>
      </c>
      <c r="H399" s="88">
        <f t="shared" si="210"/>
        <v>205</v>
      </c>
      <c r="I399" s="139">
        <f t="shared" si="158"/>
        <v>720</v>
      </c>
      <c r="J399" s="88">
        <f t="shared" si="208"/>
        <v>720</v>
      </c>
      <c r="K399" s="88">
        <f t="shared" si="208"/>
        <v>720</v>
      </c>
      <c r="L399" s="88">
        <f t="shared" si="208"/>
        <v>720</v>
      </c>
    </row>
    <row r="400" spans="1:13" ht="14.25">
      <c r="A400" s="45" t="s">
        <v>260</v>
      </c>
      <c r="B400" s="63" t="s">
        <v>261</v>
      </c>
      <c r="C400" s="99" t="s">
        <v>262</v>
      </c>
      <c r="D400" s="88">
        <f t="shared" ref="D400:L400" si="211">D401+D404</f>
        <v>700</v>
      </c>
      <c r="E400" s="88">
        <f t="shared" ref="E400:F400" si="212">E401+E404</f>
        <v>100</v>
      </c>
      <c r="F400" s="88">
        <f t="shared" si="212"/>
        <v>200</v>
      </c>
      <c r="G400" s="88">
        <f t="shared" ref="G400:H400" si="213">G401+G404</f>
        <v>200</v>
      </c>
      <c r="H400" s="88">
        <f t="shared" si="213"/>
        <v>200</v>
      </c>
      <c r="I400" s="139">
        <f t="shared" si="158"/>
        <v>700</v>
      </c>
      <c r="J400" s="88">
        <f t="shared" si="211"/>
        <v>700</v>
      </c>
      <c r="K400" s="88">
        <f t="shared" si="211"/>
        <v>700</v>
      </c>
      <c r="L400" s="88">
        <f t="shared" si="211"/>
        <v>700</v>
      </c>
      <c r="M400" s="159"/>
    </row>
    <row r="401" spans="1:12" ht="14.25">
      <c r="A401" s="45"/>
      <c r="B401" s="35" t="s">
        <v>166</v>
      </c>
      <c r="C401" s="99"/>
      <c r="D401" s="88">
        <f t="shared" ref="D401:L402" si="214">D402</f>
        <v>700</v>
      </c>
      <c r="E401" s="88">
        <f t="shared" si="214"/>
        <v>100</v>
      </c>
      <c r="F401" s="88">
        <f t="shared" si="214"/>
        <v>200</v>
      </c>
      <c r="G401" s="88">
        <f t="shared" si="214"/>
        <v>200</v>
      </c>
      <c r="H401" s="88">
        <f t="shared" si="214"/>
        <v>200</v>
      </c>
      <c r="I401" s="139">
        <f t="shared" si="158"/>
        <v>700</v>
      </c>
      <c r="J401" s="88">
        <f t="shared" si="214"/>
        <v>700</v>
      </c>
      <c r="K401" s="88">
        <f t="shared" si="214"/>
        <v>700</v>
      </c>
      <c r="L401" s="88">
        <f t="shared" si="214"/>
        <v>700</v>
      </c>
    </row>
    <row r="402" spans="1:12" ht="13.5" customHeight="1">
      <c r="A402" s="45"/>
      <c r="B402" s="44" t="s">
        <v>167</v>
      </c>
      <c r="C402" s="21">
        <v>1</v>
      </c>
      <c r="D402" s="83">
        <f t="shared" si="214"/>
        <v>700</v>
      </c>
      <c r="E402" s="83">
        <f t="shared" si="214"/>
        <v>100</v>
      </c>
      <c r="F402" s="83">
        <f t="shared" si="214"/>
        <v>200</v>
      </c>
      <c r="G402" s="83">
        <f t="shared" si="214"/>
        <v>200</v>
      </c>
      <c r="H402" s="83">
        <f t="shared" si="214"/>
        <v>200</v>
      </c>
      <c r="I402" s="139">
        <f t="shared" ref="I402:I465" si="215">E402+F402+G402+H402</f>
        <v>700</v>
      </c>
      <c r="J402" s="83">
        <f t="shared" si="214"/>
        <v>700</v>
      </c>
      <c r="K402" s="83">
        <f t="shared" si="214"/>
        <v>700</v>
      </c>
      <c r="L402" s="83">
        <f t="shared" si="214"/>
        <v>700</v>
      </c>
    </row>
    <row r="403" spans="1:12" ht="14.25" customHeight="1">
      <c r="A403" s="45"/>
      <c r="B403" s="44" t="s">
        <v>169</v>
      </c>
      <c r="C403" s="21">
        <v>20</v>
      </c>
      <c r="D403" s="82">
        <f>500+200</f>
        <v>700</v>
      </c>
      <c r="E403" s="82">
        <v>100</v>
      </c>
      <c r="F403" s="82">
        <v>200</v>
      </c>
      <c r="G403" s="82">
        <v>200</v>
      </c>
      <c r="H403" s="82">
        <v>200</v>
      </c>
      <c r="I403" s="139">
        <f t="shared" si="215"/>
        <v>700</v>
      </c>
      <c r="J403" s="80">
        <v>700</v>
      </c>
      <c r="K403" s="80">
        <v>700</v>
      </c>
      <c r="L403" s="80">
        <v>700</v>
      </c>
    </row>
    <row r="404" spans="1:12" ht="14.25" hidden="1">
      <c r="A404" s="45"/>
      <c r="B404" s="37" t="s">
        <v>178</v>
      </c>
      <c r="C404" s="21"/>
      <c r="D404" s="88">
        <f t="shared" ref="D404:L404" si="216">D405</f>
        <v>0</v>
      </c>
      <c r="E404" s="88">
        <f t="shared" si="216"/>
        <v>0</v>
      </c>
      <c r="F404" s="88">
        <f t="shared" si="216"/>
        <v>0</v>
      </c>
      <c r="G404" s="88">
        <f t="shared" si="216"/>
        <v>0</v>
      </c>
      <c r="H404" s="88">
        <f t="shared" si="216"/>
        <v>0</v>
      </c>
      <c r="I404" s="139">
        <f t="shared" si="215"/>
        <v>0</v>
      </c>
      <c r="J404" s="88">
        <f t="shared" si="216"/>
        <v>0</v>
      </c>
      <c r="K404" s="88">
        <f t="shared" si="216"/>
        <v>0</v>
      </c>
      <c r="L404" s="88">
        <f t="shared" si="216"/>
        <v>0</v>
      </c>
    </row>
    <row r="405" spans="1:12" ht="15" hidden="1">
      <c r="A405" s="45"/>
      <c r="B405" s="44" t="s">
        <v>207</v>
      </c>
      <c r="C405" s="21">
        <v>70</v>
      </c>
      <c r="D405" s="83">
        <f t="shared" ref="D405:L405" si="217">D406+D407+D408</f>
        <v>0</v>
      </c>
      <c r="E405" s="83">
        <f t="shared" ref="E405:F405" si="218">E406+E407+E408</f>
        <v>0</v>
      </c>
      <c r="F405" s="83">
        <f t="shared" si="218"/>
        <v>0</v>
      </c>
      <c r="G405" s="83">
        <f t="shared" ref="G405:H405" si="219">G406+G407+G408</f>
        <v>0</v>
      </c>
      <c r="H405" s="83">
        <f t="shared" si="219"/>
        <v>0</v>
      </c>
      <c r="I405" s="139">
        <f t="shared" si="215"/>
        <v>0</v>
      </c>
      <c r="J405" s="83">
        <f t="shared" si="217"/>
        <v>0</v>
      </c>
      <c r="K405" s="83">
        <f t="shared" si="217"/>
        <v>0</v>
      </c>
      <c r="L405" s="83">
        <f t="shared" si="217"/>
        <v>0</v>
      </c>
    </row>
    <row r="406" spans="1:12" ht="15" hidden="1">
      <c r="A406" s="45"/>
      <c r="B406" s="44" t="s">
        <v>263</v>
      </c>
      <c r="C406" s="21" t="s">
        <v>211</v>
      </c>
      <c r="D406" s="82"/>
      <c r="E406" s="82"/>
      <c r="F406" s="82"/>
      <c r="G406" s="82"/>
      <c r="H406" s="82"/>
      <c r="I406" s="139">
        <f t="shared" si="215"/>
        <v>0</v>
      </c>
      <c r="J406" s="80"/>
      <c r="K406" s="80"/>
      <c r="L406" s="80"/>
    </row>
    <row r="407" spans="1:12" ht="0.75" customHeight="1">
      <c r="A407" s="45"/>
      <c r="B407" s="44" t="s">
        <v>214</v>
      </c>
      <c r="C407" s="21" t="s">
        <v>215</v>
      </c>
      <c r="D407" s="82"/>
      <c r="E407" s="82"/>
      <c r="F407" s="82"/>
      <c r="G407" s="82"/>
      <c r="H407" s="82"/>
      <c r="I407" s="139">
        <f t="shared" si="215"/>
        <v>0</v>
      </c>
      <c r="J407" s="80"/>
      <c r="K407" s="80"/>
      <c r="L407" s="80"/>
    </row>
    <row r="408" spans="1:12" ht="15" hidden="1">
      <c r="A408" s="45"/>
      <c r="B408" s="44" t="s">
        <v>216</v>
      </c>
      <c r="C408" s="21" t="s">
        <v>217</v>
      </c>
      <c r="D408" s="82"/>
      <c r="E408" s="82"/>
      <c r="F408" s="82"/>
      <c r="G408" s="82"/>
      <c r="H408" s="82"/>
      <c r="I408" s="139">
        <f t="shared" si="215"/>
        <v>0</v>
      </c>
      <c r="J408" s="80"/>
      <c r="K408" s="80"/>
      <c r="L408" s="80"/>
    </row>
    <row r="409" spans="1:12" ht="28.5">
      <c r="A409" s="45" t="s">
        <v>264</v>
      </c>
      <c r="B409" s="61" t="s">
        <v>265</v>
      </c>
      <c r="C409" s="99" t="s">
        <v>262</v>
      </c>
      <c r="D409" s="88">
        <f t="shared" ref="D409:L409" si="220">D411</f>
        <v>20</v>
      </c>
      <c r="E409" s="88">
        <f t="shared" ref="E409:F409" si="221">E411</f>
        <v>5</v>
      </c>
      <c r="F409" s="88">
        <f t="shared" si="221"/>
        <v>5</v>
      </c>
      <c r="G409" s="88">
        <f t="shared" ref="G409:H409" si="222">G411</f>
        <v>5</v>
      </c>
      <c r="H409" s="88">
        <f t="shared" si="222"/>
        <v>5</v>
      </c>
      <c r="I409" s="139">
        <f t="shared" si="215"/>
        <v>20</v>
      </c>
      <c r="J409" s="88">
        <f t="shared" si="220"/>
        <v>20</v>
      </c>
      <c r="K409" s="88">
        <f t="shared" si="220"/>
        <v>20</v>
      </c>
      <c r="L409" s="88">
        <f t="shared" si="220"/>
        <v>20</v>
      </c>
    </row>
    <row r="410" spans="1:12" ht="14.25">
      <c r="A410" s="45"/>
      <c r="B410" s="35" t="s">
        <v>166</v>
      </c>
      <c r="C410" s="99"/>
      <c r="D410" s="88">
        <f t="shared" ref="D410:L411" si="223">D411</f>
        <v>20</v>
      </c>
      <c r="E410" s="88">
        <f t="shared" si="223"/>
        <v>5</v>
      </c>
      <c r="F410" s="88">
        <f t="shared" si="223"/>
        <v>5</v>
      </c>
      <c r="G410" s="88">
        <f t="shared" si="223"/>
        <v>5</v>
      </c>
      <c r="H410" s="88">
        <f t="shared" si="223"/>
        <v>5</v>
      </c>
      <c r="I410" s="139">
        <f t="shared" si="215"/>
        <v>20</v>
      </c>
      <c r="J410" s="88">
        <f t="shared" si="223"/>
        <v>20</v>
      </c>
      <c r="K410" s="88">
        <f t="shared" si="223"/>
        <v>20</v>
      </c>
      <c r="L410" s="88">
        <f t="shared" si="223"/>
        <v>20</v>
      </c>
    </row>
    <row r="411" spans="1:12" ht="15">
      <c r="A411" s="45"/>
      <c r="B411" s="44" t="s">
        <v>167</v>
      </c>
      <c r="C411" s="21">
        <v>1</v>
      </c>
      <c r="D411" s="83">
        <f t="shared" si="223"/>
        <v>20</v>
      </c>
      <c r="E411" s="83">
        <f t="shared" si="223"/>
        <v>5</v>
      </c>
      <c r="F411" s="83">
        <f t="shared" si="223"/>
        <v>5</v>
      </c>
      <c r="G411" s="83">
        <f t="shared" si="223"/>
        <v>5</v>
      </c>
      <c r="H411" s="83">
        <f t="shared" si="223"/>
        <v>5</v>
      </c>
      <c r="I411" s="139">
        <f t="shared" si="215"/>
        <v>20</v>
      </c>
      <c r="J411" s="83">
        <f t="shared" si="223"/>
        <v>20</v>
      </c>
      <c r="K411" s="83">
        <f t="shared" si="223"/>
        <v>20</v>
      </c>
      <c r="L411" s="83">
        <f t="shared" si="223"/>
        <v>20</v>
      </c>
    </row>
    <row r="412" spans="1:12" ht="15">
      <c r="A412" s="45"/>
      <c r="B412" s="44" t="s">
        <v>169</v>
      </c>
      <c r="C412" s="21">
        <v>20</v>
      </c>
      <c r="D412" s="82">
        <v>20</v>
      </c>
      <c r="E412" s="82">
        <v>5</v>
      </c>
      <c r="F412" s="82">
        <v>5</v>
      </c>
      <c r="G412" s="82">
        <v>5</v>
      </c>
      <c r="H412" s="82">
        <v>5</v>
      </c>
      <c r="I412" s="139">
        <f t="shared" si="215"/>
        <v>20</v>
      </c>
      <c r="J412" s="80">
        <v>20</v>
      </c>
      <c r="K412" s="80">
        <v>20</v>
      </c>
      <c r="L412" s="80">
        <v>20</v>
      </c>
    </row>
    <row r="413" spans="1:12" ht="18.75" customHeight="1">
      <c r="A413" s="45">
        <v>2</v>
      </c>
      <c r="B413" s="37" t="s">
        <v>266</v>
      </c>
      <c r="C413" s="99">
        <v>61.02</v>
      </c>
      <c r="D413" s="88">
        <f t="shared" ref="D413:L413" si="224">D414</f>
        <v>1212</v>
      </c>
      <c r="E413" s="88">
        <f t="shared" si="224"/>
        <v>412</v>
      </c>
      <c r="F413" s="88">
        <f t="shared" si="224"/>
        <v>275</v>
      </c>
      <c r="G413" s="88">
        <f t="shared" si="224"/>
        <v>275</v>
      </c>
      <c r="H413" s="88">
        <f t="shared" si="224"/>
        <v>250</v>
      </c>
      <c r="I413" s="139">
        <f t="shared" si="215"/>
        <v>1212</v>
      </c>
      <c r="J413" s="88">
        <f t="shared" si="224"/>
        <v>900</v>
      </c>
      <c r="K413" s="88">
        <f t="shared" si="224"/>
        <v>900</v>
      </c>
      <c r="L413" s="88">
        <f t="shared" si="224"/>
        <v>900</v>
      </c>
    </row>
    <row r="414" spans="1:12" ht="28.5">
      <c r="A414" s="45" t="s">
        <v>226</v>
      </c>
      <c r="B414" s="61" t="s">
        <v>267</v>
      </c>
      <c r="C414" s="21" t="s">
        <v>268</v>
      </c>
      <c r="D414" s="88">
        <f t="shared" ref="D414:L414" si="225">D415+D420</f>
        <v>1212</v>
      </c>
      <c r="E414" s="88">
        <f t="shared" ref="E414:F414" si="226">E415+E420</f>
        <v>412</v>
      </c>
      <c r="F414" s="88">
        <f t="shared" si="226"/>
        <v>275</v>
      </c>
      <c r="G414" s="88">
        <f t="shared" ref="G414:H414" si="227">G415+G420</f>
        <v>275</v>
      </c>
      <c r="H414" s="88">
        <f t="shared" si="227"/>
        <v>250</v>
      </c>
      <c r="I414" s="139">
        <f t="shared" si="215"/>
        <v>1212</v>
      </c>
      <c r="J414" s="88">
        <f t="shared" si="225"/>
        <v>900</v>
      </c>
      <c r="K414" s="88">
        <f t="shared" si="225"/>
        <v>900</v>
      </c>
      <c r="L414" s="88">
        <f t="shared" si="225"/>
        <v>900</v>
      </c>
    </row>
    <row r="415" spans="1:12" ht="14.25">
      <c r="A415" s="45"/>
      <c r="B415" s="35" t="s">
        <v>166</v>
      </c>
      <c r="C415" s="21"/>
      <c r="D415" s="88">
        <f t="shared" ref="D415:L415" si="228">D416</f>
        <v>1000</v>
      </c>
      <c r="E415" s="88">
        <f t="shared" si="228"/>
        <v>200</v>
      </c>
      <c r="F415" s="88">
        <f t="shared" si="228"/>
        <v>275</v>
      </c>
      <c r="G415" s="88">
        <f t="shared" si="228"/>
        <v>275</v>
      </c>
      <c r="H415" s="88">
        <f t="shared" si="228"/>
        <v>250</v>
      </c>
      <c r="I415" s="139">
        <f t="shared" si="215"/>
        <v>1000</v>
      </c>
      <c r="J415" s="88">
        <f t="shared" si="228"/>
        <v>900</v>
      </c>
      <c r="K415" s="88">
        <f t="shared" si="228"/>
        <v>900</v>
      </c>
      <c r="L415" s="88">
        <f t="shared" si="228"/>
        <v>900</v>
      </c>
    </row>
    <row r="416" spans="1:12" ht="15">
      <c r="A416" s="45"/>
      <c r="B416" s="44" t="s">
        <v>167</v>
      </c>
      <c r="C416" s="21">
        <v>1</v>
      </c>
      <c r="D416" s="83">
        <f t="shared" ref="D416:L416" si="229">D417+D418+D419</f>
        <v>1000</v>
      </c>
      <c r="E416" s="83">
        <f t="shared" ref="E416:F416" si="230">E417+E418+E419</f>
        <v>200</v>
      </c>
      <c r="F416" s="83">
        <f t="shared" si="230"/>
        <v>275</v>
      </c>
      <c r="G416" s="83">
        <f t="shared" ref="G416:H416" si="231">G417+G418+G419</f>
        <v>275</v>
      </c>
      <c r="H416" s="83">
        <f t="shared" si="231"/>
        <v>250</v>
      </c>
      <c r="I416" s="139">
        <f t="shared" si="215"/>
        <v>1000</v>
      </c>
      <c r="J416" s="83">
        <f t="shared" si="229"/>
        <v>900</v>
      </c>
      <c r="K416" s="83">
        <f t="shared" si="229"/>
        <v>900</v>
      </c>
      <c r="L416" s="83">
        <f t="shared" si="229"/>
        <v>900</v>
      </c>
    </row>
    <row r="417" spans="1:12" ht="15" hidden="1">
      <c r="A417" s="45"/>
      <c r="B417" s="44" t="s">
        <v>168</v>
      </c>
      <c r="C417" s="21">
        <v>10</v>
      </c>
      <c r="D417" s="82"/>
      <c r="E417" s="82"/>
      <c r="F417" s="82"/>
      <c r="G417" s="82"/>
      <c r="H417" s="82"/>
      <c r="I417" s="139">
        <f t="shared" si="215"/>
        <v>0</v>
      </c>
      <c r="J417" s="80"/>
      <c r="K417" s="80"/>
      <c r="L417" s="80"/>
    </row>
    <row r="418" spans="1:12" ht="15">
      <c r="A418" s="45"/>
      <c r="B418" s="44" t="s">
        <v>169</v>
      </c>
      <c r="C418" s="21">
        <v>20</v>
      </c>
      <c r="D418" s="82">
        <f>900+100</f>
        <v>1000</v>
      </c>
      <c r="E418" s="82">
        <v>200</v>
      </c>
      <c r="F418" s="82">
        <v>275</v>
      </c>
      <c r="G418" s="82">
        <v>275</v>
      </c>
      <c r="H418" s="82">
        <v>250</v>
      </c>
      <c r="I418" s="139">
        <f t="shared" si="215"/>
        <v>1000</v>
      </c>
      <c r="J418" s="80">
        <v>900</v>
      </c>
      <c r="K418" s="80">
        <v>900</v>
      </c>
      <c r="L418" s="80">
        <v>900</v>
      </c>
    </row>
    <row r="419" spans="1:12" ht="15" hidden="1">
      <c r="A419" s="45"/>
      <c r="B419" s="44" t="s">
        <v>257</v>
      </c>
      <c r="C419" s="21">
        <v>59.02</v>
      </c>
      <c r="D419" s="82"/>
      <c r="E419" s="82"/>
      <c r="F419" s="82"/>
      <c r="G419" s="82"/>
      <c r="H419" s="82"/>
      <c r="I419" s="139">
        <f t="shared" si="215"/>
        <v>0</v>
      </c>
      <c r="J419" s="80"/>
      <c r="K419" s="80"/>
      <c r="L419" s="80"/>
    </row>
    <row r="420" spans="1:12" ht="14.25">
      <c r="A420" s="45"/>
      <c r="B420" s="37" t="s">
        <v>178</v>
      </c>
      <c r="C420" s="21"/>
      <c r="D420" s="88">
        <f t="shared" ref="D420:L420" si="232">D421</f>
        <v>212</v>
      </c>
      <c r="E420" s="88">
        <f t="shared" si="232"/>
        <v>212</v>
      </c>
      <c r="F420" s="88">
        <f t="shared" si="232"/>
        <v>0</v>
      </c>
      <c r="G420" s="88">
        <f t="shared" si="232"/>
        <v>0</v>
      </c>
      <c r="H420" s="88">
        <f t="shared" si="232"/>
        <v>0</v>
      </c>
      <c r="I420" s="139">
        <f t="shared" si="215"/>
        <v>212</v>
      </c>
      <c r="J420" s="88">
        <f t="shared" si="232"/>
        <v>0</v>
      </c>
      <c r="K420" s="88">
        <f t="shared" si="232"/>
        <v>0</v>
      </c>
      <c r="L420" s="88">
        <f t="shared" si="232"/>
        <v>0</v>
      </c>
    </row>
    <row r="421" spans="1:12" ht="14.25" customHeight="1">
      <c r="A421" s="45"/>
      <c r="B421" s="44" t="s">
        <v>207</v>
      </c>
      <c r="C421" s="21">
        <v>70</v>
      </c>
      <c r="D421" s="82">
        <v>212</v>
      </c>
      <c r="E421" s="82">
        <v>212</v>
      </c>
      <c r="F421" s="82"/>
      <c r="G421" s="82"/>
      <c r="H421" s="82"/>
      <c r="I421" s="139">
        <f t="shared" si="215"/>
        <v>212</v>
      </c>
      <c r="J421" s="82"/>
      <c r="K421" s="82"/>
      <c r="L421" s="82"/>
    </row>
    <row r="422" spans="1:12" ht="15" hidden="1">
      <c r="A422" s="45"/>
      <c r="B422" s="44" t="s">
        <v>263</v>
      </c>
      <c r="C422" s="21" t="s">
        <v>528</v>
      </c>
      <c r="D422" s="82"/>
      <c r="E422" s="82"/>
      <c r="F422" s="82"/>
      <c r="G422" s="82"/>
      <c r="H422" s="82"/>
      <c r="I422" s="139">
        <f t="shared" si="215"/>
        <v>0</v>
      </c>
      <c r="J422" s="80"/>
      <c r="K422" s="80"/>
      <c r="L422" s="80"/>
    </row>
    <row r="423" spans="1:12" ht="15" hidden="1">
      <c r="A423" s="45"/>
      <c r="B423" s="44" t="s">
        <v>214</v>
      </c>
      <c r="C423" s="21" t="s">
        <v>215</v>
      </c>
      <c r="D423" s="82"/>
      <c r="E423" s="82"/>
      <c r="F423" s="82"/>
      <c r="G423" s="82"/>
      <c r="H423" s="82"/>
      <c r="I423" s="139">
        <f t="shared" si="215"/>
        <v>0</v>
      </c>
      <c r="J423" s="80"/>
      <c r="K423" s="80"/>
      <c r="L423" s="80"/>
    </row>
    <row r="424" spans="1:12" ht="19.5" customHeight="1">
      <c r="A424" s="52" t="s">
        <v>7</v>
      </c>
      <c r="B424" s="54" t="s">
        <v>517</v>
      </c>
      <c r="C424" s="109">
        <v>64.02</v>
      </c>
      <c r="D424" s="91">
        <f t="shared" ref="D424:L424" si="233">D441+D531+D574+D669</f>
        <v>277375.88</v>
      </c>
      <c r="E424" s="91">
        <f t="shared" ref="E424:F424" si="234">E441+E531+E574+E669</f>
        <v>113929.88</v>
      </c>
      <c r="F424" s="91">
        <f t="shared" si="234"/>
        <v>59713</v>
      </c>
      <c r="G424" s="91">
        <f t="shared" ref="G424:H424" si="235">G441+G531+G574+G669</f>
        <v>55974</v>
      </c>
      <c r="H424" s="91">
        <f t="shared" si="235"/>
        <v>47759</v>
      </c>
      <c r="I424" s="139">
        <f t="shared" si="215"/>
        <v>277375.88</v>
      </c>
      <c r="J424" s="91">
        <f t="shared" si="233"/>
        <v>179244</v>
      </c>
      <c r="K424" s="91">
        <f t="shared" si="233"/>
        <v>187780</v>
      </c>
      <c r="L424" s="91">
        <f t="shared" si="233"/>
        <v>188886</v>
      </c>
    </row>
    <row r="425" spans="1:12" ht="19.5" customHeight="1">
      <c r="A425" s="45"/>
      <c r="B425" s="35" t="s">
        <v>166</v>
      </c>
      <c r="C425" s="110"/>
      <c r="D425" s="88">
        <f t="shared" ref="D425:L426" si="236">D442+D533+D541+D575+D670</f>
        <v>230780.88</v>
      </c>
      <c r="E425" s="88">
        <f t="shared" ref="E425:F425" si="237">E442+E533+E541+E575+E670</f>
        <v>67334.880000000005</v>
      </c>
      <c r="F425" s="88">
        <f t="shared" si="237"/>
        <v>59713</v>
      </c>
      <c r="G425" s="88">
        <f t="shared" ref="G425:H425" si="238">G442+G533+G541+G575+G670</f>
        <v>55974</v>
      </c>
      <c r="H425" s="88">
        <f t="shared" si="238"/>
        <v>47759</v>
      </c>
      <c r="I425" s="139">
        <f t="shared" si="215"/>
        <v>230780.88</v>
      </c>
      <c r="J425" s="88">
        <f t="shared" si="236"/>
        <v>167587</v>
      </c>
      <c r="K425" s="88">
        <f t="shared" si="236"/>
        <v>176945</v>
      </c>
      <c r="L425" s="88">
        <f t="shared" si="236"/>
        <v>187728</v>
      </c>
    </row>
    <row r="426" spans="1:12" ht="15">
      <c r="A426" s="45"/>
      <c r="B426" s="44" t="s">
        <v>167</v>
      </c>
      <c r="C426" s="21">
        <v>1</v>
      </c>
      <c r="D426" s="83">
        <f t="shared" si="236"/>
        <v>230780.88</v>
      </c>
      <c r="E426" s="83">
        <f t="shared" ref="E426:F426" si="239">E443+E534+E542+E576+E671</f>
        <v>67334.880000000005</v>
      </c>
      <c r="F426" s="83">
        <f t="shared" si="239"/>
        <v>59713</v>
      </c>
      <c r="G426" s="83">
        <f t="shared" ref="G426:H426" si="240">G443+G534+G542+G576+G671</f>
        <v>55974</v>
      </c>
      <c r="H426" s="83">
        <f t="shared" si="240"/>
        <v>47759</v>
      </c>
      <c r="I426" s="139">
        <f t="shared" si="215"/>
        <v>230780.88</v>
      </c>
      <c r="J426" s="83">
        <f t="shared" si="236"/>
        <v>167587</v>
      </c>
      <c r="K426" s="83">
        <f t="shared" si="236"/>
        <v>176945</v>
      </c>
      <c r="L426" s="83">
        <f t="shared" si="236"/>
        <v>187728</v>
      </c>
    </row>
    <row r="427" spans="1:12" ht="15">
      <c r="A427" s="45"/>
      <c r="B427" s="44" t="s">
        <v>168</v>
      </c>
      <c r="C427" s="21">
        <v>10</v>
      </c>
      <c r="D427" s="83">
        <f t="shared" ref="D427:L427" si="241">D444+D672</f>
        <v>108276.88</v>
      </c>
      <c r="E427" s="83">
        <f t="shared" ref="E427:F427" si="242">E444+E672</f>
        <v>27946.880000000001</v>
      </c>
      <c r="F427" s="83">
        <f t="shared" si="242"/>
        <v>29265</v>
      </c>
      <c r="G427" s="83">
        <f t="shared" ref="G427:H427" si="243">G444+G672</f>
        <v>27540</v>
      </c>
      <c r="H427" s="83">
        <f t="shared" si="243"/>
        <v>23525</v>
      </c>
      <c r="I427" s="139">
        <f t="shared" si="215"/>
        <v>108276.88</v>
      </c>
      <c r="J427" s="83">
        <f t="shared" si="241"/>
        <v>56694</v>
      </c>
      <c r="K427" s="83">
        <f t="shared" si="241"/>
        <v>64694</v>
      </c>
      <c r="L427" s="83">
        <f t="shared" si="241"/>
        <v>73261</v>
      </c>
    </row>
    <row r="428" spans="1:12" ht="15">
      <c r="A428" s="45"/>
      <c r="B428" s="44" t="s">
        <v>169</v>
      </c>
      <c r="C428" s="21">
        <v>20</v>
      </c>
      <c r="D428" s="83">
        <f t="shared" ref="D428:L428" si="244">D445+D577+D673</f>
        <v>22875</v>
      </c>
      <c r="E428" s="83">
        <f t="shared" ref="E428:F428" si="245">E445+E577+E673</f>
        <v>5922</v>
      </c>
      <c r="F428" s="83">
        <f t="shared" si="245"/>
        <v>5861</v>
      </c>
      <c r="G428" s="83">
        <f t="shared" ref="G428:H428" si="246">G445+G577+G673</f>
        <v>5850</v>
      </c>
      <c r="H428" s="83">
        <f t="shared" si="246"/>
        <v>5242</v>
      </c>
      <c r="I428" s="139">
        <f t="shared" si="215"/>
        <v>22875</v>
      </c>
      <c r="J428" s="83">
        <f t="shared" si="244"/>
        <v>16381</v>
      </c>
      <c r="K428" s="83">
        <f t="shared" si="244"/>
        <v>17629</v>
      </c>
      <c r="L428" s="83">
        <f t="shared" si="244"/>
        <v>19635</v>
      </c>
    </row>
    <row r="429" spans="1:12" ht="15">
      <c r="A429" s="45"/>
      <c r="B429" s="44" t="s">
        <v>269</v>
      </c>
      <c r="C429" s="21">
        <v>51</v>
      </c>
      <c r="D429" s="83">
        <f t="shared" ref="D429:L429" si="247">D535+D543+D578+D674+D446</f>
        <v>70726</v>
      </c>
      <c r="E429" s="83">
        <f t="shared" ref="E429:F429" si="248">E535+E543+E578+E674+E446</f>
        <v>15788</v>
      </c>
      <c r="F429" s="83">
        <f t="shared" si="248"/>
        <v>18829</v>
      </c>
      <c r="G429" s="83">
        <f t="shared" ref="G429:H429" si="249">G535+G543+G578+G674+G446</f>
        <v>18648</v>
      </c>
      <c r="H429" s="83">
        <f t="shared" si="249"/>
        <v>17461</v>
      </c>
      <c r="I429" s="139">
        <f t="shared" si="215"/>
        <v>70726</v>
      </c>
      <c r="J429" s="83">
        <f t="shared" si="247"/>
        <v>65756</v>
      </c>
      <c r="K429" s="83">
        <f t="shared" si="247"/>
        <v>65756</v>
      </c>
      <c r="L429" s="83">
        <f t="shared" si="247"/>
        <v>65856</v>
      </c>
    </row>
    <row r="430" spans="1:12" ht="15">
      <c r="A430" s="45"/>
      <c r="B430" s="44" t="s">
        <v>174</v>
      </c>
      <c r="C430" s="21">
        <v>57</v>
      </c>
      <c r="D430" s="83">
        <f t="shared" ref="D430:L430" si="250">D447+D675</f>
        <v>14763</v>
      </c>
      <c r="E430" s="83">
        <f t="shared" ref="E430:F430" si="251">E447+E675</f>
        <v>9415</v>
      </c>
      <c r="F430" s="83">
        <f t="shared" si="251"/>
        <v>2746</v>
      </c>
      <c r="G430" s="83">
        <f t="shared" ref="G430:H430" si="252">G447+G675</f>
        <v>1654</v>
      </c>
      <c r="H430" s="83">
        <f t="shared" si="252"/>
        <v>948</v>
      </c>
      <c r="I430" s="139">
        <f t="shared" si="215"/>
        <v>14763</v>
      </c>
      <c r="J430" s="83">
        <f t="shared" si="250"/>
        <v>14866</v>
      </c>
      <c r="K430" s="83">
        <f t="shared" si="250"/>
        <v>14976</v>
      </c>
      <c r="L430" s="83">
        <f t="shared" si="250"/>
        <v>15086</v>
      </c>
    </row>
    <row r="431" spans="1:12" ht="15">
      <c r="A431" s="45"/>
      <c r="B431" s="44" t="s">
        <v>175</v>
      </c>
      <c r="C431" s="21">
        <v>59</v>
      </c>
      <c r="D431" s="83">
        <f t="shared" ref="D431:L431" si="253">D579+D676+D469</f>
        <v>14140</v>
      </c>
      <c r="E431" s="83">
        <f t="shared" ref="E431:F431" si="254">E579+E676+E469</f>
        <v>8263</v>
      </c>
      <c r="F431" s="83">
        <f t="shared" si="254"/>
        <v>3012</v>
      </c>
      <c r="G431" s="83">
        <f t="shared" ref="G431:H431" si="255">G579+G676+G469</f>
        <v>2282</v>
      </c>
      <c r="H431" s="83">
        <f t="shared" si="255"/>
        <v>583</v>
      </c>
      <c r="I431" s="139">
        <f t="shared" si="215"/>
        <v>14140</v>
      </c>
      <c r="J431" s="83">
        <f t="shared" si="253"/>
        <v>13890</v>
      </c>
      <c r="K431" s="83">
        <f t="shared" si="253"/>
        <v>13890</v>
      </c>
      <c r="L431" s="83">
        <f t="shared" si="253"/>
        <v>13890</v>
      </c>
    </row>
    <row r="432" spans="1:12" ht="0.75" customHeight="1">
      <c r="A432" s="45"/>
      <c r="B432" s="44" t="s">
        <v>177</v>
      </c>
      <c r="C432" s="99" t="s">
        <v>270</v>
      </c>
      <c r="D432" s="83">
        <f t="shared" ref="D432:L432" si="256">D448</f>
        <v>0</v>
      </c>
      <c r="E432" s="83">
        <f t="shared" ref="E432:F432" si="257">E448</f>
        <v>0</v>
      </c>
      <c r="F432" s="83">
        <f t="shared" si="257"/>
        <v>0</v>
      </c>
      <c r="G432" s="83">
        <f t="shared" ref="G432:H432" si="258">G448</f>
        <v>0</v>
      </c>
      <c r="H432" s="83">
        <f t="shared" si="258"/>
        <v>0</v>
      </c>
      <c r="I432" s="139">
        <f t="shared" si="215"/>
        <v>0</v>
      </c>
      <c r="J432" s="83">
        <f t="shared" si="256"/>
        <v>0</v>
      </c>
      <c r="K432" s="83">
        <f t="shared" si="256"/>
        <v>0</v>
      </c>
      <c r="L432" s="83">
        <f t="shared" si="256"/>
        <v>0</v>
      </c>
    </row>
    <row r="433" spans="1:12" ht="14.25">
      <c r="A433" s="45"/>
      <c r="B433" s="37" t="s">
        <v>178</v>
      </c>
      <c r="C433" s="21"/>
      <c r="D433" s="88">
        <f t="shared" ref="D433:L433" si="259">D449+D537+D581+D678</f>
        <v>46595</v>
      </c>
      <c r="E433" s="88">
        <f t="shared" ref="E433:F433" si="260">E449+E537+E581+E678</f>
        <v>46595</v>
      </c>
      <c r="F433" s="88">
        <f t="shared" si="260"/>
        <v>0</v>
      </c>
      <c r="G433" s="88">
        <f t="shared" ref="G433:H433" si="261">G449+G537+G581+G678</f>
        <v>0</v>
      </c>
      <c r="H433" s="88">
        <f t="shared" si="261"/>
        <v>0</v>
      </c>
      <c r="I433" s="139">
        <f t="shared" si="215"/>
        <v>46595</v>
      </c>
      <c r="J433" s="88">
        <f t="shared" si="259"/>
        <v>11657</v>
      </c>
      <c r="K433" s="88">
        <f t="shared" si="259"/>
        <v>10835</v>
      </c>
      <c r="L433" s="88">
        <f t="shared" si="259"/>
        <v>1158</v>
      </c>
    </row>
    <row r="434" spans="1:12" ht="15">
      <c r="A434" s="45"/>
      <c r="B434" s="44" t="s">
        <v>271</v>
      </c>
      <c r="C434" s="21" t="s">
        <v>181</v>
      </c>
      <c r="D434" s="83">
        <f t="shared" ref="D434:L435" si="262">D538</f>
        <v>41439</v>
      </c>
      <c r="E434" s="83">
        <f t="shared" ref="E434:F434" si="263">E538</f>
        <v>41439</v>
      </c>
      <c r="F434" s="83">
        <f t="shared" si="263"/>
        <v>0</v>
      </c>
      <c r="G434" s="83">
        <f t="shared" ref="G434:H434" si="264">G538</f>
        <v>0</v>
      </c>
      <c r="H434" s="83">
        <f t="shared" si="264"/>
        <v>0</v>
      </c>
      <c r="I434" s="139">
        <f t="shared" si="215"/>
        <v>41439</v>
      </c>
      <c r="J434" s="83">
        <f t="shared" si="262"/>
        <v>0</v>
      </c>
      <c r="K434" s="83">
        <f t="shared" si="262"/>
        <v>0</v>
      </c>
      <c r="L434" s="83">
        <f t="shared" si="262"/>
        <v>0</v>
      </c>
    </row>
    <row r="435" spans="1:12" ht="14.25" hidden="1" customHeight="1">
      <c r="A435" s="45"/>
      <c r="B435" s="44" t="s">
        <v>182</v>
      </c>
      <c r="C435" s="21" t="s">
        <v>183</v>
      </c>
      <c r="D435" s="83">
        <f t="shared" si="262"/>
        <v>0</v>
      </c>
      <c r="E435" s="83">
        <f t="shared" ref="E435:F435" si="265">E539</f>
        <v>0</v>
      </c>
      <c r="F435" s="83">
        <f t="shared" si="265"/>
        <v>0</v>
      </c>
      <c r="G435" s="83">
        <f t="shared" ref="G435:H435" si="266">G539</f>
        <v>0</v>
      </c>
      <c r="H435" s="83">
        <f t="shared" si="266"/>
        <v>0</v>
      </c>
      <c r="I435" s="139">
        <f t="shared" si="215"/>
        <v>0</v>
      </c>
      <c r="J435" s="83">
        <f t="shared" si="262"/>
        <v>0</v>
      </c>
      <c r="K435" s="83">
        <f t="shared" si="262"/>
        <v>0</v>
      </c>
      <c r="L435" s="83">
        <f t="shared" si="262"/>
        <v>0</v>
      </c>
    </row>
    <row r="436" spans="1:12" ht="15">
      <c r="A436" s="45"/>
      <c r="B436" s="44" t="s">
        <v>184</v>
      </c>
      <c r="C436" s="21" t="s">
        <v>185</v>
      </c>
      <c r="D436" s="83">
        <f t="shared" ref="D436:L436" si="267">D582+D679</f>
        <v>2262</v>
      </c>
      <c r="E436" s="83">
        <f t="shared" ref="E436:F436" si="268">E582+E679</f>
        <v>2262</v>
      </c>
      <c r="F436" s="83">
        <f t="shared" si="268"/>
        <v>0</v>
      </c>
      <c r="G436" s="83">
        <f t="shared" ref="G436:H436" si="269">G582+G679</f>
        <v>0</v>
      </c>
      <c r="H436" s="83">
        <f t="shared" si="269"/>
        <v>0</v>
      </c>
      <c r="I436" s="139">
        <f t="shared" si="215"/>
        <v>2262</v>
      </c>
      <c r="J436" s="83">
        <f t="shared" si="267"/>
        <v>85</v>
      </c>
      <c r="K436" s="83">
        <f t="shared" si="267"/>
        <v>0</v>
      </c>
      <c r="L436" s="83">
        <f t="shared" si="267"/>
        <v>0</v>
      </c>
    </row>
    <row r="437" spans="1:12" ht="15" hidden="1">
      <c r="A437" s="45"/>
      <c r="B437" s="44" t="s">
        <v>272</v>
      </c>
      <c r="C437" s="21">
        <v>55</v>
      </c>
      <c r="D437" s="83">
        <f t="shared" ref="D437:L437" si="270">D663</f>
        <v>0</v>
      </c>
      <c r="E437" s="83">
        <f t="shared" ref="E437:F437" si="271">E663</f>
        <v>0</v>
      </c>
      <c r="F437" s="83">
        <f t="shared" si="271"/>
        <v>0</v>
      </c>
      <c r="G437" s="83">
        <f t="shared" ref="G437:H437" si="272">G663</f>
        <v>0</v>
      </c>
      <c r="H437" s="83">
        <f t="shared" si="272"/>
        <v>0</v>
      </c>
      <c r="I437" s="139">
        <f t="shared" si="215"/>
        <v>0</v>
      </c>
      <c r="J437" s="83">
        <f t="shared" si="270"/>
        <v>0</v>
      </c>
      <c r="K437" s="83">
        <f t="shared" si="270"/>
        <v>0</v>
      </c>
      <c r="L437" s="83">
        <f t="shared" si="270"/>
        <v>0</v>
      </c>
    </row>
    <row r="438" spans="1:12" ht="14.25">
      <c r="A438" s="45"/>
      <c r="B438" s="37" t="s">
        <v>187</v>
      </c>
      <c r="C438" s="21">
        <v>56</v>
      </c>
      <c r="D438" s="83">
        <f t="shared" ref="D438:L438" si="273">D450+D584+D680</f>
        <v>160</v>
      </c>
      <c r="E438" s="83">
        <f t="shared" ref="E438:F438" si="274">E450+E584+E680</f>
        <v>160</v>
      </c>
      <c r="F438" s="83">
        <f t="shared" si="274"/>
        <v>0</v>
      </c>
      <c r="G438" s="83">
        <f t="shared" ref="G438:H438" si="275">G450+G584+G680</f>
        <v>0</v>
      </c>
      <c r="H438" s="83">
        <f t="shared" si="275"/>
        <v>0</v>
      </c>
      <c r="I438" s="139">
        <f t="shared" si="215"/>
        <v>160</v>
      </c>
      <c r="J438" s="83">
        <f t="shared" si="273"/>
        <v>160</v>
      </c>
      <c r="K438" s="83">
        <f t="shared" si="273"/>
        <v>0</v>
      </c>
      <c r="L438" s="83">
        <f t="shared" si="273"/>
        <v>0</v>
      </c>
    </row>
    <row r="439" spans="1:12" ht="14.25">
      <c r="A439" s="45"/>
      <c r="B439" s="37" t="s">
        <v>187</v>
      </c>
      <c r="C439" s="21">
        <v>58</v>
      </c>
      <c r="D439" s="83">
        <f t="shared" ref="D439:L439" si="276">D681</f>
        <v>1981</v>
      </c>
      <c r="E439" s="83">
        <f t="shared" ref="E439:F439" si="277">E681</f>
        <v>1981</v>
      </c>
      <c r="F439" s="83">
        <f t="shared" si="277"/>
        <v>0</v>
      </c>
      <c r="G439" s="83">
        <f t="shared" ref="G439:H439" si="278">G681</f>
        <v>0</v>
      </c>
      <c r="H439" s="83">
        <f t="shared" si="278"/>
        <v>0</v>
      </c>
      <c r="I439" s="139">
        <f t="shared" si="215"/>
        <v>1981</v>
      </c>
      <c r="J439" s="83">
        <f t="shared" si="276"/>
        <v>11412</v>
      </c>
      <c r="K439" s="83">
        <f t="shared" si="276"/>
        <v>10835</v>
      </c>
      <c r="L439" s="83">
        <f t="shared" si="276"/>
        <v>1158</v>
      </c>
    </row>
    <row r="440" spans="1:12" ht="15">
      <c r="A440" s="45"/>
      <c r="B440" s="44" t="s">
        <v>207</v>
      </c>
      <c r="C440" s="21">
        <v>70</v>
      </c>
      <c r="D440" s="83">
        <f t="shared" ref="D440:L440" si="279">D451+D682</f>
        <v>753</v>
      </c>
      <c r="E440" s="83">
        <f t="shared" ref="E440:F440" si="280">E451+E682</f>
        <v>753</v>
      </c>
      <c r="F440" s="83">
        <f t="shared" si="280"/>
        <v>0</v>
      </c>
      <c r="G440" s="83">
        <f t="shared" ref="G440:H440" si="281">G451+G682</f>
        <v>0</v>
      </c>
      <c r="H440" s="83">
        <f t="shared" si="281"/>
        <v>0</v>
      </c>
      <c r="I440" s="139">
        <f t="shared" si="215"/>
        <v>753</v>
      </c>
      <c r="J440" s="83">
        <f t="shared" si="279"/>
        <v>0</v>
      </c>
      <c r="K440" s="83">
        <f t="shared" si="279"/>
        <v>0</v>
      </c>
      <c r="L440" s="83">
        <f t="shared" si="279"/>
        <v>0</v>
      </c>
    </row>
    <row r="441" spans="1:12" ht="14.25">
      <c r="A441" s="52">
        <v>1</v>
      </c>
      <c r="B441" s="56" t="s">
        <v>273</v>
      </c>
      <c r="C441" s="105" t="s">
        <v>274</v>
      </c>
      <c r="D441" s="88">
        <f t="shared" ref="D441:D443" si="282">D452+D516</f>
        <v>14793</v>
      </c>
      <c r="E441" s="88">
        <f t="shared" ref="E441:F441" si="283">E452+E516</f>
        <v>9729</v>
      </c>
      <c r="F441" s="88">
        <f t="shared" si="283"/>
        <v>2685</v>
      </c>
      <c r="G441" s="88">
        <f t="shared" ref="G441:H441" si="284">G452+G516</f>
        <v>1445</v>
      </c>
      <c r="H441" s="88">
        <f t="shared" si="284"/>
        <v>934</v>
      </c>
      <c r="I441" s="139">
        <f t="shared" si="215"/>
        <v>14793</v>
      </c>
      <c r="J441" s="88">
        <f t="shared" ref="J441:L443" si="285">J452+J516</f>
        <v>14476</v>
      </c>
      <c r="K441" s="88">
        <f t="shared" si="285"/>
        <v>14476</v>
      </c>
      <c r="L441" s="88">
        <f t="shared" si="285"/>
        <v>14476</v>
      </c>
    </row>
    <row r="442" spans="1:12" ht="14.25">
      <c r="A442" s="45"/>
      <c r="B442" s="35" t="s">
        <v>166</v>
      </c>
      <c r="C442" s="99"/>
      <c r="D442" s="88">
        <f t="shared" si="282"/>
        <v>14563</v>
      </c>
      <c r="E442" s="88">
        <f t="shared" ref="E442:F442" si="286">E453+E517</f>
        <v>9499</v>
      </c>
      <c r="F442" s="88">
        <f t="shared" si="286"/>
        <v>2685</v>
      </c>
      <c r="G442" s="88">
        <f t="shared" ref="G442:H442" si="287">G453+G517</f>
        <v>1445</v>
      </c>
      <c r="H442" s="88">
        <f t="shared" si="287"/>
        <v>934</v>
      </c>
      <c r="I442" s="139">
        <f t="shared" si="215"/>
        <v>14563</v>
      </c>
      <c r="J442" s="88">
        <f t="shared" si="285"/>
        <v>14476</v>
      </c>
      <c r="K442" s="88">
        <f t="shared" si="285"/>
        <v>14476</v>
      </c>
      <c r="L442" s="88">
        <f t="shared" si="285"/>
        <v>14476</v>
      </c>
    </row>
    <row r="443" spans="1:12" ht="15">
      <c r="A443" s="45"/>
      <c r="B443" s="44" t="s">
        <v>167</v>
      </c>
      <c r="C443" s="21">
        <v>1</v>
      </c>
      <c r="D443" s="88">
        <f t="shared" si="282"/>
        <v>14563</v>
      </c>
      <c r="E443" s="88">
        <f t="shared" ref="E443:F443" si="288">E454+E518</f>
        <v>9499</v>
      </c>
      <c r="F443" s="88">
        <f t="shared" si="288"/>
        <v>2685</v>
      </c>
      <c r="G443" s="88">
        <f t="shared" ref="G443:H443" si="289">G454+G518</f>
        <v>1445</v>
      </c>
      <c r="H443" s="88">
        <f t="shared" si="289"/>
        <v>934</v>
      </c>
      <c r="I443" s="139">
        <f t="shared" si="215"/>
        <v>14563</v>
      </c>
      <c r="J443" s="88">
        <f t="shared" si="285"/>
        <v>14476</v>
      </c>
      <c r="K443" s="88">
        <f t="shared" si="285"/>
        <v>14476</v>
      </c>
      <c r="L443" s="88">
        <f t="shared" si="285"/>
        <v>14476</v>
      </c>
    </row>
    <row r="444" spans="1:12" ht="15">
      <c r="A444" s="45"/>
      <c r="B444" s="44" t="s">
        <v>168</v>
      </c>
      <c r="C444" s="21">
        <v>10</v>
      </c>
      <c r="D444" s="88">
        <f t="shared" ref="D444:L444" si="290">D455</f>
        <v>370</v>
      </c>
      <c r="E444" s="88">
        <f t="shared" ref="E444:F444" si="291">E455</f>
        <v>0</v>
      </c>
      <c r="F444" s="88">
        <f t="shared" si="291"/>
        <v>205</v>
      </c>
      <c r="G444" s="88">
        <f t="shared" ref="G444:H444" si="292">G455</f>
        <v>80</v>
      </c>
      <c r="H444" s="88">
        <f t="shared" si="292"/>
        <v>85</v>
      </c>
      <c r="I444" s="139">
        <f t="shared" si="215"/>
        <v>370</v>
      </c>
      <c r="J444" s="88">
        <f t="shared" si="290"/>
        <v>320</v>
      </c>
      <c r="K444" s="88">
        <f t="shared" si="290"/>
        <v>320</v>
      </c>
      <c r="L444" s="88">
        <f t="shared" si="290"/>
        <v>320</v>
      </c>
    </row>
    <row r="445" spans="1:12" ht="15">
      <c r="A445" s="45"/>
      <c r="B445" s="44" t="s">
        <v>169</v>
      </c>
      <c r="C445" s="21">
        <v>20</v>
      </c>
      <c r="D445" s="88">
        <f t="shared" ref="D445" si="293">D457</f>
        <v>2725</v>
      </c>
      <c r="E445" s="88">
        <f t="shared" ref="E445:F445" si="294">E457</f>
        <v>877</v>
      </c>
      <c r="F445" s="88">
        <f t="shared" si="294"/>
        <v>691</v>
      </c>
      <c r="G445" s="88">
        <f t="shared" ref="G445:H445" si="295">G457</f>
        <v>681</v>
      </c>
      <c r="H445" s="88">
        <f t="shared" si="295"/>
        <v>476</v>
      </c>
      <c r="I445" s="139">
        <f t="shared" si="215"/>
        <v>2725</v>
      </c>
      <c r="J445" s="88">
        <f>J457</f>
        <v>2685</v>
      </c>
      <c r="K445" s="88">
        <f>K457</f>
        <v>2685</v>
      </c>
      <c r="L445" s="88">
        <f>L457</f>
        <v>2685</v>
      </c>
    </row>
    <row r="446" spans="1:12" ht="15">
      <c r="A446" s="45"/>
      <c r="B446" s="44" t="s">
        <v>172</v>
      </c>
      <c r="C446" s="21">
        <v>51</v>
      </c>
      <c r="D446" s="88">
        <f t="shared" ref="D446:L446" si="296">D519</f>
        <v>0</v>
      </c>
      <c r="E446" s="88">
        <f t="shared" ref="E446:F446" si="297">E519</f>
        <v>0</v>
      </c>
      <c r="F446" s="88">
        <f t="shared" si="297"/>
        <v>0</v>
      </c>
      <c r="G446" s="88">
        <f t="shared" ref="G446:H446" si="298">G519</f>
        <v>0</v>
      </c>
      <c r="H446" s="88">
        <f t="shared" si="298"/>
        <v>0</v>
      </c>
      <c r="I446" s="139">
        <f t="shared" si="215"/>
        <v>0</v>
      </c>
      <c r="J446" s="88">
        <f t="shared" si="296"/>
        <v>0</v>
      </c>
      <c r="K446" s="88">
        <f t="shared" si="296"/>
        <v>0</v>
      </c>
      <c r="L446" s="88">
        <f t="shared" si="296"/>
        <v>0</v>
      </c>
    </row>
    <row r="447" spans="1:12" ht="14.25" customHeight="1">
      <c r="A447" s="45"/>
      <c r="B447" s="44" t="s">
        <v>174</v>
      </c>
      <c r="C447" s="21">
        <v>57</v>
      </c>
      <c r="D447" s="88">
        <f t="shared" ref="D447:L447" si="299">D458+D520</f>
        <v>11468</v>
      </c>
      <c r="E447" s="88">
        <f t="shared" ref="E447:F447" si="300">E458+E520</f>
        <v>8622</v>
      </c>
      <c r="F447" s="88">
        <f t="shared" si="300"/>
        <v>1789</v>
      </c>
      <c r="G447" s="88">
        <f t="shared" ref="G447:H447" si="301">G458+G520</f>
        <v>684</v>
      </c>
      <c r="H447" s="88">
        <f t="shared" si="301"/>
        <v>373</v>
      </c>
      <c r="I447" s="139">
        <f t="shared" si="215"/>
        <v>11468</v>
      </c>
      <c r="J447" s="88">
        <f t="shared" si="299"/>
        <v>11471</v>
      </c>
      <c r="K447" s="88">
        <f t="shared" si="299"/>
        <v>11471</v>
      </c>
      <c r="L447" s="88">
        <f t="shared" si="299"/>
        <v>11471</v>
      </c>
    </row>
    <row r="448" spans="1:12" ht="15" hidden="1">
      <c r="A448" s="45"/>
      <c r="B448" s="44" t="s">
        <v>177</v>
      </c>
      <c r="C448" s="21">
        <v>85.01</v>
      </c>
      <c r="D448" s="88">
        <f t="shared" ref="D448:L448" si="302">D470+D493+D513+D503+D521+D528</f>
        <v>0</v>
      </c>
      <c r="E448" s="88">
        <f t="shared" ref="E448:F448" si="303">E470+E493+E513+E503+E521+E528</f>
        <v>0</v>
      </c>
      <c r="F448" s="88">
        <f t="shared" si="303"/>
        <v>0</v>
      </c>
      <c r="G448" s="88">
        <f t="shared" ref="G448:H448" si="304">G470+G493+G513+G503+G521+G528</f>
        <v>0</v>
      </c>
      <c r="H448" s="88">
        <f t="shared" si="304"/>
        <v>0</v>
      </c>
      <c r="I448" s="139">
        <f t="shared" si="215"/>
        <v>0</v>
      </c>
      <c r="J448" s="88">
        <f t="shared" si="302"/>
        <v>0</v>
      </c>
      <c r="K448" s="88">
        <f t="shared" si="302"/>
        <v>0</v>
      </c>
      <c r="L448" s="88">
        <f t="shared" si="302"/>
        <v>0</v>
      </c>
    </row>
    <row r="449" spans="1:13" ht="14.25">
      <c r="A449" s="45"/>
      <c r="B449" s="37" t="s">
        <v>178</v>
      </c>
      <c r="C449" s="21"/>
      <c r="D449" s="88">
        <f t="shared" ref="D449:L451" si="305">D459</f>
        <v>230</v>
      </c>
      <c r="E449" s="88">
        <f t="shared" ref="E449:F449" si="306">E459</f>
        <v>230</v>
      </c>
      <c r="F449" s="88">
        <f t="shared" si="306"/>
        <v>0</v>
      </c>
      <c r="G449" s="88">
        <f t="shared" ref="G449:H449" si="307">G459</f>
        <v>0</v>
      </c>
      <c r="H449" s="88">
        <f t="shared" si="307"/>
        <v>0</v>
      </c>
      <c r="I449" s="139">
        <f t="shared" si="215"/>
        <v>230</v>
      </c>
      <c r="J449" s="88">
        <f t="shared" si="305"/>
        <v>0</v>
      </c>
      <c r="K449" s="88">
        <f t="shared" si="305"/>
        <v>0</v>
      </c>
      <c r="L449" s="88">
        <f t="shared" si="305"/>
        <v>0</v>
      </c>
    </row>
    <row r="450" spans="1:13" ht="0.75" customHeight="1">
      <c r="A450" s="45"/>
      <c r="B450" s="37" t="s">
        <v>187</v>
      </c>
      <c r="C450" s="21">
        <v>56</v>
      </c>
      <c r="D450" s="88">
        <f t="shared" si="305"/>
        <v>0</v>
      </c>
      <c r="E450" s="88">
        <f t="shared" ref="E450:F450" si="308">E460</f>
        <v>0</v>
      </c>
      <c r="F450" s="88">
        <f t="shared" si="308"/>
        <v>0</v>
      </c>
      <c r="G450" s="88">
        <f t="shared" ref="G450:H450" si="309">G460</f>
        <v>0</v>
      </c>
      <c r="H450" s="88">
        <f t="shared" si="309"/>
        <v>0</v>
      </c>
      <c r="I450" s="139">
        <f t="shared" si="215"/>
        <v>0</v>
      </c>
      <c r="J450" s="88">
        <f t="shared" si="305"/>
        <v>0</v>
      </c>
      <c r="K450" s="88">
        <f t="shared" si="305"/>
        <v>0</v>
      </c>
      <c r="L450" s="88">
        <f t="shared" si="305"/>
        <v>0</v>
      </c>
    </row>
    <row r="451" spans="1:13" ht="15">
      <c r="A451" s="45"/>
      <c r="B451" s="44" t="s">
        <v>207</v>
      </c>
      <c r="C451" s="21">
        <v>70</v>
      </c>
      <c r="D451" s="88">
        <f t="shared" si="305"/>
        <v>230</v>
      </c>
      <c r="E451" s="88">
        <f t="shared" ref="E451:F451" si="310">E461</f>
        <v>230</v>
      </c>
      <c r="F451" s="88">
        <f t="shared" si="310"/>
        <v>0</v>
      </c>
      <c r="G451" s="88">
        <f t="shared" ref="G451:H451" si="311">G461</f>
        <v>0</v>
      </c>
      <c r="H451" s="88">
        <f t="shared" si="311"/>
        <v>0</v>
      </c>
      <c r="I451" s="139">
        <f t="shared" si="215"/>
        <v>230</v>
      </c>
      <c r="J451" s="88">
        <f t="shared" si="305"/>
        <v>0</v>
      </c>
      <c r="K451" s="88">
        <f t="shared" si="305"/>
        <v>0</v>
      </c>
      <c r="L451" s="88">
        <f t="shared" si="305"/>
        <v>0</v>
      </c>
    </row>
    <row r="452" spans="1:13" ht="28.5">
      <c r="A452" s="45" t="s">
        <v>275</v>
      </c>
      <c r="B452" s="42" t="s">
        <v>276</v>
      </c>
      <c r="C452" s="21" t="s">
        <v>277</v>
      </c>
      <c r="D452" s="88">
        <f t="shared" ref="D452:D453" si="312">D462+D477+D486+D496+D506+D522</f>
        <v>4049</v>
      </c>
      <c r="E452" s="88">
        <f t="shared" ref="E452:F452" si="313">E462+E477+E486+E496+E506+E522</f>
        <v>1325</v>
      </c>
      <c r="F452" s="88">
        <f t="shared" si="313"/>
        <v>1085</v>
      </c>
      <c r="G452" s="88">
        <f t="shared" ref="G452:H452" si="314">G462+G477+G486+G496+G506+G522</f>
        <v>945</v>
      </c>
      <c r="H452" s="88">
        <f t="shared" si="314"/>
        <v>694</v>
      </c>
      <c r="I452" s="139">
        <f t="shared" si="215"/>
        <v>4049</v>
      </c>
      <c r="J452" s="88">
        <f t="shared" ref="J452:L453" si="315">J462+J477+J486+J496+J506+J522</f>
        <v>3732</v>
      </c>
      <c r="K452" s="88">
        <f t="shared" si="315"/>
        <v>3732</v>
      </c>
      <c r="L452" s="88">
        <f t="shared" si="315"/>
        <v>3732</v>
      </c>
    </row>
    <row r="453" spans="1:13" ht="14.25">
      <c r="A453" s="45"/>
      <c r="B453" s="35" t="s">
        <v>166</v>
      </c>
      <c r="C453" s="21"/>
      <c r="D453" s="88">
        <f t="shared" si="312"/>
        <v>3819</v>
      </c>
      <c r="E453" s="88">
        <f t="shared" ref="E453:F453" si="316">E463+E478+E487+E497+E507+E523</f>
        <v>1095</v>
      </c>
      <c r="F453" s="88">
        <f t="shared" si="316"/>
        <v>1085</v>
      </c>
      <c r="G453" s="88">
        <f t="shared" ref="G453:H453" si="317">G463+G478+G487+G497+G507+G523</f>
        <v>945</v>
      </c>
      <c r="H453" s="88">
        <f t="shared" si="317"/>
        <v>694</v>
      </c>
      <c r="I453" s="139">
        <f t="shared" si="215"/>
        <v>3819</v>
      </c>
      <c r="J453" s="88">
        <f t="shared" si="315"/>
        <v>3732</v>
      </c>
      <c r="K453" s="88">
        <f t="shared" si="315"/>
        <v>3732</v>
      </c>
      <c r="L453" s="88">
        <f t="shared" si="315"/>
        <v>3732</v>
      </c>
    </row>
    <row r="454" spans="1:13" ht="15">
      <c r="A454" s="45"/>
      <c r="B454" s="44" t="s">
        <v>167</v>
      </c>
      <c r="C454" s="21">
        <v>1</v>
      </c>
      <c r="D454" s="83">
        <f t="shared" ref="D454:L454" si="318">D464+D479+D487+D497+D507+D523</f>
        <v>3819</v>
      </c>
      <c r="E454" s="83">
        <f t="shared" ref="E454:F454" si="319">E464+E479+E487+E497+E507+E523</f>
        <v>1095</v>
      </c>
      <c r="F454" s="83">
        <f t="shared" si="319"/>
        <v>1085</v>
      </c>
      <c r="G454" s="83">
        <f t="shared" ref="G454:H454" si="320">G464+G479+G487+G497+G507+G523</f>
        <v>945</v>
      </c>
      <c r="H454" s="83">
        <f t="shared" si="320"/>
        <v>694</v>
      </c>
      <c r="I454" s="139">
        <f t="shared" si="215"/>
        <v>3819</v>
      </c>
      <c r="J454" s="83">
        <f t="shared" si="318"/>
        <v>3732</v>
      </c>
      <c r="K454" s="83">
        <f t="shared" si="318"/>
        <v>3732</v>
      </c>
      <c r="L454" s="83">
        <f t="shared" si="318"/>
        <v>3732</v>
      </c>
    </row>
    <row r="455" spans="1:13" ht="15">
      <c r="A455" s="45"/>
      <c r="B455" s="44" t="s">
        <v>518</v>
      </c>
      <c r="C455" s="21">
        <v>10</v>
      </c>
      <c r="D455" s="83">
        <f t="shared" ref="D455:D456" si="321">D465+D480+D489+D499+D509+D525</f>
        <v>370</v>
      </c>
      <c r="E455" s="83">
        <f t="shared" ref="E455:F455" si="322">E465+E480+E489+E499+E509+E525</f>
        <v>0</v>
      </c>
      <c r="F455" s="83">
        <f t="shared" si="322"/>
        <v>205</v>
      </c>
      <c r="G455" s="83">
        <f t="shared" ref="G455:H455" si="323">G465+G480+G489+G499+G509+G525</f>
        <v>80</v>
      </c>
      <c r="H455" s="83">
        <f t="shared" si="323"/>
        <v>85</v>
      </c>
      <c r="I455" s="139">
        <f t="shared" si="215"/>
        <v>370</v>
      </c>
      <c r="J455" s="83">
        <f t="shared" ref="J455:L457" si="324">J465+J480+J489+J499+J509+J525</f>
        <v>320</v>
      </c>
      <c r="K455" s="83">
        <f t="shared" si="324"/>
        <v>320</v>
      </c>
      <c r="L455" s="83">
        <f t="shared" si="324"/>
        <v>320</v>
      </c>
    </row>
    <row r="456" spans="1:13" ht="15" hidden="1">
      <c r="A456" s="45"/>
      <c r="B456" s="44" t="s">
        <v>519</v>
      </c>
      <c r="C456" s="21"/>
      <c r="D456" s="83">
        <f t="shared" si="321"/>
        <v>0</v>
      </c>
      <c r="E456" s="83">
        <f t="shared" ref="E456:F456" si="325">E466+E481+E490+E500+E510+E526</f>
        <v>0</v>
      </c>
      <c r="F456" s="83">
        <f t="shared" si="325"/>
        <v>0</v>
      </c>
      <c r="G456" s="83">
        <f t="shared" ref="G456:H456" si="326">G466+G481+G490+G500+G510+G526</f>
        <v>0</v>
      </c>
      <c r="H456" s="83">
        <f t="shared" si="326"/>
        <v>0</v>
      </c>
      <c r="I456" s="139">
        <f t="shared" si="215"/>
        <v>0</v>
      </c>
      <c r="J456" s="83">
        <f t="shared" si="324"/>
        <v>0</v>
      </c>
      <c r="K456" s="83">
        <f t="shared" si="324"/>
        <v>0</v>
      </c>
      <c r="L456" s="83">
        <f t="shared" si="324"/>
        <v>0</v>
      </c>
    </row>
    <row r="457" spans="1:13" ht="15">
      <c r="A457" s="45"/>
      <c r="B457" s="44" t="s">
        <v>169</v>
      </c>
      <c r="C457" s="21">
        <v>20</v>
      </c>
      <c r="D457" s="83">
        <f t="shared" ref="D457:H457" si="327">D467+D482+D491+D501+D511+D527</f>
        <v>2725</v>
      </c>
      <c r="E457" s="83">
        <f t="shared" si="327"/>
        <v>877</v>
      </c>
      <c r="F457" s="83">
        <f t="shared" si="327"/>
        <v>691</v>
      </c>
      <c r="G457" s="83">
        <f t="shared" si="327"/>
        <v>681</v>
      </c>
      <c r="H457" s="83">
        <f t="shared" si="327"/>
        <v>476</v>
      </c>
      <c r="I457" s="139">
        <f t="shared" si="215"/>
        <v>2725</v>
      </c>
      <c r="J457" s="83">
        <f t="shared" si="324"/>
        <v>2685</v>
      </c>
      <c r="K457" s="83">
        <f t="shared" si="324"/>
        <v>2685</v>
      </c>
      <c r="L457" s="83">
        <f t="shared" si="324"/>
        <v>2685</v>
      </c>
    </row>
    <row r="458" spans="1:13" ht="15">
      <c r="A458" s="45"/>
      <c r="B458" s="44" t="s">
        <v>278</v>
      </c>
      <c r="C458" s="21" t="s">
        <v>290</v>
      </c>
      <c r="D458" s="83">
        <f t="shared" ref="D458:L458" si="328">D468+D483+D492+D502+D512</f>
        <v>724</v>
      </c>
      <c r="E458" s="83">
        <f t="shared" ref="E458:F458" si="329">E468+E483+E492+E502+E512</f>
        <v>218</v>
      </c>
      <c r="F458" s="83">
        <f t="shared" si="329"/>
        <v>189</v>
      </c>
      <c r="G458" s="83">
        <f t="shared" ref="G458:H458" si="330">G468+G483+G492+G502+G512</f>
        <v>184</v>
      </c>
      <c r="H458" s="83">
        <f t="shared" si="330"/>
        <v>133</v>
      </c>
      <c r="I458" s="139">
        <f t="shared" si="215"/>
        <v>724</v>
      </c>
      <c r="J458" s="83">
        <f t="shared" si="328"/>
        <v>727</v>
      </c>
      <c r="K458" s="83">
        <f t="shared" si="328"/>
        <v>727</v>
      </c>
      <c r="L458" s="83">
        <f t="shared" si="328"/>
        <v>727</v>
      </c>
    </row>
    <row r="459" spans="1:13" ht="16.5" hidden="1" customHeight="1">
      <c r="A459" s="45"/>
      <c r="B459" s="37" t="s">
        <v>178</v>
      </c>
      <c r="C459" s="21"/>
      <c r="D459" s="83">
        <f t="shared" ref="D459:L459" si="331">D471+D484+D494+D504+D514+D529</f>
        <v>230</v>
      </c>
      <c r="E459" s="83">
        <f t="shared" ref="E459:F459" si="332">E471+E484+E494+E504+E514+E529</f>
        <v>230</v>
      </c>
      <c r="F459" s="83">
        <f t="shared" si="332"/>
        <v>0</v>
      </c>
      <c r="G459" s="83">
        <f t="shared" ref="G459:H459" si="333">G471+G484+G494+G504+G514+G529</f>
        <v>0</v>
      </c>
      <c r="H459" s="83">
        <f t="shared" si="333"/>
        <v>0</v>
      </c>
      <c r="I459" s="139">
        <f t="shared" si="215"/>
        <v>230</v>
      </c>
      <c r="J459" s="83">
        <f t="shared" si="331"/>
        <v>0</v>
      </c>
      <c r="K459" s="83">
        <f t="shared" si="331"/>
        <v>0</v>
      </c>
      <c r="L459" s="83">
        <f t="shared" si="331"/>
        <v>0</v>
      </c>
    </row>
    <row r="460" spans="1:13" ht="16.5" hidden="1" customHeight="1">
      <c r="A460" s="45"/>
      <c r="B460" s="27" t="s">
        <v>187</v>
      </c>
      <c r="C460" s="111">
        <v>56</v>
      </c>
      <c r="D460" s="83">
        <f t="shared" ref="D460:L460" si="334">D472</f>
        <v>0</v>
      </c>
      <c r="E460" s="83">
        <f t="shared" ref="E460:F460" si="335">E472</f>
        <v>0</v>
      </c>
      <c r="F460" s="83">
        <f t="shared" si="335"/>
        <v>0</v>
      </c>
      <c r="G460" s="83">
        <f t="shared" ref="G460:H460" si="336">G472</f>
        <v>0</v>
      </c>
      <c r="H460" s="83">
        <f t="shared" si="336"/>
        <v>0</v>
      </c>
      <c r="I460" s="139">
        <f t="shared" si="215"/>
        <v>0</v>
      </c>
      <c r="J460" s="83">
        <f t="shared" si="334"/>
        <v>0</v>
      </c>
      <c r="K460" s="83">
        <f t="shared" si="334"/>
        <v>0</v>
      </c>
      <c r="L460" s="83">
        <f t="shared" si="334"/>
        <v>0</v>
      </c>
    </row>
    <row r="461" spans="1:13" ht="12.75" customHeight="1">
      <c r="A461" s="45"/>
      <c r="B461" s="43" t="s">
        <v>207</v>
      </c>
      <c r="C461" s="21">
        <v>70</v>
      </c>
      <c r="D461" s="83">
        <f t="shared" ref="D461:L461" si="337">D476+D485+D495+D505+D515+D530</f>
        <v>230</v>
      </c>
      <c r="E461" s="83">
        <f t="shared" ref="E461:F461" si="338">E476+E485+E495+E505+E515+E530</f>
        <v>230</v>
      </c>
      <c r="F461" s="83">
        <f t="shared" si="338"/>
        <v>0</v>
      </c>
      <c r="G461" s="83">
        <f t="shared" ref="G461:H461" si="339">G476+G485+G495+G505+G515+G530</f>
        <v>0</v>
      </c>
      <c r="H461" s="83">
        <f t="shared" si="339"/>
        <v>0</v>
      </c>
      <c r="I461" s="139">
        <f t="shared" si="215"/>
        <v>230</v>
      </c>
      <c r="J461" s="83">
        <f t="shared" si="337"/>
        <v>0</v>
      </c>
      <c r="K461" s="83">
        <f t="shared" si="337"/>
        <v>0</v>
      </c>
      <c r="L461" s="83">
        <f t="shared" si="337"/>
        <v>0</v>
      </c>
    </row>
    <row r="462" spans="1:13" ht="28.5" customHeight="1">
      <c r="A462" s="45" t="s">
        <v>279</v>
      </c>
      <c r="B462" s="61" t="s">
        <v>280</v>
      </c>
      <c r="C462" s="99" t="s">
        <v>281</v>
      </c>
      <c r="D462" s="88">
        <f t="shared" ref="D462:L462" si="340">D463+D471</f>
        <v>1555</v>
      </c>
      <c r="E462" s="88">
        <f t="shared" ref="E462:F462" si="341">E463+E471</f>
        <v>662</v>
      </c>
      <c r="F462" s="88">
        <f t="shared" si="341"/>
        <v>361</v>
      </c>
      <c r="G462" s="88">
        <f t="shared" ref="G462:H462" si="342">G463+G471</f>
        <v>336</v>
      </c>
      <c r="H462" s="88">
        <f t="shared" si="342"/>
        <v>196</v>
      </c>
      <c r="I462" s="139">
        <f t="shared" si="215"/>
        <v>1555</v>
      </c>
      <c r="J462" s="88">
        <f t="shared" si="340"/>
        <v>1285</v>
      </c>
      <c r="K462" s="88">
        <f t="shared" si="340"/>
        <v>1285</v>
      </c>
      <c r="L462" s="88">
        <f t="shared" si="340"/>
        <v>1285</v>
      </c>
      <c r="M462" s="159"/>
    </row>
    <row r="463" spans="1:13" ht="14.25">
      <c r="A463" s="45"/>
      <c r="B463" s="35" t="s">
        <v>166</v>
      </c>
      <c r="C463" s="21"/>
      <c r="D463" s="88">
        <f t="shared" ref="D463:L463" si="343">D464</f>
        <v>1325</v>
      </c>
      <c r="E463" s="88">
        <f t="shared" si="343"/>
        <v>432</v>
      </c>
      <c r="F463" s="88">
        <f t="shared" si="343"/>
        <v>361</v>
      </c>
      <c r="G463" s="88">
        <f t="shared" si="343"/>
        <v>336</v>
      </c>
      <c r="H463" s="88">
        <f t="shared" si="343"/>
        <v>196</v>
      </c>
      <c r="I463" s="139">
        <f t="shared" si="215"/>
        <v>1325</v>
      </c>
      <c r="J463" s="88">
        <f t="shared" si="343"/>
        <v>1285</v>
      </c>
      <c r="K463" s="88">
        <f t="shared" si="343"/>
        <v>1285</v>
      </c>
      <c r="L463" s="88">
        <f t="shared" si="343"/>
        <v>1285</v>
      </c>
    </row>
    <row r="464" spans="1:13" ht="15">
      <c r="A464" s="45"/>
      <c r="B464" s="44" t="s">
        <v>167</v>
      </c>
      <c r="C464" s="21">
        <v>1</v>
      </c>
      <c r="D464" s="83">
        <f t="shared" ref="D464:L464" si="344">D465+D467+D468+D469+D470</f>
        <v>1325</v>
      </c>
      <c r="E464" s="83">
        <f t="shared" ref="E464:F464" si="345">E465+E467+E468+E469+E470</f>
        <v>432</v>
      </c>
      <c r="F464" s="83">
        <f t="shared" si="345"/>
        <v>361</v>
      </c>
      <c r="G464" s="83">
        <f t="shared" ref="G464:H464" si="346">G465+G467+G468+G469+G470</f>
        <v>336</v>
      </c>
      <c r="H464" s="83">
        <f t="shared" si="346"/>
        <v>196</v>
      </c>
      <c r="I464" s="139">
        <f t="shared" si="215"/>
        <v>1325</v>
      </c>
      <c r="J464" s="83">
        <f t="shared" si="344"/>
        <v>1285</v>
      </c>
      <c r="K464" s="83">
        <f t="shared" si="344"/>
        <v>1285</v>
      </c>
      <c r="L464" s="83">
        <f t="shared" si="344"/>
        <v>1285</v>
      </c>
    </row>
    <row r="465" spans="1:13" ht="15.75" customHeight="1">
      <c r="A465" s="45"/>
      <c r="B465" s="44" t="s">
        <v>518</v>
      </c>
      <c r="C465" s="21">
        <v>10</v>
      </c>
      <c r="D465" s="82">
        <v>100</v>
      </c>
      <c r="E465" s="82"/>
      <c r="F465" s="82">
        <v>50</v>
      </c>
      <c r="G465" s="82">
        <v>25</v>
      </c>
      <c r="H465" s="82">
        <v>25</v>
      </c>
      <c r="I465" s="139">
        <f t="shared" si="215"/>
        <v>100</v>
      </c>
      <c r="J465" s="80">
        <v>100</v>
      </c>
      <c r="K465" s="80">
        <v>100</v>
      </c>
      <c r="L465" s="80">
        <v>100</v>
      </c>
    </row>
    <row r="466" spans="1:13" ht="15" hidden="1">
      <c r="A466" s="45"/>
      <c r="B466" s="44" t="s">
        <v>519</v>
      </c>
      <c r="C466" s="21"/>
      <c r="D466" s="82"/>
      <c r="E466" s="82"/>
      <c r="F466" s="82"/>
      <c r="G466" s="82"/>
      <c r="H466" s="82"/>
      <c r="I466" s="139">
        <f t="shared" ref="I466:I529" si="347">E466+F466+G466+H466</f>
        <v>0</v>
      </c>
      <c r="J466" s="80"/>
      <c r="K466" s="80"/>
      <c r="L466" s="80"/>
    </row>
    <row r="467" spans="1:13" ht="15" customHeight="1">
      <c r="A467" s="45"/>
      <c r="B467" s="44" t="s">
        <v>169</v>
      </c>
      <c r="C467" s="21">
        <v>20</v>
      </c>
      <c r="D467" s="82">
        <f>800+40</f>
        <v>840</v>
      </c>
      <c r="E467" s="82">
        <f>210+100+2</f>
        <v>312</v>
      </c>
      <c r="F467" s="82">
        <f>210+1</f>
        <v>211</v>
      </c>
      <c r="G467" s="82">
        <v>211</v>
      </c>
      <c r="H467" s="82">
        <v>106</v>
      </c>
      <c r="I467" s="139">
        <f t="shared" si="347"/>
        <v>840</v>
      </c>
      <c r="J467" s="80">
        <v>800</v>
      </c>
      <c r="K467" s="80">
        <v>800</v>
      </c>
      <c r="L467" s="80">
        <v>800</v>
      </c>
    </row>
    <row r="468" spans="1:13" ht="13.5" customHeight="1">
      <c r="A468" s="45"/>
      <c r="B468" s="44" t="s">
        <v>282</v>
      </c>
      <c r="C468" s="21" t="s">
        <v>290</v>
      </c>
      <c r="D468" s="82">
        <v>385</v>
      </c>
      <c r="E468" s="82">
        <v>120</v>
      </c>
      <c r="F468" s="82">
        <v>100</v>
      </c>
      <c r="G468" s="82">
        <v>100</v>
      </c>
      <c r="H468" s="82">
        <v>65</v>
      </c>
      <c r="I468" s="139">
        <f t="shared" si="347"/>
        <v>385</v>
      </c>
      <c r="J468" s="80">
        <v>385</v>
      </c>
      <c r="K468" s="80">
        <v>385</v>
      </c>
      <c r="L468" s="80">
        <v>385</v>
      </c>
    </row>
    <row r="469" spans="1:13" ht="0.75" customHeight="1">
      <c r="A469" s="45"/>
      <c r="B469" s="44" t="s">
        <v>464</v>
      </c>
      <c r="C469" s="21">
        <v>59</v>
      </c>
      <c r="D469" s="82"/>
      <c r="E469" s="82"/>
      <c r="F469" s="82"/>
      <c r="G469" s="82"/>
      <c r="H469" s="82"/>
      <c r="I469" s="139">
        <f t="shared" si="347"/>
        <v>0</v>
      </c>
      <c r="J469" s="80"/>
      <c r="K469" s="80"/>
      <c r="L469" s="80"/>
    </row>
    <row r="470" spans="1:13" ht="21" hidden="1" customHeight="1">
      <c r="A470" s="45"/>
      <c r="B470" s="44" t="s">
        <v>177</v>
      </c>
      <c r="C470" s="21">
        <v>85.01</v>
      </c>
      <c r="D470" s="82"/>
      <c r="E470" s="82"/>
      <c r="F470" s="82"/>
      <c r="G470" s="82"/>
      <c r="H470" s="82"/>
      <c r="I470" s="139">
        <f t="shared" si="347"/>
        <v>0</v>
      </c>
      <c r="J470" s="80"/>
      <c r="K470" s="80"/>
      <c r="L470" s="80"/>
    </row>
    <row r="471" spans="1:13" ht="15.75" customHeight="1">
      <c r="A471" s="45"/>
      <c r="B471" s="37" t="s">
        <v>178</v>
      </c>
      <c r="C471" s="21"/>
      <c r="D471" s="83">
        <f t="shared" ref="D471:L471" si="348">D472+D476</f>
        <v>230</v>
      </c>
      <c r="E471" s="83">
        <f t="shared" ref="E471:F471" si="349">E472+E476</f>
        <v>230</v>
      </c>
      <c r="F471" s="83">
        <f t="shared" si="349"/>
        <v>0</v>
      </c>
      <c r="G471" s="83">
        <f t="shared" ref="G471:H471" si="350">G472+G476</f>
        <v>0</v>
      </c>
      <c r="H471" s="83">
        <f t="shared" si="350"/>
        <v>0</v>
      </c>
      <c r="I471" s="139">
        <f t="shared" si="347"/>
        <v>230</v>
      </c>
      <c r="J471" s="83">
        <f t="shared" si="348"/>
        <v>0</v>
      </c>
      <c r="K471" s="83">
        <f t="shared" si="348"/>
        <v>0</v>
      </c>
      <c r="L471" s="83">
        <f t="shared" si="348"/>
        <v>0</v>
      </c>
    </row>
    <row r="472" spans="1:13" ht="9.75" hidden="1" customHeight="1">
      <c r="A472" s="51"/>
      <c r="B472" s="27" t="s">
        <v>187</v>
      </c>
      <c r="C472" s="111">
        <v>56</v>
      </c>
      <c r="D472" s="140">
        <f t="shared" ref="D472:H472" si="351">D473+D474+D475</f>
        <v>0</v>
      </c>
      <c r="E472" s="140">
        <f t="shared" si="351"/>
        <v>0</v>
      </c>
      <c r="F472" s="140">
        <f t="shared" si="351"/>
        <v>0</v>
      </c>
      <c r="G472" s="140">
        <f t="shared" si="351"/>
        <v>0</v>
      </c>
      <c r="H472" s="140">
        <f t="shared" si="351"/>
        <v>0</v>
      </c>
      <c r="I472" s="139">
        <f t="shared" si="347"/>
        <v>0</v>
      </c>
      <c r="J472" s="80"/>
      <c r="K472" s="80"/>
      <c r="L472" s="80"/>
    </row>
    <row r="473" spans="1:13" ht="15.75" hidden="1" customHeight="1">
      <c r="A473" s="45"/>
      <c r="B473" s="32" t="s">
        <v>218</v>
      </c>
      <c r="C473" s="106" t="s">
        <v>219</v>
      </c>
      <c r="D473" s="82">
        <v>0</v>
      </c>
      <c r="E473" s="82">
        <v>0</v>
      </c>
      <c r="F473" s="82">
        <v>0</v>
      </c>
      <c r="G473" s="82">
        <v>0</v>
      </c>
      <c r="H473" s="82">
        <v>0</v>
      </c>
      <c r="I473" s="139">
        <f t="shared" si="347"/>
        <v>0</v>
      </c>
      <c r="J473" s="80"/>
      <c r="K473" s="80"/>
      <c r="L473" s="80"/>
    </row>
    <row r="474" spans="1:13" ht="18.75" hidden="1" customHeight="1">
      <c r="A474" s="45"/>
      <c r="B474" s="44" t="s">
        <v>220</v>
      </c>
      <c r="C474" s="106" t="s">
        <v>221</v>
      </c>
      <c r="D474" s="82">
        <v>0</v>
      </c>
      <c r="E474" s="82">
        <v>0</v>
      </c>
      <c r="F474" s="82">
        <v>0</v>
      </c>
      <c r="G474" s="82">
        <v>0</v>
      </c>
      <c r="H474" s="82">
        <v>0</v>
      </c>
      <c r="I474" s="139">
        <f t="shared" si="347"/>
        <v>0</v>
      </c>
      <c r="J474" s="80"/>
      <c r="K474" s="80"/>
      <c r="L474" s="80"/>
    </row>
    <row r="475" spans="1:13" ht="12" hidden="1" customHeight="1">
      <c r="A475" s="45"/>
      <c r="B475" s="44" t="s">
        <v>223</v>
      </c>
      <c r="C475" s="106" t="s">
        <v>222</v>
      </c>
      <c r="D475" s="82">
        <v>0</v>
      </c>
      <c r="E475" s="82">
        <v>0</v>
      </c>
      <c r="F475" s="82">
        <v>0</v>
      </c>
      <c r="G475" s="82">
        <v>0</v>
      </c>
      <c r="H475" s="82">
        <v>0</v>
      </c>
      <c r="I475" s="139">
        <f t="shared" si="347"/>
        <v>0</v>
      </c>
      <c r="J475" s="80"/>
      <c r="K475" s="80"/>
      <c r="L475" s="80"/>
    </row>
    <row r="476" spans="1:13" ht="13.5" customHeight="1">
      <c r="A476" s="45"/>
      <c r="B476" s="44" t="s">
        <v>207</v>
      </c>
      <c r="C476" s="21">
        <v>70</v>
      </c>
      <c r="D476" s="82">
        <v>230</v>
      </c>
      <c r="E476" s="82">
        <v>230</v>
      </c>
      <c r="F476" s="82"/>
      <c r="G476" s="82"/>
      <c r="H476" s="82"/>
      <c r="I476" s="139">
        <f t="shared" si="347"/>
        <v>230</v>
      </c>
      <c r="J476" s="80"/>
      <c r="K476" s="80"/>
      <c r="L476" s="80"/>
    </row>
    <row r="477" spans="1:13" ht="26.25" customHeight="1">
      <c r="A477" s="45" t="s">
        <v>283</v>
      </c>
      <c r="B477" s="61" t="s">
        <v>284</v>
      </c>
      <c r="C477" s="99" t="s">
        <v>285</v>
      </c>
      <c r="D477" s="88">
        <f t="shared" ref="D477:L477" si="352">D478+D484</f>
        <v>935</v>
      </c>
      <c r="E477" s="88">
        <f t="shared" ref="E477:F477" si="353">E478+E484</f>
        <v>250</v>
      </c>
      <c r="F477" s="88">
        <f t="shared" si="353"/>
        <v>240</v>
      </c>
      <c r="G477" s="88">
        <f t="shared" ref="G477:H477" si="354">G478+G484</f>
        <v>240</v>
      </c>
      <c r="H477" s="88">
        <f t="shared" si="354"/>
        <v>205</v>
      </c>
      <c r="I477" s="139">
        <f t="shared" si="347"/>
        <v>935</v>
      </c>
      <c r="J477" s="88">
        <f t="shared" si="352"/>
        <v>935</v>
      </c>
      <c r="K477" s="88">
        <f t="shared" si="352"/>
        <v>935</v>
      </c>
      <c r="L477" s="88">
        <f t="shared" si="352"/>
        <v>935</v>
      </c>
      <c r="M477" s="159"/>
    </row>
    <row r="478" spans="1:13" ht="14.25">
      <c r="A478" s="45"/>
      <c r="B478" s="35" t="s">
        <v>166</v>
      </c>
      <c r="C478" s="21"/>
      <c r="D478" s="88">
        <f t="shared" ref="D478:L478" si="355">D479</f>
        <v>935</v>
      </c>
      <c r="E478" s="88">
        <f t="shared" si="355"/>
        <v>250</v>
      </c>
      <c r="F478" s="88">
        <f t="shared" si="355"/>
        <v>240</v>
      </c>
      <c r="G478" s="88">
        <f t="shared" si="355"/>
        <v>240</v>
      </c>
      <c r="H478" s="88">
        <f t="shared" si="355"/>
        <v>205</v>
      </c>
      <c r="I478" s="139">
        <f t="shared" si="347"/>
        <v>935</v>
      </c>
      <c r="J478" s="88">
        <f t="shared" si="355"/>
        <v>935</v>
      </c>
      <c r="K478" s="88">
        <f t="shared" si="355"/>
        <v>935</v>
      </c>
      <c r="L478" s="88">
        <f t="shared" si="355"/>
        <v>935</v>
      </c>
    </row>
    <row r="479" spans="1:13" ht="15">
      <c r="A479" s="45"/>
      <c r="B479" s="44" t="s">
        <v>167</v>
      </c>
      <c r="C479" s="21">
        <v>1</v>
      </c>
      <c r="D479" s="83">
        <f t="shared" ref="D479:L479" si="356">D480+D482+D483</f>
        <v>935</v>
      </c>
      <c r="E479" s="83">
        <f t="shared" ref="E479:F479" si="357">E480+E482+E483</f>
        <v>250</v>
      </c>
      <c r="F479" s="83">
        <f t="shared" si="357"/>
        <v>240</v>
      </c>
      <c r="G479" s="83">
        <f t="shared" ref="G479:H479" si="358">G480+G482+G483</f>
        <v>240</v>
      </c>
      <c r="H479" s="83">
        <f t="shared" si="358"/>
        <v>205</v>
      </c>
      <c r="I479" s="139">
        <f t="shared" si="347"/>
        <v>935</v>
      </c>
      <c r="J479" s="83">
        <f t="shared" si="356"/>
        <v>935</v>
      </c>
      <c r="K479" s="83">
        <f t="shared" si="356"/>
        <v>935</v>
      </c>
      <c r="L479" s="83">
        <f t="shared" si="356"/>
        <v>935</v>
      </c>
    </row>
    <row r="480" spans="1:13" ht="14.25" customHeight="1">
      <c r="A480" s="45"/>
      <c r="B480" s="44" t="s">
        <v>518</v>
      </c>
      <c r="C480" s="21">
        <v>10</v>
      </c>
      <c r="D480" s="82">
        <v>55</v>
      </c>
      <c r="E480" s="82"/>
      <c r="F480" s="82">
        <v>20</v>
      </c>
      <c r="G480" s="82">
        <v>20</v>
      </c>
      <c r="H480" s="82">
        <v>15</v>
      </c>
      <c r="I480" s="139">
        <f t="shared" si="347"/>
        <v>55</v>
      </c>
      <c r="J480" s="80">
        <v>55</v>
      </c>
      <c r="K480" s="80">
        <v>55</v>
      </c>
      <c r="L480" s="80">
        <v>55</v>
      </c>
    </row>
    <row r="481" spans="1:13" ht="15" hidden="1" customHeight="1">
      <c r="A481" s="45"/>
      <c r="B481" s="44" t="s">
        <v>519</v>
      </c>
      <c r="C481" s="21"/>
      <c r="D481" s="82"/>
      <c r="E481" s="82"/>
      <c r="F481" s="82"/>
      <c r="G481" s="82"/>
      <c r="H481" s="82"/>
      <c r="I481" s="139">
        <f t="shared" si="347"/>
        <v>0</v>
      </c>
      <c r="J481" s="80"/>
      <c r="K481" s="80"/>
      <c r="L481" s="80"/>
    </row>
    <row r="482" spans="1:13" ht="15">
      <c r="A482" s="45"/>
      <c r="B482" s="44" t="s">
        <v>169</v>
      </c>
      <c r="C482" s="21">
        <v>20</v>
      </c>
      <c r="D482" s="82">
        <v>700</v>
      </c>
      <c r="E482" s="82">
        <v>200</v>
      </c>
      <c r="F482" s="82">
        <v>175</v>
      </c>
      <c r="G482" s="82">
        <v>175</v>
      </c>
      <c r="H482" s="82">
        <v>150</v>
      </c>
      <c r="I482" s="139">
        <f t="shared" si="347"/>
        <v>700</v>
      </c>
      <c r="J482" s="80">
        <v>700</v>
      </c>
      <c r="K482" s="80">
        <v>700</v>
      </c>
      <c r="L482" s="80">
        <v>700</v>
      </c>
    </row>
    <row r="483" spans="1:13" ht="15" customHeight="1">
      <c r="A483" s="45"/>
      <c r="B483" s="44" t="s">
        <v>282</v>
      </c>
      <c r="C483" s="21" t="s">
        <v>290</v>
      </c>
      <c r="D483" s="82">
        <v>180</v>
      </c>
      <c r="E483" s="82">
        <v>50</v>
      </c>
      <c r="F483" s="82">
        <v>45</v>
      </c>
      <c r="G483" s="82">
        <v>45</v>
      </c>
      <c r="H483" s="82">
        <v>40</v>
      </c>
      <c r="I483" s="139">
        <f t="shared" si="347"/>
        <v>180</v>
      </c>
      <c r="J483" s="80">
        <v>180</v>
      </c>
      <c r="K483" s="80">
        <v>180</v>
      </c>
      <c r="L483" s="80">
        <v>180</v>
      </c>
    </row>
    <row r="484" spans="1:13" ht="17.25" hidden="1" customHeight="1">
      <c r="A484" s="45"/>
      <c r="B484" s="37" t="s">
        <v>178</v>
      </c>
      <c r="C484" s="21"/>
      <c r="D484" s="83">
        <f t="shared" ref="D484:L484" si="359">D485</f>
        <v>0</v>
      </c>
      <c r="E484" s="83">
        <f t="shared" si="359"/>
        <v>0</v>
      </c>
      <c r="F484" s="83">
        <f t="shared" si="359"/>
        <v>0</v>
      </c>
      <c r="G484" s="83">
        <f t="shared" si="359"/>
        <v>0</v>
      </c>
      <c r="H484" s="83">
        <f t="shared" si="359"/>
        <v>0</v>
      </c>
      <c r="I484" s="139">
        <f t="shared" si="347"/>
        <v>0</v>
      </c>
      <c r="J484" s="83">
        <f t="shared" si="359"/>
        <v>0</v>
      </c>
      <c r="K484" s="83">
        <f t="shared" si="359"/>
        <v>0</v>
      </c>
      <c r="L484" s="83">
        <f t="shared" si="359"/>
        <v>0</v>
      </c>
    </row>
    <row r="485" spans="1:13" ht="16.5" hidden="1" customHeight="1">
      <c r="A485" s="45"/>
      <c r="B485" s="44" t="s">
        <v>207</v>
      </c>
      <c r="C485" s="21">
        <v>70</v>
      </c>
      <c r="D485" s="82"/>
      <c r="E485" s="82"/>
      <c r="F485" s="82"/>
      <c r="G485" s="82"/>
      <c r="H485" s="82"/>
      <c r="I485" s="139">
        <f t="shared" si="347"/>
        <v>0</v>
      </c>
      <c r="J485" s="80">
        <v>0</v>
      </c>
      <c r="K485" s="80">
        <v>0</v>
      </c>
      <c r="L485" s="80">
        <v>0</v>
      </c>
    </row>
    <row r="486" spans="1:13" ht="42.75">
      <c r="A486" s="45" t="s">
        <v>286</v>
      </c>
      <c r="B486" s="61" t="s">
        <v>287</v>
      </c>
      <c r="C486" s="99" t="s">
        <v>288</v>
      </c>
      <c r="D486" s="88">
        <f t="shared" ref="D486:L486" si="360">D487+D494</f>
        <v>528</v>
      </c>
      <c r="E486" s="88">
        <f t="shared" ref="E486:F486" si="361">E487+E494</f>
        <v>150</v>
      </c>
      <c r="F486" s="88">
        <f t="shared" si="361"/>
        <v>145</v>
      </c>
      <c r="G486" s="88">
        <f t="shared" ref="G486:H486" si="362">G487+G494</f>
        <v>130</v>
      </c>
      <c r="H486" s="88">
        <f t="shared" si="362"/>
        <v>103</v>
      </c>
      <c r="I486" s="139">
        <f t="shared" si="347"/>
        <v>528</v>
      </c>
      <c r="J486" s="88">
        <f t="shared" si="360"/>
        <v>528</v>
      </c>
      <c r="K486" s="88">
        <f t="shared" si="360"/>
        <v>528</v>
      </c>
      <c r="L486" s="88">
        <f t="shared" si="360"/>
        <v>528</v>
      </c>
      <c r="M486" s="159"/>
    </row>
    <row r="487" spans="1:13" ht="14.25">
      <c r="A487" s="45"/>
      <c r="B487" s="35" t="s">
        <v>166</v>
      </c>
      <c r="C487" s="21"/>
      <c r="D487" s="88">
        <f t="shared" ref="D487:L487" si="363">D488</f>
        <v>528</v>
      </c>
      <c r="E487" s="88">
        <f t="shared" si="363"/>
        <v>150</v>
      </c>
      <c r="F487" s="88">
        <f t="shared" si="363"/>
        <v>145</v>
      </c>
      <c r="G487" s="88">
        <f t="shared" si="363"/>
        <v>130</v>
      </c>
      <c r="H487" s="88">
        <f t="shared" si="363"/>
        <v>103</v>
      </c>
      <c r="I487" s="139">
        <f t="shared" si="347"/>
        <v>528</v>
      </c>
      <c r="J487" s="88">
        <f t="shared" si="363"/>
        <v>528</v>
      </c>
      <c r="K487" s="88">
        <f t="shared" si="363"/>
        <v>528</v>
      </c>
      <c r="L487" s="88">
        <f t="shared" si="363"/>
        <v>528</v>
      </c>
    </row>
    <row r="488" spans="1:13" ht="15">
      <c r="A488" s="45"/>
      <c r="B488" s="44" t="s">
        <v>167</v>
      </c>
      <c r="C488" s="21">
        <v>1</v>
      </c>
      <c r="D488" s="83">
        <f t="shared" ref="D488:L488" si="364">D489+D491+D492+D493</f>
        <v>528</v>
      </c>
      <c r="E488" s="83">
        <f t="shared" ref="E488:F488" si="365">E489+E491+E492+E493</f>
        <v>150</v>
      </c>
      <c r="F488" s="83">
        <f t="shared" si="365"/>
        <v>145</v>
      </c>
      <c r="G488" s="83">
        <f t="shared" ref="G488:H488" si="366">G489+G491+G492+G493</f>
        <v>130</v>
      </c>
      <c r="H488" s="83">
        <f t="shared" si="366"/>
        <v>103</v>
      </c>
      <c r="I488" s="139">
        <f t="shared" si="347"/>
        <v>528</v>
      </c>
      <c r="J488" s="83">
        <f t="shared" si="364"/>
        <v>528</v>
      </c>
      <c r="K488" s="83">
        <f t="shared" si="364"/>
        <v>528</v>
      </c>
      <c r="L488" s="83">
        <f t="shared" si="364"/>
        <v>528</v>
      </c>
    </row>
    <row r="489" spans="1:13" ht="15">
      <c r="A489" s="45"/>
      <c r="B489" s="44" t="s">
        <v>518</v>
      </c>
      <c r="C489" s="21">
        <v>10</v>
      </c>
      <c r="D489" s="82">
        <v>40</v>
      </c>
      <c r="E489" s="82"/>
      <c r="F489" s="82">
        <v>20</v>
      </c>
      <c r="G489" s="82">
        <v>10</v>
      </c>
      <c r="H489" s="82">
        <v>10</v>
      </c>
      <c r="I489" s="139">
        <f t="shared" si="347"/>
        <v>40</v>
      </c>
      <c r="J489" s="80">
        <v>40</v>
      </c>
      <c r="K489" s="80">
        <v>40</v>
      </c>
      <c r="L489" s="80">
        <v>40</v>
      </c>
    </row>
    <row r="490" spans="1:13" ht="0.75" customHeight="1">
      <c r="A490" s="45"/>
      <c r="B490" s="44" t="s">
        <v>519</v>
      </c>
      <c r="C490" s="21"/>
      <c r="D490" s="82"/>
      <c r="E490" s="82"/>
      <c r="F490" s="82"/>
      <c r="G490" s="82"/>
      <c r="H490" s="82"/>
      <c r="I490" s="139">
        <f t="shared" si="347"/>
        <v>0</v>
      </c>
      <c r="J490" s="80"/>
      <c r="K490" s="80"/>
      <c r="L490" s="80"/>
    </row>
    <row r="491" spans="1:13" ht="15">
      <c r="A491" s="45"/>
      <c r="B491" s="44" t="s">
        <v>169</v>
      </c>
      <c r="C491" s="21">
        <v>20</v>
      </c>
      <c r="D491" s="82">
        <v>420</v>
      </c>
      <c r="E491" s="82">
        <v>130</v>
      </c>
      <c r="F491" s="82">
        <v>105</v>
      </c>
      <c r="G491" s="82">
        <v>105</v>
      </c>
      <c r="H491" s="82">
        <f>105-25</f>
        <v>80</v>
      </c>
      <c r="I491" s="139">
        <f t="shared" si="347"/>
        <v>420</v>
      </c>
      <c r="J491" s="80">
        <v>420</v>
      </c>
      <c r="K491" s="80">
        <v>420</v>
      </c>
      <c r="L491" s="80">
        <v>420</v>
      </c>
    </row>
    <row r="492" spans="1:13" ht="14.25" customHeight="1">
      <c r="A492" s="45"/>
      <c r="B492" s="44" t="s">
        <v>289</v>
      </c>
      <c r="C492" s="21" t="s">
        <v>290</v>
      </c>
      <c r="D492" s="82">
        <v>68</v>
      </c>
      <c r="E492" s="82">
        <v>20</v>
      </c>
      <c r="F492" s="82">
        <v>20</v>
      </c>
      <c r="G492" s="82">
        <v>15</v>
      </c>
      <c r="H492" s="82">
        <v>13</v>
      </c>
      <c r="I492" s="139">
        <f t="shared" si="347"/>
        <v>68</v>
      </c>
      <c r="J492" s="80">
        <v>68</v>
      </c>
      <c r="K492" s="80">
        <v>68</v>
      </c>
      <c r="L492" s="80">
        <v>68</v>
      </c>
    </row>
    <row r="493" spans="1:13" ht="14.25" hidden="1" customHeight="1">
      <c r="A493" s="45"/>
      <c r="B493" s="44" t="s">
        <v>177</v>
      </c>
      <c r="C493" s="21">
        <v>85.01</v>
      </c>
      <c r="D493" s="82"/>
      <c r="E493" s="82"/>
      <c r="F493" s="82"/>
      <c r="G493" s="82"/>
      <c r="H493" s="82"/>
      <c r="I493" s="139">
        <f t="shared" si="347"/>
        <v>0</v>
      </c>
      <c r="J493" s="80"/>
      <c r="K493" s="80"/>
      <c r="L493" s="80"/>
    </row>
    <row r="494" spans="1:13" ht="0.75" customHeight="1">
      <c r="A494" s="45"/>
      <c r="B494" s="37" t="s">
        <v>178</v>
      </c>
      <c r="C494" s="21"/>
      <c r="D494" s="88">
        <f t="shared" ref="D494:L494" si="367">D495</f>
        <v>0</v>
      </c>
      <c r="E494" s="88">
        <f t="shared" si="367"/>
        <v>0</v>
      </c>
      <c r="F494" s="88">
        <f t="shared" si="367"/>
        <v>0</v>
      </c>
      <c r="G494" s="88">
        <f t="shared" si="367"/>
        <v>0</v>
      </c>
      <c r="H494" s="88">
        <f t="shared" si="367"/>
        <v>0</v>
      </c>
      <c r="I494" s="139">
        <f t="shared" si="347"/>
        <v>0</v>
      </c>
      <c r="J494" s="88">
        <f t="shared" si="367"/>
        <v>0</v>
      </c>
      <c r="K494" s="88">
        <f t="shared" si="367"/>
        <v>0</v>
      </c>
      <c r="L494" s="88">
        <f t="shared" si="367"/>
        <v>0</v>
      </c>
    </row>
    <row r="495" spans="1:13" ht="16.5" hidden="1" customHeight="1">
      <c r="A495" s="45"/>
      <c r="B495" s="27" t="s">
        <v>291</v>
      </c>
      <c r="C495" s="111">
        <v>70</v>
      </c>
      <c r="D495" s="82"/>
      <c r="E495" s="82"/>
      <c r="F495" s="82"/>
      <c r="G495" s="82"/>
      <c r="H495" s="82"/>
      <c r="I495" s="139">
        <f t="shared" si="347"/>
        <v>0</v>
      </c>
      <c r="J495" s="80"/>
      <c r="K495" s="80"/>
      <c r="L495" s="80"/>
    </row>
    <row r="496" spans="1:13" ht="14.25">
      <c r="A496" s="45" t="s">
        <v>292</v>
      </c>
      <c r="B496" s="63" t="s">
        <v>293</v>
      </c>
      <c r="C496" s="99" t="s">
        <v>294</v>
      </c>
      <c r="D496" s="88">
        <f t="shared" ref="D496:L496" si="368">D497+D504</f>
        <v>289</v>
      </c>
      <c r="E496" s="88">
        <f t="shared" ref="E496:F496" si="369">E497+E504</f>
        <v>83</v>
      </c>
      <c r="F496" s="88">
        <f t="shared" si="369"/>
        <v>89</v>
      </c>
      <c r="G496" s="88">
        <f t="shared" ref="G496:H496" si="370">G497+G504</f>
        <v>69</v>
      </c>
      <c r="H496" s="88">
        <f t="shared" si="370"/>
        <v>48</v>
      </c>
      <c r="I496" s="139">
        <f t="shared" si="347"/>
        <v>289</v>
      </c>
      <c r="J496" s="88">
        <f t="shared" si="368"/>
        <v>289</v>
      </c>
      <c r="K496" s="88">
        <f t="shared" si="368"/>
        <v>289</v>
      </c>
      <c r="L496" s="88">
        <f t="shared" si="368"/>
        <v>289</v>
      </c>
      <c r="M496" s="159"/>
    </row>
    <row r="497" spans="1:13" ht="14.25">
      <c r="A497" s="45"/>
      <c r="B497" s="35" t="s">
        <v>166</v>
      </c>
      <c r="C497" s="21"/>
      <c r="D497" s="88">
        <f t="shared" ref="D497:L497" si="371">D498</f>
        <v>289</v>
      </c>
      <c r="E497" s="88">
        <f t="shared" si="371"/>
        <v>83</v>
      </c>
      <c r="F497" s="88">
        <f t="shared" si="371"/>
        <v>89</v>
      </c>
      <c r="G497" s="88">
        <f t="shared" si="371"/>
        <v>69</v>
      </c>
      <c r="H497" s="88">
        <f t="shared" si="371"/>
        <v>48</v>
      </c>
      <c r="I497" s="139">
        <f t="shared" si="347"/>
        <v>289</v>
      </c>
      <c r="J497" s="88">
        <f t="shared" si="371"/>
        <v>289</v>
      </c>
      <c r="K497" s="88">
        <f t="shared" si="371"/>
        <v>289</v>
      </c>
      <c r="L497" s="88">
        <f t="shared" si="371"/>
        <v>289</v>
      </c>
    </row>
    <row r="498" spans="1:13" ht="21.75" customHeight="1">
      <c r="A498" s="45"/>
      <c r="B498" s="44" t="s">
        <v>167</v>
      </c>
      <c r="C498" s="21">
        <v>1</v>
      </c>
      <c r="D498" s="83">
        <f t="shared" ref="D498:L498" si="372">D499+D501+D502+D503</f>
        <v>289</v>
      </c>
      <c r="E498" s="83">
        <f t="shared" ref="E498:F498" si="373">E499+E501+E502+E503</f>
        <v>83</v>
      </c>
      <c r="F498" s="83">
        <f t="shared" si="373"/>
        <v>89</v>
      </c>
      <c r="G498" s="83">
        <f t="shared" ref="G498:H498" si="374">G499+G501+G502+G503</f>
        <v>69</v>
      </c>
      <c r="H498" s="83">
        <f t="shared" si="374"/>
        <v>48</v>
      </c>
      <c r="I498" s="139">
        <f t="shared" si="347"/>
        <v>289</v>
      </c>
      <c r="J498" s="83">
        <f t="shared" si="372"/>
        <v>289</v>
      </c>
      <c r="K498" s="83">
        <f t="shared" si="372"/>
        <v>289</v>
      </c>
      <c r="L498" s="83">
        <f t="shared" si="372"/>
        <v>289</v>
      </c>
    </row>
    <row r="499" spans="1:13" ht="18.75" customHeight="1">
      <c r="A499" s="45"/>
      <c r="B499" s="44" t="s">
        <v>518</v>
      </c>
      <c r="C499" s="21">
        <v>10</v>
      </c>
      <c r="D499" s="82">
        <v>25</v>
      </c>
      <c r="E499" s="82"/>
      <c r="F499" s="82">
        <v>15</v>
      </c>
      <c r="G499" s="82">
        <v>5</v>
      </c>
      <c r="H499" s="82">
        <v>5</v>
      </c>
      <c r="I499" s="139">
        <f t="shared" si="347"/>
        <v>25</v>
      </c>
      <c r="J499" s="80">
        <v>25</v>
      </c>
      <c r="K499" s="80">
        <v>25</v>
      </c>
      <c r="L499" s="80">
        <v>25</v>
      </c>
    </row>
    <row r="500" spans="1:13" ht="0.75" customHeight="1">
      <c r="A500" s="45"/>
      <c r="B500" s="44" t="s">
        <v>519</v>
      </c>
      <c r="C500" s="21"/>
      <c r="D500" s="82"/>
      <c r="E500" s="82"/>
      <c r="F500" s="82"/>
      <c r="G500" s="82"/>
      <c r="H500" s="82"/>
      <c r="I500" s="139">
        <f t="shared" si="347"/>
        <v>0</v>
      </c>
      <c r="J500" s="80"/>
      <c r="K500" s="80"/>
      <c r="L500" s="80"/>
    </row>
    <row r="501" spans="1:13" ht="16.5" customHeight="1">
      <c r="A501" s="45"/>
      <c r="B501" s="44" t="s">
        <v>169</v>
      </c>
      <c r="C501" s="21">
        <v>20</v>
      </c>
      <c r="D501" s="82">
        <v>250</v>
      </c>
      <c r="E501" s="82">
        <v>80</v>
      </c>
      <c r="F501" s="82">
        <v>70</v>
      </c>
      <c r="G501" s="82">
        <v>60</v>
      </c>
      <c r="H501" s="82">
        <v>40</v>
      </c>
      <c r="I501" s="139">
        <f t="shared" si="347"/>
        <v>250</v>
      </c>
      <c r="J501" s="80">
        <v>250</v>
      </c>
      <c r="K501" s="80">
        <v>250</v>
      </c>
      <c r="L501" s="80">
        <v>250</v>
      </c>
    </row>
    <row r="502" spans="1:13" ht="15" customHeight="1">
      <c r="A502" s="45"/>
      <c r="B502" s="44" t="s">
        <v>278</v>
      </c>
      <c r="C502" s="21" t="s">
        <v>574</v>
      </c>
      <c r="D502" s="82">
        <v>14</v>
      </c>
      <c r="E502" s="82">
        <v>3</v>
      </c>
      <c r="F502" s="82">
        <v>4</v>
      </c>
      <c r="G502" s="82">
        <v>4</v>
      </c>
      <c r="H502" s="82">
        <v>3</v>
      </c>
      <c r="I502" s="139">
        <f t="shared" si="347"/>
        <v>14</v>
      </c>
      <c r="J502" s="80">
        <v>14</v>
      </c>
      <c r="K502" s="80">
        <v>14</v>
      </c>
      <c r="L502" s="80">
        <v>14</v>
      </c>
    </row>
    <row r="503" spans="1:13" ht="0.75" customHeight="1">
      <c r="A503" s="45"/>
      <c r="B503" s="44" t="s">
        <v>570</v>
      </c>
      <c r="C503" s="21">
        <v>85.01</v>
      </c>
      <c r="D503" s="82"/>
      <c r="E503" s="82"/>
      <c r="F503" s="82"/>
      <c r="G503" s="82"/>
      <c r="H503" s="82"/>
      <c r="I503" s="139">
        <f t="shared" si="347"/>
        <v>0</v>
      </c>
      <c r="J503" s="80"/>
      <c r="K503" s="80"/>
      <c r="L503" s="80"/>
    </row>
    <row r="504" spans="1:13" ht="12.75" hidden="1" customHeight="1">
      <c r="A504" s="45"/>
      <c r="B504" s="37" t="s">
        <v>178</v>
      </c>
      <c r="C504" s="21"/>
      <c r="D504" s="83">
        <f t="shared" ref="D504:L504" si="375">D505</f>
        <v>0</v>
      </c>
      <c r="E504" s="83">
        <f t="shared" si="375"/>
        <v>0</v>
      </c>
      <c r="F504" s="83">
        <f t="shared" si="375"/>
        <v>0</v>
      </c>
      <c r="G504" s="83">
        <f t="shared" si="375"/>
        <v>0</v>
      </c>
      <c r="H504" s="83">
        <f t="shared" si="375"/>
        <v>0</v>
      </c>
      <c r="I504" s="139">
        <f t="shared" si="347"/>
        <v>0</v>
      </c>
      <c r="J504" s="83">
        <f t="shared" si="375"/>
        <v>0</v>
      </c>
      <c r="K504" s="83">
        <f t="shared" si="375"/>
        <v>0</v>
      </c>
      <c r="L504" s="83">
        <f t="shared" si="375"/>
        <v>0</v>
      </c>
    </row>
    <row r="505" spans="1:13" ht="15.75" hidden="1" customHeight="1">
      <c r="A505" s="45"/>
      <c r="B505" s="44" t="s">
        <v>207</v>
      </c>
      <c r="C505" s="21">
        <v>70</v>
      </c>
      <c r="D505" s="82"/>
      <c r="E505" s="82"/>
      <c r="F505" s="82"/>
      <c r="G505" s="82"/>
      <c r="H505" s="82"/>
      <c r="I505" s="139">
        <f t="shared" si="347"/>
        <v>0</v>
      </c>
      <c r="J505" s="80">
        <v>0</v>
      </c>
      <c r="K505" s="80">
        <v>0</v>
      </c>
      <c r="L505" s="80">
        <v>0</v>
      </c>
    </row>
    <row r="506" spans="1:13" ht="27.75" customHeight="1">
      <c r="A506" s="45" t="s">
        <v>295</v>
      </c>
      <c r="B506" s="61" t="s">
        <v>532</v>
      </c>
      <c r="C506" s="99" t="s">
        <v>294</v>
      </c>
      <c r="D506" s="88">
        <f t="shared" ref="D506:L506" si="376">D507+D514</f>
        <v>467</v>
      </c>
      <c r="E506" s="88">
        <f t="shared" ref="E506:F506" si="377">E507+E514</f>
        <v>125</v>
      </c>
      <c r="F506" s="88">
        <f t="shared" si="377"/>
        <v>130</v>
      </c>
      <c r="G506" s="88">
        <f t="shared" ref="G506:H506" si="378">G507+G514</f>
        <v>120</v>
      </c>
      <c r="H506" s="88">
        <f t="shared" si="378"/>
        <v>92</v>
      </c>
      <c r="I506" s="139">
        <f t="shared" si="347"/>
        <v>467</v>
      </c>
      <c r="J506" s="88">
        <f t="shared" si="376"/>
        <v>470</v>
      </c>
      <c r="K506" s="88">
        <f t="shared" si="376"/>
        <v>470</v>
      </c>
      <c r="L506" s="88">
        <f t="shared" si="376"/>
        <v>470</v>
      </c>
      <c r="M506" s="159"/>
    </row>
    <row r="507" spans="1:13" ht="15" customHeight="1">
      <c r="A507" s="45"/>
      <c r="B507" s="35" t="s">
        <v>166</v>
      </c>
      <c r="C507" s="21"/>
      <c r="D507" s="83">
        <f t="shared" ref="D507:L507" si="379">D508</f>
        <v>467</v>
      </c>
      <c r="E507" s="83">
        <f t="shared" si="379"/>
        <v>125</v>
      </c>
      <c r="F507" s="83">
        <f t="shared" si="379"/>
        <v>130</v>
      </c>
      <c r="G507" s="83">
        <f t="shared" si="379"/>
        <v>120</v>
      </c>
      <c r="H507" s="83">
        <f t="shared" si="379"/>
        <v>92</v>
      </c>
      <c r="I507" s="139">
        <f t="shared" si="347"/>
        <v>467</v>
      </c>
      <c r="J507" s="83">
        <f t="shared" si="379"/>
        <v>470</v>
      </c>
      <c r="K507" s="83">
        <f t="shared" si="379"/>
        <v>470</v>
      </c>
      <c r="L507" s="83">
        <f t="shared" si="379"/>
        <v>470</v>
      </c>
    </row>
    <row r="508" spans="1:13" ht="15" customHeight="1">
      <c r="A508" s="45"/>
      <c r="B508" s="44" t="s">
        <v>167</v>
      </c>
      <c r="C508" s="21">
        <v>1</v>
      </c>
      <c r="D508" s="83">
        <f t="shared" ref="D508:L508" si="380">D509+D511+D512+D513</f>
        <v>467</v>
      </c>
      <c r="E508" s="83">
        <f t="shared" ref="E508:F508" si="381">E509+E511+E512+E513</f>
        <v>125</v>
      </c>
      <c r="F508" s="83">
        <f t="shared" si="381"/>
        <v>130</v>
      </c>
      <c r="G508" s="83">
        <f t="shared" ref="G508:H508" si="382">G509+G511+G512+G513</f>
        <v>120</v>
      </c>
      <c r="H508" s="83">
        <f t="shared" si="382"/>
        <v>92</v>
      </c>
      <c r="I508" s="139">
        <f t="shared" si="347"/>
        <v>467</v>
      </c>
      <c r="J508" s="83">
        <f t="shared" si="380"/>
        <v>470</v>
      </c>
      <c r="K508" s="83">
        <f t="shared" si="380"/>
        <v>470</v>
      </c>
      <c r="L508" s="83">
        <f t="shared" si="380"/>
        <v>470</v>
      </c>
    </row>
    <row r="509" spans="1:13" ht="17.25" customHeight="1">
      <c r="A509" s="45"/>
      <c r="B509" s="44" t="s">
        <v>518</v>
      </c>
      <c r="C509" s="21">
        <v>10</v>
      </c>
      <c r="D509" s="82">
        <v>40</v>
      </c>
      <c r="E509" s="82"/>
      <c r="F509" s="82">
        <v>20</v>
      </c>
      <c r="G509" s="82">
        <v>10</v>
      </c>
      <c r="H509" s="82">
        <v>10</v>
      </c>
      <c r="I509" s="139">
        <f t="shared" si="347"/>
        <v>40</v>
      </c>
      <c r="J509" s="80">
        <v>40</v>
      </c>
      <c r="K509" s="80">
        <v>40</v>
      </c>
      <c r="L509" s="80">
        <v>40</v>
      </c>
    </row>
    <row r="510" spans="1:13" ht="0.75" customHeight="1">
      <c r="A510" s="45"/>
      <c r="B510" s="44" t="s">
        <v>519</v>
      </c>
      <c r="C510" s="21"/>
      <c r="D510" s="82"/>
      <c r="E510" s="82"/>
      <c r="F510" s="82"/>
      <c r="G510" s="82"/>
      <c r="H510" s="82"/>
      <c r="I510" s="139">
        <f t="shared" si="347"/>
        <v>0</v>
      </c>
      <c r="J510" s="80"/>
      <c r="K510" s="80"/>
      <c r="L510" s="80"/>
    </row>
    <row r="511" spans="1:13" ht="15" customHeight="1">
      <c r="A511" s="45"/>
      <c r="B511" s="44" t="s">
        <v>169</v>
      </c>
      <c r="C511" s="21">
        <v>20</v>
      </c>
      <c r="D511" s="82">
        <v>350</v>
      </c>
      <c r="E511" s="82">
        <v>100</v>
      </c>
      <c r="F511" s="82">
        <v>90</v>
      </c>
      <c r="G511" s="82">
        <v>90</v>
      </c>
      <c r="H511" s="82">
        <v>70</v>
      </c>
      <c r="I511" s="139">
        <f t="shared" si="347"/>
        <v>350</v>
      </c>
      <c r="J511" s="80">
        <v>350</v>
      </c>
      <c r="K511" s="80">
        <v>350</v>
      </c>
      <c r="L511" s="80">
        <v>350</v>
      </c>
    </row>
    <row r="512" spans="1:13" ht="14.25" customHeight="1">
      <c r="A512" s="45"/>
      <c r="B512" s="44" t="s">
        <v>278</v>
      </c>
      <c r="C512" s="21" t="s">
        <v>574</v>
      </c>
      <c r="D512" s="82">
        <v>77</v>
      </c>
      <c r="E512" s="82">
        <v>25</v>
      </c>
      <c r="F512" s="82">
        <v>20</v>
      </c>
      <c r="G512" s="82">
        <v>20</v>
      </c>
      <c r="H512" s="82">
        <v>12</v>
      </c>
      <c r="I512" s="139">
        <f t="shared" si="347"/>
        <v>77</v>
      </c>
      <c r="J512" s="80">
        <v>80</v>
      </c>
      <c r="K512" s="80">
        <v>80</v>
      </c>
      <c r="L512" s="80">
        <v>80</v>
      </c>
    </row>
    <row r="513" spans="1:12" ht="0.75" customHeight="1">
      <c r="A513" s="45"/>
      <c r="B513" s="44" t="s">
        <v>177</v>
      </c>
      <c r="C513" s="21">
        <v>85.01</v>
      </c>
      <c r="D513" s="82"/>
      <c r="E513" s="82"/>
      <c r="F513" s="82"/>
      <c r="G513" s="82"/>
      <c r="H513" s="82"/>
      <c r="I513" s="139">
        <f t="shared" si="347"/>
        <v>0</v>
      </c>
      <c r="J513" s="80"/>
      <c r="K513" s="80"/>
      <c r="L513" s="80"/>
    </row>
    <row r="514" spans="1:12" ht="16.5" hidden="1" customHeight="1">
      <c r="A514" s="45"/>
      <c r="B514" s="37" t="s">
        <v>178</v>
      </c>
      <c r="C514" s="21"/>
      <c r="D514" s="83">
        <f t="shared" ref="D514:L514" si="383">D515</f>
        <v>0</v>
      </c>
      <c r="E514" s="83">
        <f t="shared" si="383"/>
        <v>0</v>
      </c>
      <c r="F514" s="83">
        <f t="shared" si="383"/>
        <v>0</v>
      </c>
      <c r="G514" s="83">
        <f t="shared" si="383"/>
        <v>0</v>
      </c>
      <c r="H514" s="83">
        <f t="shared" si="383"/>
        <v>0</v>
      </c>
      <c r="I514" s="139">
        <f t="shared" si="347"/>
        <v>0</v>
      </c>
      <c r="J514" s="83">
        <f t="shared" si="383"/>
        <v>0</v>
      </c>
      <c r="K514" s="83">
        <f t="shared" si="383"/>
        <v>0</v>
      </c>
      <c r="L514" s="83">
        <f t="shared" si="383"/>
        <v>0</v>
      </c>
    </row>
    <row r="515" spans="1:12" ht="18.75" hidden="1" customHeight="1">
      <c r="A515" s="45"/>
      <c r="B515" s="44" t="s">
        <v>207</v>
      </c>
      <c r="C515" s="21">
        <v>70</v>
      </c>
      <c r="D515" s="82"/>
      <c r="E515" s="82"/>
      <c r="F515" s="82"/>
      <c r="G515" s="82"/>
      <c r="H515" s="82"/>
      <c r="I515" s="139">
        <f t="shared" si="347"/>
        <v>0</v>
      </c>
      <c r="J515" s="80"/>
      <c r="K515" s="80"/>
      <c r="L515" s="80"/>
    </row>
    <row r="516" spans="1:12" ht="28.5">
      <c r="A516" s="45" t="s">
        <v>296</v>
      </c>
      <c r="B516" s="61" t="s">
        <v>513</v>
      </c>
      <c r="C516" s="21" t="s">
        <v>297</v>
      </c>
      <c r="D516" s="88">
        <f t="shared" ref="D516:L517" si="384">D517</f>
        <v>10744</v>
      </c>
      <c r="E516" s="88">
        <f t="shared" si="384"/>
        <v>8404</v>
      </c>
      <c r="F516" s="88">
        <f t="shared" si="384"/>
        <v>1600</v>
      </c>
      <c r="G516" s="88">
        <f t="shared" si="384"/>
        <v>500</v>
      </c>
      <c r="H516" s="88">
        <f t="shared" si="384"/>
        <v>240</v>
      </c>
      <c r="I516" s="139">
        <f t="shared" si="347"/>
        <v>10744</v>
      </c>
      <c r="J516" s="88">
        <f t="shared" si="384"/>
        <v>10744</v>
      </c>
      <c r="K516" s="88">
        <f t="shared" si="384"/>
        <v>10744</v>
      </c>
      <c r="L516" s="88">
        <f t="shared" si="384"/>
        <v>10744</v>
      </c>
    </row>
    <row r="517" spans="1:12" ht="14.25">
      <c r="A517" s="45"/>
      <c r="B517" s="35" t="s">
        <v>166</v>
      </c>
      <c r="C517" s="21"/>
      <c r="D517" s="88">
        <f t="shared" si="384"/>
        <v>10744</v>
      </c>
      <c r="E517" s="88">
        <f t="shared" si="384"/>
        <v>8404</v>
      </c>
      <c r="F517" s="88">
        <f t="shared" si="384"/>
        <v>1600</v>
      </c>
      <c r="G517" s="88">
        <f t="shared" si="384"/>
        <v>500</v>
      </c>
      <c r="H517" s="88">
        <f t="shared" si="384"/>
        <v>240</v>
      </c>
      <c r="I517" s="139">
        <f t="shared" si="347"/>
        <v>10744</v>
      </c>
      <c r="J517" s="88">
        <f t="shared" si="384"/>
        <v>10744</v>
      </c>
      <c r="K517" s="88">
        <f t="shared" si="384"/>
        <v>10744</v>
      </c>
      <c r="L517" s="88">
        <f t="shared" si="384"/>
        <v>10744</v>
      </c>
    </row>
    <row r="518" spans="1:12" ht="14.25" customHeight="1">
      <c r="A518" s="45"/>
      <c r="B518" s="44" t="s">
        <v>167</v>
      </c>
      <c r="C518" s="21">
        <v>1</v>
      </c>
      <c r="D518" s="83">
        <f t="shared" ref="D518:L518" si="385">D520+D519+D521</f>
        <v>10744</v>
      </c>
      <c r="E518" s="83">
        <f t="shared" ref="E518:F518" si="386">E520+E519+E521</f>
        <v>8404</v>
      </c>
      <c r="F518" s="83">
        <f t="shared" si="386"/>
        <v>1600</v>
      </c>
      <c r="G518" s="83">
        <f t="shared" ref="G518:H518" si="387">G520+G519+G521</f>
        <v>500</v>
      </c>
      <c r="H518" s="83">
        <f t="shared" si="387"/>
        <v>240</v>
      </c>
      <c r="I518" s="139">
        <f t="shared" si="347"/>
        <v>10744</v>
      </c>
      <c r="J518" s="83">
        <f t="shared" si="385"/>
        <v>10744</v>
      </c>
      <c r="K518" s="83">
        <f t="shared" si="385"/>
        <v>10744</v>
      </c>
      <c r="L518" s="83">
        <f t="shared" si="385"/>
        <v>10744</v>
      </c>
    </row>
    <row r="519" spans="1:12" ht="0.75" customHeight="1">
      <c r="A519" s="45"/>
      <c r="B519" s="62" t="s">
        <v>298</v>
      </c>
      <c r="C519" s="21" t="s">
        <v>299</v>
      </c>
      <c r="D519" s="82"/>
      <c r="E519" s="82"/>
      <c r="F519" s="82"/>
      <c r="G519" s="82"/>
      <c r="H519" s="82"/>
      <c r="I519" s="139">
        <f t="shared" si="347"/>
        <v>0</v>
      </c>
      <c r="J519" s="80"/>
      <c r="K519" s="80"/>
      <c r="L519" s="80"/>
    </row>
    <row r="520" spans="1:12" ht="18.75" customHeight="1">
      <c r="A520" s="32"/>
      <c r="B520" s="32" t="s">
        <v>300</v>
      </c>
      <c r="C520" s="21" t="s">
        <v>301</v>
      </c>
      <c r="D520" s="82">
        <v>10744</v>
      </c>
      <c r="E520" s="82">
        <v>8404</v>
      </c>
      <c r="F520" s="82">
        <v>1600</v>
      </c>
      <c r="G520" s="82">
        <v>500</v>
      </c>
      <c r="H520" s="82">
        <v>240</v>
      </c>
      <c r="I520" s="139">
        <f t="shared" si="347"/>
        <v>10744</v>
      </c>
      <c r="J520" s="82">
        <v>10744</v>
      </c>
      <c r="K520" s="82">
        <v>10744</v>
      </c>
      <c r="L520" s="82">
        <v>10744</v>
      </c>
    </row>
    <row r="521" spans="1:12" ht="0.75" customHeight="1">
      <c r="A521" s="32"/>
      <c r="B521" s="44" t="s">
        <v>570</v>
      </c>
      <c r="C521" s="21"/>
      <c r="D521" s="82"/>
      <c r="E521" s="82"/>
      <c r="F521" s="82"/>
      <c r="G521" s="82"/>
      <c r="H521" s="82"/>
      <c r="I521" s="139">
        <f t="shared" si="347"/>
        <v>0</v>
      </c>
      <c r="J521" s="82"/>
      <c r="K521" s="82"/>
      <c r="L521" s="82"/>
    </row>
    <row r="522" spans="1:12" ht="27" customHeight="1">
      <c r="A522" s="45" t="s">
        <v>302</v>
      </c>
      <c r="B522" s="61" t="s">
        <v>303</v>
      </c>
      <c r="C522" s="21" t="s">
        <v>304</v>
      </c>
      <c r="D522" s="88">
        <f t="shared" ref="D522:L522" si="388">D523+D529</f>
        <v>275</v>
      </c>
      <c r="E522" s="88">
        <f t="shared" ref="E522:F522" si="389">E523+E529</f>
        <v>55</v>
      </c>
      <c r="F522" s="88">
        <f t="shared" si="389"/>
        <v>120</v>
      </c>
      <c r="G522" s="88">
        <f t="shared" ref="G522:H522" si="390">G523+G529</f>
        <v>50</v>
      </c>
      <c r="H522" s="88">
        <f t="shared" si="390"/>
        <v>50</v>
      </c>
      <c r="I522" s="139">
        <f t="shared" si="347"/>
        <v>275</v>
      </c>
      <c r="J522" s="88">
        <f t="shared" si="388"/>
        <v>225</v>
      </c>
      <c r="K522" s="88">
        <f t="shared" si="388"/>
        <v>225</v>
      </c>
      <c r="L522" s="88">
        <f t="shared" si="388"/>
        <v>225</v>
      </c>
    </row>
    <row r="523" spans="1:12" ht="12" customHeight="1">
      <c r="A523" s="45"/>
      <c r="B523" s="35" t="s">
        <v>166</v>
      </c>
      <c r="C523" s="21"/>
      <c r="D523" s="88">
        <f t="shared" ref="D523:L523" si="391">D524</f>
        <v>275</v>
      </c>
      <c r="E523" s="88">
        <f t="shared" si="391"/>
        <v>55</v>
      </c>
      <c r="F523" s="88">
        <f t="shared" si="391"/>
        <v>120</v>
      </c>
      <c r="G523" s="88">
        <f t="shared" si="391"/>
        <v>50</v>
      </c>
      <c r="H523" s="88">
        <f t="shared" si="391"/>
        <v>50</v>
      </c>
      <c r="I523" s="139">
        <f t="shared" si="347"/>
        <v>275</v>
      </c>
      <c r="J523" s="88">
        <f t="shared" si="391"/>
        <v>225</v>
      </c>
      <c r="K523" s="88">
        <f t="shared" si="391"/>
        <v>225</v>
      </c>
      <c r="L523" s="88">
        <f t="shared" si="391"/>
        <v>225</v>
      </c>
    </row>
    <row r="524" spans="1:12" ht="14.25" customHeight="1">
      <c r="A524" s="45"/>
      <c r="B524" s="44" t="s">
        <v>167</v>
      </c>
      <c r="C524" s="21"/>
      <c r="D524" s="83">
        <f t="shared" ref="D524:L524" si="392">D525+D527+D528</f>
        <v>275</v>
      </c>
      <c r="E524" s="83">
        <f t="shared" ref="E524:F524" si="393">E525+E527+E528</f>
        <v>55</v>
      </c>
      <c r="F524" s="83">
        <f t="shared" si="393"/>
        <v>120</v>
      </c>
      <c r="G524" s="83">
        <f t="shared" ref="G524:H524" si="394">G525+G527+G528</f>
        <v>50</v>
      </c>
      <c r="H524" s="83">
        <f t="shared" si="394"/>
        <v>50</v>
      </c>
      <c r="I524" s="139">
        <f t="shared" si="347"/>
        <v>275</v>
      </c>
      <c r="J524" s="83">
        <f t="shared" si="392"/>
        <v>225</v>
      </c>
      <c r="K524" s="83">
        <f t="shared" si="392"/>
        <v>225</v>
      </c>
      <c r="L524" s="83">
        <f t="shared" si="392"/>
        <v>225</v>
      </c>
    </row>
    <row r="525" spans="1:12" ht="14.25" customHeight="1">
      <c r="A525" s="45"/>
      <c r="B525" s="44" t="s">
        <v>518</v>
      </c>
      <c r="C525" s="21">
        <v>10</v>
      </c>
      <c r="D525" s="82">
        <f>60+50</f>
        <v>110</v>
      </c>
      <c r="E525" s="82"/>
      <c r="F525" s="82">
        <f>30+50</f>
        <v>80</v>
      </c>
      <c r="G525" s="82">
        <v>10</v>
      </c>
      <c r="H525" s="82">
        <v>20</v>
      </c>
      <c r="I525" s="139">
        <f t="shared" si="347"/>
        <v>110</v>
      </c>
      <c r="J525" s="80">
        <v>60</v>
      </c>
      <c r="K525" s="80">
        <v>60</v>
      </c>
      <c r="L525" s="80">
        <v>60</v>
      </c>
    </row>
    <row r="526" spans="1:12" ht="0.75" customHeight="1">
      <c r="A526" s="45"/>
      <c r="B526" s="44" t="s">
        <v>519</v>
      </c>
      <c r="C526" s="21"/>
      <c r="D526" s="82"/>
      <c r="E526" s="82"/>
      <c r="F526" s="82"/>
      <c r="G526" s="82"/>
      <c r="H526" s="82"/>
      <c r="I526" s="139">
        <f t="shared" si="347"/>
        <v>0</v>
      </c>
      <c r="J526" s="80"/>
      <c r="K526" s="80"/>
      <c r="L526" s="80"/>
    </row>
    <row r="527" spans="1:12" ht="12.75" customHeight="1">
      <c r="A527" s="45"/>
      <c r="B527" s="44" t="s">
        <v>169</v>
      </c>
      <c r="C527" s="21">
        <v>20</v>
      </c>
      <c r="D527" s="82">
        <v>165</v>
      </c>
      <c r="E527" s="82">
        <v>55</v>
      </c>
      <c r="F527" s="82">
        <v>40</v>
      </c>
      <c r="G527" s="82">
        <v>40</v>
      </c>
      <c r="H527" s="82">
        <v>30</v>
      </c>
      <c r="I527" s="139">
        <f t="shared" si="347"/>
        <v>165</v>
      </c>
      <c r="J527" s="80">
        <v>165</v>
      </c>
      <c r="K527" s="80">
        <v>165</v>
      </c>
      <c r="L527" s="80">
        <v>165</v>
      </c>
    </row>
    <row r="528" spans="1:12" ht="0.75" hidden="1" customHeight="1">
      <c r="A528" s="45"/>
      <c r="B528" s="44" t="s">
        <v>570</v>
      </c>
      <c r="C528" s="21"/>
      <c r="D528" s="82"/>
      <c r="E528" s="82"/>
      <c r="F528" s="82"/>
      <c r="G528" s="82"/>
      <c r="H528" s="82"/>
      <c r="I528" s="139">
        <f t="shared" si="347"/>
        <v>0</v>
      </c>
      <c r="J528" s="80"/>
      <c r="K528" s="80"/>
      <c r="L528" s="80"/>
    </row>
    <row r="529" spans="1:13" ht="14.25" hidden="1" customHeight="1">
      <c r="A529" s="45"/>
      <c r="B529" s="37" t="s">
        <v>178</v>
      </c>
      <c r="C529" s="21"/>
      <c r="D529" s="83">
        <f t="shared" ref="D529:L529" si="395">D530</f>
        <v>0</v>
      </c>
      <c r="E529" s="83"/>
      <c r="F529" s="83"/>
      <c r="G529" s="83"/>
      <c r="H529" s="83"/>
      <c r="I529" s="139">
        <f t="shared" si="347"/>
        <v>0</v>
      </c>
      <c r="J529" s="83">
        <f t="shared" si="395"/>
        <v>0</v>
      </c>
      <c r="K529" s="83">
        <f t="shared" si="395"/>
        <v>0</v>
      </c>
      <c r="L529" s="83">
        <f t="shared" si="395"/>
        <v>0</v>
      </c>
    </row>
    <row r="530" spans="1:13" ht="12" hidden="1" customHeight="1">
      <c r="A530" s="45"/>
      <c r="B530" s="44" t="s">
        <v>207</v>
      </c>
      <c r="C530" s="21">
        <v>70</v>
      </c>
      <c r="D530" s="82"/>
      <c r="E530" s="82"/>
      <c r="F530" s="82"/>
      <c r="G530" s="82"/>
      <c r="H530" s="82"/>
      <c r="I530" s="139">
        <f t="shared" ref="I530:I593" si="396">E530+F530+G530+H530</f>
        <v>0</v>
      </c>
      <c r="J530" s="80"/>
      <c r="K530" s="80"/>
      <c r="L530" s="80"/>
    </row>
    <row r="531" spans="1:13" ht="14.25">
      <c r="A531" s="52">
        <v>2</v>
      </c>
      <c r="B531" s="56" t="s">
        <v>305</v>
      </c>
      <c r="C531" s="105">
        <v>66.02</v>
      </c>
      <c r="D531" s="88">
        <f t="shared" ref="D531:L531" si="397">D532+D540</f>
        <v>57460</v>
      </c>
      <c r="E531" s="88">
        <f t="shared" ref="E531:F531" si="398">E532+E540</f>
        <v>43921</v>
      </c>
      <c r="F531" s="88">
        <f t="shared" si="398"/>
        <v>4742</v>
      </c>
      <c r="G531" s="88">
        <f t="shared" ref="G531:H531" si="399">G532+G540</f>
        <v>4482</v>
      </c>
      <c r="H531" s="88">
        <f t="shared" si="399"/>
        <v>4315</v>
      </c>
      <c r="I531" s="139">
        <f t="shared" si="396"/>
        <v>57460</v>
      </c>
      <c r="J531" s="88">
        <f t="shared" si="397"/>
        <v>11451</v>
      </c>
      <c r="K531" s="88">
        <f t="shared" si="397"/>
        <v>11451</v>
      </c>
      <c r="L531" s="88">
        <f t="shared" si="397"/>
        <v>11451</v>
      </c>
    </row>
    <row r="532" spans="1:13" ht="14.25">
      <c r="A532" s="45" t="s">
        <v>306</v>
      </c>
      <c r="B532" s="37" t="s">
        <v>307</v>
      </c>
      <c r="C532" s="21" t="s">
        <v>308</v>
      </c>
      <c r="D532" s="88">
        <f t="shared" ref="D532:L532" si="400">D533+D537</f>
        <v>51699</v>
      </c>
      <c r="E532" s="88">
        <f t="shared" ref="E532:F532" si="401">E533+E537</f>
        <v>42439</v>
      </c>
      <c r="F532" s="88">
        <f t="shared" si="401"/>
        <v>3260</v>
      </c>
      <c r="G532" s="88">
        <f t="shared" ref="G532:H532" si="402">G533+G537</f>
        <v>3000</v>
      </c>
      <c r="H532" s="88">
        <f t="shared" si="402"/>
        <v>3000</v>
      </c>
      <c r="I532" s="139">
        <f t="shared" si="396"/>
        <v>51699</v>
      </c>
      <c r="J532" s="88">
        <f t="shared" si="400"/>
        <v>5000</v>
      </c>
      <c r="K532" s="88">
        <f t="shared" si="400"/>
        <v>5000</v>
      </c>
      <c r="L532" s="88">
        <f t="shared" si="400"/>
        <v>5000</v>
      </c>
    </row>
    <row r="533" spans="1:13" ht="14.25">
      <c r="A533" s="45"/>
      <c r="B533" s="35" t="s">
        <v>166</v>
      </c>
      <c r="C533" s="21"/>
      <c r="D533" s="88">
        <f t="shared" ref="D533:L535" si="403">D534</f>
        <v>10260</v>
      </c>
      <c r="E533" s="88">
        <f t="shared" si="403"/>
        <v>1000</v>
      </c>
      <c r="F533" s="88">
        <f t="shared" si="403"/>
        <v>3260</v>
      </c>
      <c r="G533" s="88">
        <f t="shared" si="403"/>
        <v>3000</v>
      </c>
      <c r="H533" s="88">
        <f t="shared" si="403"/>
        <v>3000</v>
      </c>
      <c r="I533" s="139">
        <f t="shared" si="396"/>
        <v>10260</v>
      </c>
      <c r="J533" s="88">
        <f t="shared" si="403"/>
        <v>5000</v>
      </c>
      <c r="K533" s="88">
        <f t="shared" si="403"/>
        <v>5000</v>
      </c>
      <c r="L533" s="88">
        <f t="shared" si="403"/>
        <v>5000</v>
      </c>
    </row>
    <row r="534" spans="1:13" ht="15">
      <c r="A534" s="45"/>
      <c r="B534" s="44" t="s">
        <v>167</v>
      </c>
      <c r="C534" s="21">
        <v>1</v>
      </c>
      <c r="D534" s="83">
        <f t="shared" si="403"/>
        <v>10260</v>
      </c>
      <c r="E534" s="83">
        <f t="shared" si="403"/>
        <v>1000</v>
      </c>
      <c r="F534" s="83">
        <f t="shared" si="403"/>
        <v>3260</v>
      </c>
      <c r="G534" s="83">
        <f t="shared" si="403"/>
        <v>3000</v>
      </c>
      <c r="H534" s="83">
        <f t="shared" si="403"/>
        <v>3000</v>
      </c>
      <c r="I534" s="139">
        <f t="shared" si="396"/>
        <v>10260</v>
      </c>
      <c r="J534" s="83">
        <f t="shared" si="403"/>
        <v>5000</v>
      </c>
      <c r="K534" s="83">
        <f t="shared" si="403"/>
        <v>5000</v>
      </c>
      <c r="L534" s="83">
        <f t="shared" si="403"/>
        <v>5000</v>
      </c>
    </row>
    <row r="535" spans="1:13" ht="15">
      <c r="A535" s="45"/>
      <c r="B535" s="44" t="s">
        <v>309</v>
      </c>
      <c r="C535" s="99" t="s">
        <v>310</v>
      </c>
      <c r="D535" s="83">
        <f t="shared" si="403"/>
        <v>10260</v>
      </c>
      <c r="E535" s="83">
        <f t="shared" si="403"/>
        <v>1000</v>
      </c>
      <c r="F535" s="83">
        <f t="shared" si="403"/>
        <v>3260</v>
      </c>
      <c r="G535" s="83">
        <f t="shared" si="403"/>
        <v>3000</v>
      </c>
      <c r="H535" s="83">
        <f t="shared" si="403"/>
        <v>3000</v>
      </c>
      <c r="I535" s="139">
        <f t="shared" si="396"/>
        <v>10260</v>
      </c>
      <c r="J535" s="83">
        <f t="shared" si="403"/>
        <v>5000</v>
      </c>
      <c r="K535" s="83">
        <f t="shared" si="403"/>
        <v>5000</v>
      </c>
      <c r="L535" s="83">
        <f t="shared" si="403"/>
        <v>5000</v>
      </c>
    </row>
    <row r="536" spans="1:13" ht="15">
      <c r="A536" s="45"/>
      <c r="B536" s="44" t="s">
        <v>311</v>
      </c>
      <c r="C536" s="99" t="s">
        <v>312</v>
      </c>
      <c r="D536" s="82">
        <f>10000+260</f>
        <v>10260</v>
      </c>
      <c r="E536" s="82">
        <v>1000</v>
      </c>
      <c r="F536" s="82">
        <v>3260</v>
      </c>
      <c r="G536" s="82">
        <v>3000</v>
      </c>
      <c r="H536" s="82">
        <v>3000</v>
      </c>
      <c r="I536" s="139">
        <f t="shared" si="396"/>
        <v>10260</v>
      </c>
      <c r="J536" s="80">
        <v>5000</v>
      </c>
      <c r="K536" s="80">
        <v>5000</v>
      </c>
      <c r="L536" s="80">
        <v>5000</v>
      </c>
    </row>
    <row r="537" spans="1:13" ht="14.25">
      <c r="A537" s="45"/>
      <c r="B537" s="37" t="s">
        <v>178</v>
      </c>
      <c r="C537" s="21"/>
      <c r="D537" s="83">
        <f t="shared" ref="D537:L537" si="404">D538+D539</f>
        <v>41439</v>
      </c>
      <c r="E537" s="83">
        <f t="shared" ref="E537:F537" si="405">E538+E539</f>
        <v>41439</v>
      </c>
      <c r="F537" s="83">
        <f t="shared" si="405"/>
        <v>0</v>
      </c>
      <c r="G537" s="83">
        <f t="shared" ref="G537:H537" si="406">G538+G539</f>
        <v>0</v>
      </c>
      <c r="H537" s="83">
        <f t="shared" si="406"/>
        <v>0</v>
      </c>
      <c r="I537" s="139">
        <f t="shared" si="396"/>
        <v>41439</v>
      </c>
      <c r="J537" s="83">
        <f t="shared" si="404"/>
        <v>0</v>
      </c>
      <c r="K537" s="83">
        <f t="shared" si="404"/>
        <v>0</v>
      </c>
      <c r="L537" s="83">
        <f t="shared" si="404"/>
        <v>0</v>
      </c>
    </row>
    <row r="538" spans="1:13" ht="19.5" customHeight="1">
      <c r="A538" s="45"/>
      <c r="B538" s="44" t="s">
        <v>271</v>
      </c>
      <c r="C538" s="21" t="s">
        <v>181</v>
      </c>
      <c r="D538" s="82">
        <v>41439</v>
      </c>
      <c r="E538" s="82">
        <v>41439</v>
      </c>
      <c r="F538" s="82"/>
      <c r="G538" s="82"/>
      <c r="H538" s="82"/>
      <c r="I538" s="139">
        <f t="shared" si="396"/>
        <v>41439</v>
      </c>
      <c r="J538" s="80"/>
      <c r="K538" s="80"/>
      <c r="L538" s="80"/>
    </row>
    <row r="539" spans="1:13" ht="0.75" customHeight="1">
      <c r="A539" s="45"/>
      <c r="B539" s="44" t="s">
        <v>182</v>
      </c>
      <c r="C539" s="21" t="s">
        <v>183</v>
      </c>
      <c r="D539" s="82">
        <v>0</v>
      </c>
      <c r="E539" s="82">
        <v>0</v>
      </c>
      <c r="F539" s="82">
        <v>0</v>
      </c>
      <c r="G539" s="82">
        <v>0</v>
      </c>
      <c r="H539" s="82">
        <v>0</v>
      </c>
      <c r="I539" s="139">
        <f t="shared" si="396"/>
        <v>0</v>
      </c>
      <c r="J539" s="80"/>
      <c r="K539" s="80"/>
      <c r="L539" s="80"/>
    </row>
    <row r="540" spans="1:13" ht="28.5">
      <c r="A540" s="45" t="s">
        <v>313</v>
      </c>
      <c r="B540" s="42" t="s">
        <v>314</v>
      </c>
      <c r="C540" s="21" t="s">
        <v>315</v>
      </c>
      <c r="D540" s="88">
        <f t="shared" ref="D540:L543" si="407">D544+D550+D556+D562+D568</f>
        <v>5761</v>
      </c>
      <c r="E540" s="88">
        <f t="shared" ref="E540:F540" si="408">E544+E550+E556+E562+E568</f>
        <v>1482</v>
      </c>
      <c r="F540" s="88">
        <f t="shared" si="408"/>
        <v>1482</v>
      </c>
      <c r="G540" s="88">
        <f t="shared" ref="G540:H540" si="409">G544+G550+G556+G562+G568</f>
        <v>1482</v>
      </c>
      <c r="H540" s="88">
        <f t="shared" si="409"/>
        <v>1315</v>
      </c>
      <c r="I540" s="139">
        <f t="shared" si="396"/>
        <v>5761</v>
      </c>
      <c r="J540" s="88">
        <f t="shared" si="407"/>
        <v>6451</v>
      </c>
      <c r="K540" s="88">
        <f t="shared" si="407"/>
        <v>6451</v>
      </c>
      <c r="L540" s="88">
        <f t="shared" si="407"/>
        <v>6451</v>
      </c>
    </row>
    <row r="541" spans="1:13" ht="14.25">
      <c r="A541" s="45"/>
      <c r="B541" s="35" t="s">
        <v>166</v>
      </c>
      <c r="C541" s="21"/>
      <c r="D541" s="88">
        <f t="shared" si="407"/>
        <v>5761</v>
      </c>
      <c r="E541" s="88">
        <f t="shared" ref="E541:F541" si="410">E545+E551+E557+E563+E569</f>
        <v>1482</v>
      </c>
      <c r="F541" s="88">
        <f t="shared" si="410"/>
        <v>1482</v>
      </c>
      <c r="G541" s="88">
        <f t="shared" ref="G541:H541" si="411">G545+G551+G557+G563+G569</f>
        <v>1482</v>
      </c>
      <c r="H541" s="88">
        <f t="shared" si="411"/>
        <v>1315</v>
      </c>
      <c r="I541" s="139">
        <f t="shared" si="396"/>
        <v>5761</v>
      </c>
      <c r="J541" s="88">
        <f t="shared" si="407"/>
        <v>6451</v>
      </c>
      <c r="K541" s="88">
        <f t="shared" si="407"/>
        <v>6451</v>
      </c>
      <c r="L541" s="88">
        <f t="shared" si="407"/>
        <v>6451</v>
      </c>
    </row>
    <row r="542" spans="1:13" ht="15">
      <c r="A542" s="45"/>
      <c r="B542" s="44" t="s">
        <v>167</v>
      </c>
      <c r="C542" s="21"/>
      <c r="D542" s="83">
        <f t="shared" si="407"/>
        <v>5761</v>
      </c>
      <c r="E542" s="83">
        <f t="shared" ref="E542:F542" si="412">E546+E552+E558+E564+E570</f>
        <v>1482</v>
      </c>
      <c r="F542" s="83">
        <f t="shared" si="412"/>
        <v>1482</v>
      </c>
      <c r="G542" s="83">
        <f t="shared" ref="G542:H542" si="413">G546+G552+G558+G564+G570</f>
        <v>1482</v>
      </c>
      <c r="H542" s="83">
        <f t="shared" si="413"/>
        <v>1315</v>
      </c>
      <c r="I542" s="139">
        <f t="shared" si="396"/>
        <v>5761</v>
      </c>
      <c r="J542" s="83">
        <f t="shared" si="407"/>
        <v>6451</v>
      </c>
      <c r="K542" s="83">
        <f t="shared" si="407"/>
        <v>6451</v>
      </c>
      <c r="L542" s="83">
        <f t="shared" si="407"/>
        <v>6451</v>
      </c>
    </row>
    <row r="543" spans="1:13" ht="15">
      <c r="A543" s="45"/>
      <c r="B543" s="44" t="s">
        <v>316</v>
      </c>
      <c r="C543" s="21" t="s">
        <v>317</v>
      </c>
      <c r="D543" s="83">
        <f t="shared" si="407"/>
        <v>5761</v>
      </c>
      <c r="E543" s="83">
        <f t="shared" ref="E543:F543" si="414">E547+E553+E559+E565+E571</f>
        <v>1482</v>
      </c>
      <c r="F543" s="83">
        <f t="shared" si="414"/>
        <v>1482</v>
      </c>
      <c r="G543" s="83">
        <f t="shared" ref="G543:H543" si="415">G547+G553+G559+G565+G571</f>
        <v>1482</v>
      </c>
      <c r="H543" s="83">
        <f t="shared" si="415"/>
        <v>1315</v>
      </c>
      <c r="I543" s="139">
        <f t="shared" si="396"/>
        <v>5761</v>
      </c>
      <c r="J543" s="83">
        <f t="shared" si="407"/>
        <v>6451</v>
      </c>
      <c r="K543" s="83">
        <f t="shared" si="407"/>
        <v>6451</v>
      </c>
      <c r="L543" s="83">
        <f t="shared" si="407"/>
        <v>6451</v>
      </c>
    </row>
    <row r="544" spans="1:13" ht="28.5">
      <c r="A544" s="45" t="s">
        <v>318</v>
      </c>
      <c r="B544" s="61" t="s">
        <v>319</v>
      </c>
      <c r="C544" s="21" t="s">
        <v>315</v>
      </c>
      <c r="D544" s="88">
        <f t="shared" ref="D544:L546" si="416">D545</f>
        <v>1270</v>
      </c>
      <c r="E544" s="88">
        <f t="shared" si="416"/>
        <v>332</v>
      </c>
      <c r="F544" s="88">
        <f t="shared" si="416"/>
        <v>320</v>
      </c>
      <c r="G544" s="88">
        <f t="shared" si="416"/>
        <v>324</v>
      </c>
      <c r="H544" s="88">
        <f t="shared" si="416"/>
        <v>294</v>
      </c>
      <c r="I544" s="139">
        <f t="shared" si="396"/>
        <v>1270</v>
      </c>
      <c r="J544" s="88">
        <f t="shared" si="416"/>
        <v>1320</v>
      </c>
      <c r="K544" s="88">
        <f t="shared" si="416"/>
        <v>1320</v>
      </c>
      <c r="L544" s="88">
        <f t="shared" si="416"/>
        <v>1320</v>
      </c>
      <c r="M544" s="159"/>
    </row>
    <row r="545" spans="1:13" ht="14.25">
      <c r="A545" s="45"/>
      <c r="B545" s="35" t="s">
        <v>166</v>
      </c>
      <c r="C545" s="21"/>
      <c r="D545" s="88">
        <f t="shared" si="416"/>
        <v>1270</v>
      </c>
      <c r="E545" s="88">
        <f t="shared" si="416"/>
        <v>332</v>
      </c>
      <c r="F545" s="88">
        <f t="shared" si="416"/>
        <v>320</v>
      </c>
      <c r="G545" s="88">
        <f t="shared" si="416"/>
        <v>324</v>
      </c>
      <c r="H545" s="88">
        <f t="shared" si="416"/>
        <v>294</v>
      </c>
      <c r="I545" s="139">
        <f t="shared" si="396"/>
        <v>1270</v>
      </c>
      <c r="J545" s="88">
        <f t="shared" si="416"/>
        <v>1320</v>
      </c>
      <c r="K545" s="88">
        <f t="shared" si="416"/>
        <v>1320</v>
      </c>
      <c r="L545" s="88">
        <f t="shared" si="416"/>
        <v>1320</v>
      </c>
    </row>
    <row r="546" spans="1:13" ht="15">
      <c r="A546" s="45"/>
      <c r="B546" s="44" t="s">
        <v>167</v>
      </c>
      <c r="C546" s="21">
        <v>0.1</v>
      </c>
      <c r="D546" s="83">
        <f t="shared" si="416"/>
        <v>1270</v>
      </c>
      <c r="E546" s="83">
        <f t="shared" si="416"/>
        <v>332</v>
      </c>
      <c r="F546" s="83">
        <f t="shared" si="416"/>
        <v>320</v>
      </c>
      <c r="G546" s="83">
        <f t="shared" si="416"/>
        <v>324</v>
      </c>
      <c r="H546" s="83">
        <f t="shared" si="416"/>
        <v>294</v>
      </c>
      <c r="I546" s="139">
        <f t="shared" si="396"/>
        <v>1270</v>
      </c>
      <c r="J546" s="83">
        <f t="shared" si="416"/>
        <v>1320</v>
      </c>
      <c r="K546" s="83">
        <f t="shared" si="416"/>
        <v>1320</v>
      </c>
      <c r="L546" s="83">
        <f t="shared" si="416"/>
        <v>1320</v>
      </c>
    </row>
    <row r="547" spans="1:13" ht="15">
      <c r="A547" s="45"/>
      <c r="B547" s="44" t="s">
        <v>316</v>
      </c>
      <c r="C547" s="21" t="s">
        <v>317</v>
      </c>
      <c r="D547" s="83">
        <f t="shared" ref="D547:L547" si="417">D548+D549</f>
        <v>1270</v>
      </c>
      <c r="E547" s="83">
        <f t="shared" ref="E547:F547" si="418">E548+E549</f>
        <v>332</v>
      </c>
      <c r="F547" s="83">
        <f t="shared" si="418"/>
        <v>320</v>
      </c>
      <c r="G547" s="83">
        <f t="shared" ref="G547:H547" si="419">G548+G549</f>
        <v>324</v>
      </c>
      <c r="H547" s="83">
        <f t="shared" si="419"/>
        <v>294</v>
      </c>
      <c r="I547" s="139">
        <f t="shared" si="396"/>
        <v>1270</v>
      </c>
      <c r="J547" s="83">
        <f t="shared" si="417"/>
        <v>1320</v>
      </c>
      <c r="K547" s="83">
        <f t="shared" si="417"/>
        <v>1320</v>
      </c>
      <c r="L547" s="83">
        <f t="shared" si="417"/>
        <v>1320</v>
      </c>
    </row>
    <row r="548" spans="1:13" ht="15">
      <c r="A548" s="45"/>
      <c r="B548" s="44" t="s">
        <v>168</v>
      </c>
      <c r="C548" s="21">
        <v>10</v>
      </c>
      <c r="D548" s="82">
        <f>1290-31</f>
        <v>1259</v>
      </c>
      <c r="E548" s="82">
        <f>330-5</f>
        <v>325</v>
      </c>
      <c r="F548" s="82">
        <v>320</v>
      </c>
      <c r="G548" s="82">
        <v>320</v>
      </c>
      <c r="H548" s="82">
        <v>294</v>
      </c>
      <c r="I548" s="139">
        <f t="shared" si="396"/>
        <v>1259</v>
      </c>
      <c r="J548" s="80">
        <v>1300</v>
      </c>
      <c r="K548" s="80">
        <v>1300</v>
      </c>
      <c r="L548" s="80">
        <v>1300</v>
      </c>
    </row>
    <row r="549" spans="1:13" ht="15">
      <c r="A549" s="45"/>
      <c r="B549" s="44" t="s">
        <v>169</v>
      </c>
      <c r="C549" s="21">
        <v>20</v>
      </c>
      <c r="D549" s="82">
        <f>20-9</f>
        <v>11</v>
      </c>
      <c r="E549" s="82">
        <v>7</v>
      </c>
      <c r="F549" s="82">
        <v>0</v>
      </c>
      <c r="G549" s="82">
        <v>4</v>
      </c>
      <c r="H549" s="82">
        <v>0</v>
      </c>
      <c r="I549" s="139">
        <f t="shared" si="396"/>
        <v>11</v>
      </c>
      <c r="J549" s="80">
        <v>20</v>
      </c>
      <c r="K549" s="80">
        <v>20</v>
      </c>
      <c r="L549" s="80">
        <v>20</v>
      </c>
    </row>
    <row r="550" spans="1:13" ht="28.5">
      <c r="A550" s="45" t="s">
        <v>320</v>
      </c>
      <c r="B550" s="61" t="s">
        <v>321</v>
      </c>
      <c r="C550" s="21" t="s">
        <v>315</v>
      </c>
      <c r="D550" s="88">
        <f t="shared" ref="D550:L552" si="420">D551</f>
        <v>513</v>
      </c>
      <c r="E550" s="88">
        <f t="shared" si="420"/>
        <v>135</v>
      </c>
      <c r="F550" s="88">
        <f t="shared" si="420"/>
        <v>130</v>
      </c>
      <c r="G550" s="88">
        <f t="shared" si="420"/>
        <v>130</v>
      </c>
      <c r="H550" s="88">
        <f t="shared" si="420"/>
        <v>118</v>
      </c>
      <c r="I550" s="139">
        <f t="shared" si="396"/>
        <v>513</v>
      </c>
      <c r="J550" s="88">
        <f t="shared" si="420"/>
        <v>605</v>
      </c>
      <c r="K550" s="88">
        <f t="shared" si="420"/>
        <v>605</v>
      </c>
      <c r="L550" s="88">
        <f t="shared" si="420"/>
        <v>605</v>
      </c>
      <c r="M550" s="159"/>
    </row>
    <row r="551" spans="1:13" ht="14.25">
      <c r="A551" s="45"/>
      <c r="B551" s="35" t="s">
        <v>166</v>
      </c>
      <c r="C551" s="21"/>
      <c r="D551" s="83">
        <f t="shared" si="420"/>
        <v>513</v>
      </c>
      <c r="E551" s="83">
        <f t="shared" si="420"/>
        <v>135</v>
      </c>
      <c r="F551" s="83">
        <f t="shared" si="420"/>
        <v>130</v>
      </c>
      <c r="G551" s="83">
        <f t="shared" si="420"/>
        <v>130</v>
      </c>
      <c r="H551" s="83">
        <f t="shared" si="420"/>
        <v>118</v>
      </c>
      <c r="I551" s="139">
        <f t="shared" si="396"/>
        <v>513</v>
      </c>
      <c r="J551" s="83">
        <f t="shared" si="420"/>
        <v>605</v>
      </c>
      <c r="K551" s="83">
        <f t="shared" si="420"/>
        <v>605</v>
      </c>
      <c r="L551" s="83">
        <f t="shared" si="420"/>
        <v>605</v>
      </c>
    </row>
    <row r="552" spans="1:13" ht="15">
      <c r="A552" s="45"/>
      <c r="B552" s="44" t="s">
        <v>167</v>
      </c>
      <c r="C552" s="21"/>
      <c r="D552" s="83">
        <f t="shared" si="420"/>
        <v>513</v>
      </c>
      <c r="E552" s="83">
        <f t="shared" si="420"/>
        <v>135</v>
      </c>
      <c r="F552" s="83">
        <f t="shared" si="420"/>
        <v>130</v>
      </c>
      <c r="G552" s="83">
        <f t="shared" si="420"/>
        <v>130</v>
      </c>
      <c r="H552" s="83">
        <f t="shared" si="420"/>
        <v>118</v>
      </c>
      <c r="I552" s="139">
        <f t="shared" si="396"/>
        <v>513</v>
      </c>
      <c r="J552" s="83">
        <f t="shared" si="420"/>
        <v>605</v>
      </c>
      <c r="K552" s="83">
        <f t="shared" si="420"/>
        <v>605</v>
      </c>
      <c r="L552" s="83">
        <f t="shared" si="420"/>
        <v>605</v>
      </c>
    </row>
    <row r="553" spans="1:13" ht="15">
      <c r="A553" s="45"/>
      <c r="B553" s="44" t="s">
        <v>316</v>
      </c>
      <c r="C553" s="21" t="s">
        <v>317</v>
      </c>
      <c r="D553" s="83">
        <f t="shared" ref="D553:L553" si="421">D554+D555</f>
        <v>513</v>
      </c>
      <c r="E553" s="83">
        <f t="shared" ref="E553:F553" si="422">E554+E555</f>
        <v>135</v>
      </c>
      <c r="F553" s="83">
        <f t="shared" si="422"/>
        <v>130</v>
      </c>
      <c r="G553" s="83">
        <f t="shared" ref="G553:H553" si="423">G554+G555</f>
        <v>130</v>
      </c>
      <c r="H553" s="83">
        <f t="shared" si="423"/>
        <v>118</v>
      </c>
      <c r="I553" s="139">
        <f t="shared" si="396"/>
        <v>513</v>
      </c>
      <c r="J553" s="83">
        <f t="shared" si="421"/>
        <v>605</v>
      </c>
      <c r="K553" s="83">
        <f t="shared" si="421"/>
        <v>605</v>
      </c>
      <c r="L553" s="83">
        <f t="shared" si="421"/>
        <v>605</v>
      </c>
    </row>
    <row r="554" spans="1:13" ht="15">
      <c r="A554" s="45"/>
      <c r="B554" s="44" t="s">
        <v>168</v>
      </c>
      <c r="C554" s="21">
        <v>10</v>
      </c>
      <c r="D554" s="82">
        <f>543-60</f>
        <v>483</v>
      </c>
      <c r="E554" s="82">
        <f>140-10</f>
        <v>130</v>
      </c>
      <c r="F554" s="82">
        <f>140-20</f>
        <v>120</v>
      </c>
      <c r="G554" s="82">
        <f>140-20</f>
        <v>120</v>
      </c>
      <c r="H554" s="82">
        <f>123-10</f>
        <v>113</v>
      </c>
      <c r="I554" s="139">
        <f t="shared" si="396"/>
        <v>483</v>
      </c>
      <c r="J554" s="80">
        <v>545</v>
      </c>
      <c r="K554" s="80">
        <v>545</v>
      </c>
      <c r="L554" s="80">
        <v>545</v>
      </c>
    </row>
    <row r="555" spans="1:13" ht="15">
      <c r="A555" s="45"/>
      <c r="B555" s="44" t="s">
        <v>169</v>
      </c>
      <c r="C555" s="21">
        <v>20</v>
      </c>
      <c r="D555" s="82">
        <f>55-25</f>
        <v>30</v>
      </c>
      <c r="E555" s="82">
        <f>10-5</f>
        <v>5</v>
      </c>
      <c r="F555" s="82">
        <f>15-5</f>
        <v>10</v>
      </c>
      <c r="G555" s="82">
        <f>15-5</f>
        <v>10</v>
      </c>
      <c r="H555" s="82">
        <f>15-10</f>
        <v>5</v>
      </c>
      <c r="I555" s="139">
        <f t="shared" si="396"/>
        <v>30</v>
      </c>
      <c r="J555" s="80">
        <v>60</v>
      </c>
      <c r="K555" s="80">
        <v>60</v>
      </c>
      <c r="L555" s="80">
        <v>60</v>
      </c>
    </row>
    <row r="556" spans="1:13" ht="28.5" customHeight="1">
      <c r="A556" s="45" t="s">
        <v>322</v>
      </c>
      <c r="B556" s="42" t="s">
        <v>323</v>
      </c>
      <c r="C556" s="21" t="s">
        <v>315</v>
      </c>
      <c r="D556" s="88">
        <f t="shared" ref="D556:L558" si="424">D557</f>
        <v>2369</v>
      </c>
      <c r="E556" s="88">
        <f t="shared" si="424"/>
        <v>601</v>
      </c>
      <c r="F556" s="88">
        <f t="shared" si="424"/>
        <v>616</v>
      </c>
      <c r="G556" s="88">
        <f t="shared" si="424"/>
        <v>611</v>
      </c>
      <c r="H556" s="88">
        <f t="shared" si="424"/>
        <v>541</v>
      </c>
      <c r="I556" s="139">
        <f t="shared" si="396"/>
        <v>2369</v>
      </c>
      <c r="J556" s="88">
        <f t="shared" si="424"/>
        <v>2670</v>
      </c>
      <c r="K556" s="88">
        <f t="shared" si="424"/>
        <v>2670</v>
      </c>
      <c r="L556" s="88">
        <f t="shared" si="424"/>
        <v>2670</v>
      </c>
    </row>
    <row r="557" spans="1:13" ht="14.25">
      <c r="A557" s="45"/>
      <c r="B557" s="35" t="s">
        <v>166</v>
      </c>
      <c r="C557" s="21"/>
      <c r="D557" s="88">
        <f t="shared" si="424"/>
        <v>2369</v>
      </c>
      <c r="E557" s="88">
        <f t="shared" si="424"/>
        <v>601</v>
      </c>
      <c r="F557" s="88">
        <f t="shared" si="424"/>
        <v>616</v>
      </c>
      <c r="G557" s="88">
        <f t="shared" si="424"/>
        <v>611</v>
      </c>
      <c r="H557" s="88">
        <f t="shared" si="424"/>
        <v>541</v>
      </c>
      <c r="I557" s="139">
        <f t="shared" si="396"/>
        <v>2369</v>
      </c>
      <c r="J557" s="88">
        <f t="shared" si="424"/>
        <v>2670</v>
      </c>
      <c r="K557" s="88">
        <f t="shared" si="424"/>
        <v>2670</v>
      </c>
      <c r="L557" s="88">
        <f t="shared" si="424"/>
        <v>2670</v>
      </c>
    </row>
    <row r="558" spans="1:13" ht="15">
      <c r="A558" s="45"/>
      <c r="B558" s="44" t="s">
        <v>167</v>
      </c>
      <c r="C558" s="21">
        <v>1</v>
      </c>
      <c r="D558" s="83">
        <f t="shared" si="424"/>
        <v>2369</v>
      </c>
      <c r="E558" s="83">
        <f t="shared" si="424"/>
        <v>601</v>
      </c>
      <c r="F558" s="83">
        <f t="shared" si="424"/>
        <v>616</v>
      </c>
      <c r="G558" s="83">
        <f t="shared" si="424"/>
        <v>611</v>
      </c>
      <c r="H558" s="83">
        <f t="shared" si="424"/>
        <v>541</v>
      </c>
      <c r="I558" s="139">
        <f t="shared" si="396"/>
        <v>2369</v>
      </c>
      <c r="J558" s="83">
        <f t="shared" si="424"/>
        <v>2670</v>
      </c>
      <c r="K558" s="83">
        <f t="shared" si="424"/>
        <v>2670</v>
      </c>
      <c r="L558" s="83">
        <f t="shared" si="424"/>
        <v>2670</v>
      </c>
    </row>
    <row r="559" spans="1:13" ht="15">
      <c r="A559" s="45"/>
      <c r="B559" s="44" t="s">
        <v>316</v>
      </c>
      <c r="C559" s="21" t="s">
        <v>317</v>
      </c>
      <c r="D559" s="83">
        <f t="shared" ref="D559:L559" si="425">D560+D561</f>
        <v>2369</v>
      </c>
      <c r="E559" s="83">
        <f t="shared" ref="E559:F559" si="426">E560+E561</f>
        <v>601</v>
      </c>
      <c r="F559" s="83">
        <f t="shared" si="426"/>
        <v>616</v>
      </c>
      <c r="G559" s="83">
        <f t="shared" ref="G559:H559" si="427">G560+G561</f>
        <v>611</v>
      </c>
      <c r="H559" s="83">
        <f t="shared" si="427"/>
        <v>541</v>
      </c>
      <c r="I559" s="139">
        <f t="shared" si="396"/>
        <v>2369</v>
      </c>
      <c r="J559" s="83">
        <f t="shared" si="425"/>
        <v>2670</v>
      </c>
      <c r="K559" s="83">
        <f t="shared" si="425"/>
        <v>2670</v>
      </c>
      <c r="L559" s="83">
        <f t="shared" si="425"/>
        <v>2670</v>
      </c>
    </row>
    <row r="560" spans="1:13" ht="15">
      <c r="A560" s="45"/>
      <c r="B560" s="44" t="s">
        <v>168</v>
      </c>
      <c r="C560" s="21">
        <v>10</v>
      </c>
      <c r="D560" s="82">
        <f>2330-63</f>
        <v>2267</v>
      </c>
      <c r="E560" s="82">
        <f>600-24</f>
        <v>576</v>
      </c>
      <c r="F560" s="82">
        <f>600-29</f>
        <v>571</v>
      </c>
      <c r="G560" s="82">
        <f>600-10</f>
        <v>590</v>
      </c>
      <c r="H560" s="82">
        <v>530</v>
      </c>
      <c r="I560" s="139">
        <f t="shared" si="396"/>
        <v>2267</v>
      </c>
      <c r="J560" s="80">
        <v>2500</v>
      </c>
      <c r="K560" s="80">
        <v>2500</v>
      </c>
      <c r="L560" s="80">
        <v>2500</v>
      </c>
    </row>
    <row r="561" spans="1:12" ht="15">
      <c r="A561" s="45"/>
      <c r="B561" s="44" t="s">
        <v>169</v>
      </c>
      <c r="C561" s="21">
        <v>20</v>
      </c>
      <c r="D561" s="82">
        <f>170-68</f>
        <v>102</v>
      </c>
      <c r="E561" s="82">
        <f>30-5</f>
        <v>25</v>
      </c>
      <c r="F561" s="82">
        <f>50-5</f>
        <v>45</v>
      </c>
      <c r="G561" s="82">
        <f>50-29</f>
        <v>21</v>
      </c>
      <c r="H561" s="82">
        <f>40-29</f>
        <v>11</v>
      </c>
      <c r="I561" s="139">
        <f t="shared" si="396"/>
        <v>102</v>
      </c>
      <c r="J561" s="80">
        <v>170</v>
      </c>
      <c r="K561" s="80">
        <v>170</v>
      </c>
      <c r="L561" s="80">
        <v>170</v>
      </c>
    </row>
    <row r="562" spans="1:12" ht="28.5">
      <c r="A562" s="45" t="s">
        <v>324</v>
      </c>
      <c r="B562" s="61" t="s">
        <v>325</v>
      </c>
      <c r="C562" s="21" t="s">
        <v>315</v>
      </c>
      <c r="D562" s="88">
        <f t="shared" ref="D562:L564" si="428">D563</f>
        <v>836</v>
      </c>
      <c r="E562" s="88">
        <f t="shared" si="428"/>
        <v>215</v>
      </c>
      <c r="F562" s="88">
        <f t="shared" si="428"/>
        <v>219</v>
      </c>
      <c r="G562" s="88">
        <f t="shared" si="428"/>
        <v>219</v>
      </c>
      <c r="H562" s="88">
        <f t="shared" si="428"/>
        <v>183</v>
      </c>
      <c r="I562" s="139">
        <f t="shared" si="396"/>
        <v>836</v>
      </c>
      <c r="J562" s="88">
        <f t="shared" si="428"/>
        <v>915</v>
      </c>
      <c r="K562" s="88">
        <f t="shared" si="428"/>
        <v>915</v>
      </c>
      <c r="L562" s="88">
        <f t="shared" si="428"/>
        <v>915</v>
      </c>
    </row>
    <row r="563" spans="1:12" ht="14.25">
      <c r="A563" s="45"/>
      <c r="B563" s="35" t="s">
        <v>166</v>
      </c>
      <c r="C563" s="21"/>
      <c r="D563" s="88">
        <f t="shared" si="428"/>
        <v>836</v>
      </c>
      <c r="E563" s="88">
        <f t="shared" si="428"/>
        <v>215</v>
      </c>
      <c r="F563" s="88">
        <f t="shared" si="428"/>
        <v>219</v>
      </c>
      <c r="G563" s="88">
        <f t="shared" si="428"/>
        <v>219</v>
      </c>
      <c r="H563" s="88">
        <f t="shared" si="428"/>
        <v>183</v>
      </c>
      <c r="I563" s="139">
        <f t="shared" si="396"/>
        <v>836</v>
      </c>
      <c r="J563" s="88">
        <f t="shared" si="428"/>
        <v>915</v>
      </c>
      <c r="K563" s="88">
        <f t="shared" si="428"/>
        <v>915</v>
      </c>
      <c r="L563" s="88">
        <f t="shared" si="428"/>
        <v>915</v>
      </c>
    </row>
    <row r="564" spans="1:12" ht="15">
      <c r="A564" s="45"/>
      <c r="B564" s="44" t="s">
        <v>167</v>
      </c>
      <c r="C564" s="21">
        <v>1</v>
      </c>
      <c r="D564" s="83">
        <f t="shared" si="428"/>
        <v>836</v>
      </c>
      <c r="E564" s="83">
        <f t="shared" si="428"/>
        <v>215</v>
      </c>
      <c r="F564" s="83">
        <f t="shared" si="428"/>
        <v>219</v>
      </c>
      <c r="G564" s="83">
        <f t="shared" si="428"/>
        <v>219</v>
      </c>
      <c r="H564" s="83">
        <f t="shared" si="428"/>
        <v>183</v>
      </c>
      <c r="I564" s="139">
        <f t="shared" si="396"/>
        <v>836</v>
      </c>
      <c r="J564" s="83">
        <f t="shared" si="428"/>
        <v>915</v>
      </c>
      <c r="K564" s="83">
        <f t="shared" si="428"/>
        <v>915</v>
      </c>
      <c r="L564" s="83">
        <f t="shared" si="428"/>
        <v>915</v>
      </c>
    </row>
    <row r="565" spans="1:12" ht="15">
      <c r="A565" s="45"/>
      <c r="B565" s="44" t="s">
        <v>316</v>
      </c>
      <c r="C565" s="21" t="s">
        <v>317</v>
      </c>
      <c r="D565" s="83">
        <f t="shared" ref="D565:L565" si="429">D566+D567</f>
        <v>836</v>
      </c>
      <c r="E565" s="83">
        <f t="shared" ref="E565:F565" si="430">E566+E567</f>
        <v>215</v>
      </c>
      <c r="F565" s="83">
        <f t="shared" si="430"/>
        <v>219</v>
      </c>
      <c r="G565" s="83">
        <f t="shared" ref="G565:H565" si="431">G566+G567</f>
        <v>219</v>
      </c>
      <c r="H565" s="83">
        <f t="shared" si="431"/>
        <v>183</v>
      </c>
      <c r="I565" s="139">
        <f t="shared" si="396"/>
        <v>836</v>
      </c>
      <c r="J565" s="83">
        <f t="shared" si="429"/>
        <v>915</v>
      </c>
      <c r="K565" s="83">
        <f t="shared" si="429"/>
        <v>915</v>
      </c>
      <c r="L565" s="83">
        <f t="shared" si="429"/>
        <v>915</v>
      </c>
    </row>
    <row r="566" spans="1:12" ht="15">
      <c r="A566" s="45"/>
      <c r="B566" s="44" t="s">
        <v>168</v>
      </c>
      <c r="C566" s="21">
        <v>10</v>
      </c>
      <c r="D566" s="82">
        <f>825-4</f>
        <v>821</v>
      </c>
      <c r="E566" s="82">
        <f>215-4</f>
        <v>211</v>
      </c>
      <c r="F566" s="82">
        <v>215</v>
      </c>
      <c r="G566" s="82">
        <v>215</v>
      </c>
      <c r="H566" s="82">
        <f>825-645</f>
        <v>180</v>
      </c>
      <c r="I566" s="139">
        <f t="shared" si="396"/>
        <v>821</v>
      </c>
      <c r="J566" s="80">
        <v>900</v>
      </c>
      <c r="K566" s="80">
        <v>900</v>
      </c>
      <c r="L566" s="80">
        <v>900</v>
      </c>
    </row>
    <row r="567" spans="1:12" ht="15">
      <c r="A567" s="45"/>
      <c r="B567" s="44" t="s">
        <v>169</v>
      </c>
      <c r="C567" s="21">
        <v>20</v>
      </c>
      <c r="D567" s="82">
        <v>15</v>
      </c>
      <c r="E567" s="82">
        <v>4</v>
      </c>
      <c r="F567" s="82">
        <v>4</v>
      </c>
      <c r="G567" s="82">
        <v>4</v>
      </c>
      <c r="H567" s="82">
        <v>3</v>
      </c>
      <c r="I567" s="139">
        <f t="shared" si="396"/>
        <v>15</v>
      </c>
      <c r="J567" s="80">
        <v>15</v>
      </c>
      <c r="K567" s="80">
        <v>15</v>
      </c>
      <c r="L567" s="80">
        <v>15</v>
      </c>
    </row>
    <row r="568" spans="1:12" ht="28.5">
      <c r="A568" s="45" t="s">
        <v>326</v>
      </c>
      <c r="B568" s="61" t="s">
        <v>327</v>
      </c>
      <c r="C568" s="21" t="s">
        <v>315</v>
      </c>
      <c r="D568" s="88">
        <f t="shared" ref="D568:L570" si="432">D569</f>
        <v>773</v>
      </c>
      <c r="E568" s="88">
        <f t="shared" si="432"/>
        <v>199</v>
      </c>
      <c r="F568" s="88">
        <f t="shared" si="432"/>
        <v>197</v>
      </c>
      <c r="G568" s="88">
        <f t="shared" si="432"/>
        <v>198</v>
      </c>
      <c r="H568" s="88">
        <f t="shared" si="432"/>
        <v>179</v>
      </c>
      <c r="I568" s="139">
        <f t="shared" si="396"/>
        <v>773</v>
      </c>
      <c r="J568" s="88">
        <f t="shared" si="432"/>
        <v>941</v>
      </c>
      <c r="K568" s="88">
        <f t="shared" si="432"/>
        <v>941</v>
      </c>
      <c r="L568" s="88">
        <f t="shared" si="432"/>
        <v>941</v>
      </c>
    </row>
    <row r="569" spans="1:12" ht="14.25">
      <c r="A569" s="45"/>
      <c r="B569" s="35" t="s">
        <v>166</v>
      </c>
      <c r="C569" s="21"/>
      <c r="D569" s="88">
        <f t="shared" si="432"/>
        <v>773</v>
      </c>
      <c r="E569" s="88">
        <f t="shared" si="432"/>
        <v>199</v>
      </c>
      <c r="F569" s="88">
        <f t="shared" si="432"/>
        <v>197</v>
      </c>
      <c r="G569" s="88">
        <f t="shared" si="432"/>
        <v>198</v>
      </c>
      <c r="H569" s="88">
        <f t="shared" si="432"/>
        <v>179</v>
      </c>
      <c r="I569" s="139">
        <f t="shared" si="396"/>
        <v>773</v>
      </c>
      <c r="J569" s="88">
        <f t="shared" si="432"/>
        <v>941</v>
      </c>
      <c r="K569" s="88">
        <f t="shared" si="432"/>
        <v>941</v>
      </c>
      <c r="L569" s="88">
        <f t="shared" si="432"/>
        <v>941</v>
      </c>
    </row>
    <row r="570" spans="1:12" ht="15">
      <c r="A570" s="45"/>
      <c r="B570" s="44" t="s">
        <v>167</v>
      </c>
      <c r="C570" s="21">
        <v>1</v>
      </c>
      <c r="D570" s="83">
        <f t="shared" si="432"/>
        <v>773</v>
      </c>
      <c r="E570" s="83">
        <f t="shared" si="432"/>
        <v>199</v>
      </c>
      <c r="F570" s="83">
        <f t="shared" si="432"/>
        <v>197</v>
      </c>
      <c r="G570" s="83">
        <f t="shared" si="432"/>
        <v>198</v>
      </c>
      <c r="H570" s="83">
        <f t="shared" si="432"/>
        <v>179</v>
      </c>
      <c r="I570" s="139">
        <f t="shared" si="396"/>
        <v>773</v>
      </c>
      <c r="J570" s="83">
        <f t="shared" si="432"/>
        <v>941</v>
      </c>
      <c r="K570" s="83">
        <f t="shared" si="432"/>
        <v>941</v>
      </c>
      <c r="L570" s="83">
        <f t="shared" si="432"/>
        <v>941</v>
      </c>
    </row>
    <row r="571" spans="1:12" ht="15">
      <c r="A571" s="45"/>
      <c r="B571" s="44" t="s">
        <v>316</v>
      </c>
      <c r="C571" s="21" t="s">
        <v>317</v>
      </c>
      <c r="D571" s="83">
        <f t="shared" ref="D571:L571" si="433">D572+D573</f>
        <v>773</v>
      </c>
      <c r="E571" s="83">
        <f t="shared" ref="E571:F571" si="434">E572+E573</f>
        <v>199</v>
      </c>
      <c r="F571" s="83">
        <f t="shared" si="434"/>
        <v>197</v>
      </c>
      <c r="G571" s="83">
        <f t="shared" ref="G571:H571" si="435">G572+G573</f>
        <v>198</v>
      </c>
      <c r="H571" s="83">
        <f t="shared" si="435"/>
        <v>179</v>
      </c>
      <c r="I571" s="139">
        <f t="shared" si="396"/>
        <v>773</v>
      </c>
      <c r="J571" s="83">
        <f t="shared" si="433"/>
        <v>941</v>
      </c>
      <c r="K571" s="83">
        <f t="shared" si="433"/>
        <v>941</v>
      </c>
      <c r="L571" s="83">
        <f t="shared" si="433"/>
        <v>941</v>
      </c>
    </row>
    <row r="572" spans="1:12" ht="15">
      <c r="A572" s="45"/>
      <c r="B572" s="44" t="s">
        <v>168</v>
      </c>
      <c r="C572" s="21">
        <v>10</v>
      </c>
      <c r="D572" s="82">
        <f>782-20</f>
        <v>762</v>
      </c>
      <c r="E572" s="82">
        <f>200-5</f>
        <v>195</v>
      </c>
      <c r="F572" s="82">
        <f>200-7</f>
        <v>193</v>
      </c>
      <c r="G572" s="82">
        <f>200-2</f>
        <v>198</v>
      </c>
      <c r="H572" s="82">
        <f>182-6</f>
        <v>176</v>
      </c>
      <c r="I572" s="139">
        <f t="shared" si="396"/>
        <v>762</v>
      </c>
      <c r="J572" s="80">
        <v>911</v>
      </c>
      <c r="K572" s="80">
        <v>911</v>
      </c>
      <c r="L572" s="80">
        <v>911</v>
      </c>
    </row>
    <row r="573" spans="1:12" ht="15">
      <c r="A573" s="45"/>
      <c r="B573" s="44" t="s">
        <v>169</v>
      </c>
      <c r="C573" s="21">
        <v>20</v>
      </c>
      <c r="D573" s="82">
        <f>15-4</f>
        <v>11</v>
      </c>
      <c r="E573" s="82">
        <v>4</v>
      </c>
      <c r="F573" s="82">
        <v>4</v>
      </c>
      <c r="G573" s="82">
        <f>4-4</f>
        <v>0</v>
      </c>
      <c r="H573" s="82">
        <v>3</v>
      </c>
      <c r="I573" s="139">
        <f t="shared" si="396"/>
        <v>11</v>
      </c>
      <c r="J573" s="80">
        <v>30</v>
      </c>
      <c r="K573" s="80">
        <v>30</v>
      </c>
      <c r="L573" s="80">
        <v>30</v>
      </c>
    </row>
    <row r="574" spans="1:12" ht="26.25" customHeight="1">
      <c r="A574" s="52">
        <v>3</v>
      </c>
      <c r="B574" s="54" t="s">
        <v>506</v>
      </c>
      <c r="C574" s="105" t="s">
        <v>328</v>
      </c>
      <c r="D574" s="88">
        <f t="shared" ref="D574:L574" si="436">D585+D596+D604+D610+D616+D626+D635+D643+D651+D655+D665</f>
        <v>58950</v>
      </c>
      <c r="E574" s="88">
        <f t="shared" ref="E574:F574" si="437">E585+E596+E604+E610+E616+E626+E635+E643+E651+E655+E665</f>
        <v>19937</v>
      </c>
      <c r="F574" s="88">
        <f t="shared" si="437"/>
        <v>14316</v>
      </c>
      <c r="G574" s="88">
        <f t="shared" ref="G574:H574" si="438">G585+G596+G604+G610+G616+G626+G635+G643+G651+G655+G665</f>
        <v>13675</v>
      </c>
      <c r="H574" s="88">
        <f t="shared" si="438"/>
        <v>11022</v>
      </c>
      <c r="I574" s="139">
        <f t="shared" si="396"/>
        <v>58950</v>
      </c>
      <c r="J574" s="88">
        <f t="shared" si="436"/>
        <v>57445</v>
      </c>
      <c r="K574" s="88">
        <f t="shared" si="436"/>
        <v>57200</v>
      </c>
      <c r="L574" s="88">
        <f t="shared" si="436"/>
        <v>57200</v>
      </c>
    </row>
    <row r="575" spans="1:12" ht="18.75" customHeight="1">
      <c r="A575" s="45"/>
      <c r="B575" s="35" t="s">
        <v>166</v>
      </c>
      <c r="C575" s="99"/>
      <c r="D575" s="88">
        <f t="shared" ref="D575:L576" si="439">D586+D597+D617+D627+D636+D644+D652+D656+D666</f>
        <v>57780</v>
      </c>
      <c r="E575" s="88">
        <f t="shared" ref="E575:F575" si="440">E586+E597+E617+E627+E636+E644+E652+E656+E666</f>
        <v>18767</v>
      </c>
      <c r="F575" s="88">
        <f t="shared" si="440"/>
        <v>14316</v>
      </c>
      <c r="G575" s="88">
        <f t="shared" ref="G575:H575" si="441">G586+G597+G617+G627+G636+G644+G652+G656+G666</f>
        <v>13675</v>
      </c>
      <c r="H575" s="88">
        <f t="shared" si="441"/>
        <v>11022</v>
      </c>
      <c r="I575" s="139">
        <f t="shared" si="396"/>
        <v>57780</v>
      </c>
      <c r="J575" s="88">
        <f t="shared" si="439"/>
        <v>57200</v>
      </c>
      <c r="K575" s="88">
        <f t="shared" si="439"/>
        <v>57200</v>
      </c>
      <c r="L575" s="88">
        <f t="shared" si="439"/>
        <v>57200</v>
      </c>
    </row>
    <row r="576" spans="1:12" ht="15">
      <c r="A576" s="45"/>
      <c r="B576" s="44" t="s">
        <v>167</v>
      </c>
      <c r="C576" s="21">
        <v>1</v>
      </c>
      <c r="D576" s="83">
        <f t="shared" si="439"/>
        <v>57780</v>
      </c>
      <c r="E576" s="83">
        <f t="shared" ref="E576:F576" si="442">E587+E598+E618+E628+E637+E645+E653+E657+E667</f>
        <v>18767</v>
      </c>
      <c r="F576" s="83">
        <f t="shared" si="442"/>
        <v>14316</v>
      </c>
      <c r="G576" s="83">
        <f t="shared" ref="G576:H576" si="443">G587+G598+G618+G628+G637+G645+G653+G657+G667</f>
        <v>13675</v>
      </c>
      <c r="H576" s="83">
        <f t="shared" si="443"/>
        <v>11022</v>
      </c>
      <c r="I576" s="139">
        <f t="shared" si="396"/>
        <v>57780</v>
      </c>
      <c r="J576" s="83">
        <f t="shared" si="439"/>
        <v>57200</v>
      </c>
      <c r="K576" s="83">
        <f t="shared" si="439"/>
        <v>57200</v>
      </c>
      <c r="L576" s="83">
        <f t="shared" si="439"/>
        <v>57200</v>
      </c>
    </row>
    <row r="577" spans="1:13" ht="15">
      <c r="A577" s="45"/>
      <c r="B577" s="44" t="s">
        <v>169</v>
      </c>
      <c r="C577" s="21">
        <v>20</v>
      </c>
      <c r="D577" s="83">
        <f t="shared" ref="D577:L577" si="444">D668</f>
        <v>1200</v>
      </c>
      <c r="E577" s="83">
        <f t="shared" ref="E577:F577" si="445">E668</f>
        <v>300</v>
      </c>
      <c r="F577" s="83">
        <f t="shared" si="445"/>
        <v>400</v>
      </c>
      <c r="G577" s="83">
        <f t="shared" ref="G577:H577" si="446">G668</f>
        <v>400</v>
      </c>
      <c r="H577" s="83">
        <f t="shared" si="446"/>
        <v>100</v>
      </c>
      <c r="I577" s="139">
        <f t="shared" si="396"/>
        <v>1200</v>
      </c>
      <c r="J577" s="83">
        <f t="shared" si="444"/>
        <v>1000</v>
      </c>
      <c r="K577" s="83">
        <f t="shared" si="444"/>
        <v>1000</v>
      </c>
      <c r="L577" s="83">
        <f t="shared" si="444"/>
        <v>1000</v>
      </c>
    </row>
    <row r="578" spans="1:13" ht="15">
      <c r="A578" s="45"/>
      <c r="B578" s="44" t="s">
        <v>269</v>
      </c>
      <c r="C578" s="21">
        <v>51</v>
      </c>
      <c r="D578" s="83">
        <f t="shared" ref="D578:L578" si="447">D588+D599+D619+D629+D638+D646+D658</f>
        <v>42740</v>
      </c>
      <c r="E578" s="83">
        <f t="shared" ref="E578:F578" si="448">E588+E599+E619+E629+E638+E646+E658</f>
        <v>10284</v>
      </c>
      <c r="F578" s="83">
        <f t="shared" si="448"/>
        <v>10984</v>
      </c>
      <c r="G578" s="83">
        <f t="shared" ref="G578:H578" si="449">G588+G599+G619+G629+G638+G646+G658</f>
        <v>11073</v>
      </c>
      <c r="H578" s="83">
        <f t="shared" si="449"/>
        <v>10399</v>
      </c>
      <c r="I578" s="139">
        <f t="shared" si="396"/>
        <v>42740</v>
      </c>
      <c r="J578" s="83">
        <f t="shared" si="447"/>
        <v>42610</v>
      </c>
      <c r="K578" s="83">
        <f t="shared" si="447"/>
        <v>42610</v>
      </c>
      <c r="L578" s="83">
        <f t="shared" si="447"/>
        <v>42610</v>
      </c>
    </row>
    <row r="579" spans="1:13" ht="15">
      <c r="A579" s="45"/>
      <c r="B579" s="44" t="s">
        <v>175</v>
      </c>
      <c r="C579" s="21">
        <v>59</v>
      </c>
      <c r="D579" s="83">
        <f t="shared" ref="D579:L579" si="450">D654</f>
        <v>13840</v>
      </c>
      <c r="E579" s="83">
        <f t="shared" ref="E579:F579" si="451">E654</f>
        <v>8183</v>
      </c>
      <c r="F579" s="83">
        <f t="shared" si="451"/>
        <v>2932</v>
      </c>
      <c r="G579" s="83">
        <f t="shared" ref="G579:H579" si="452">G654</f>
        <v>2202</v>
      </c>
      <c r="H579" s="83">
        <f t="shared" si="452"/>
        <v>523</v>
      </c>
      <c r="I579" s="139">
        <f t="shared" si="396"/>
        <v>13840</v>
      </c>
      <c r="J579" s="83">
        <f t="shared" si="450"/>
        <v>13590</v>
      </c>
      <c r="K579" s="83">
        <f t="shared" si="450"/>
        <v>13590</v>
      </c>
      <c r="L579" s="83">
        <f t="shared" si="450"/>
        <v>13590</v>
      </c>
    </row>
    <row r="580" spans="1:13" ht="0.75" customHeight="1">
      <c r="A580" s="45"/>
      <c r="B580" s="44" t="s">
        <v>177</v>
      </c>
      <c r="C580" s="99">
        <v>85.01</v>
      </c>
      <c r="D580" s="88">
        <f t="shared" ref="D580:L580" si="453">D591+D661</f>
        <v>0</v>
      </c>
      <c r="E580" s="88">
        <f t="shared" ref="E580:F580" si="454">E591+E661</f>
        <v>0</v>
      </c>
      <c r="F580" s="88">
        <f t="shared" si="454"/>
        <v>0</v>
      </c>
      <c r="G580" s="88">
        <f t="shared" ref="G580:H580" si="455">G591+G661</f>
        <v>0</v>
      </c>
      <c r="H580" s="88">
        <f t="shared" si="455"/>
        <v>0</v>
      </c>
      <c r="I580" s="139">
        <f t="shared" si="396"/>
        <v>0</v>
      </c>
      <c r="J580" s="88">
        <f t="shared" si="453"/>
        <v>0</v>
      </c>
      <c r="K580" s="88">
        <f t="shared" si="453"/>
        <v>0</v>
      </c>
      <c r="L580" s="88">
        <f t="shared" si="453"/>
        <v>0</v>
      </c>
    </row>
    <row r="581" spans="1:13" ht="14.25">
      <c r="A581" s="45"/>
      <c r="B581" s="37" t="s">
        <v>178</v>
      </c>
      <c r="C581" s="21"/>
      <c r="D581" s="88">
        <f t="shared" ref="D581:L581" si="456">D593+D602+D605+D611+D623+D633+D641+D649+D662</f>
        <v>1170</v>
      </c>
      <c r="E581" s="88">
        <f t="shared" ref="E581:F581" si="457">E593+E602+E605+E611+E623+E633+E641+E649+E662</f>
        <v>1170</v>
      </c>
      <c r="F581" s="88">
        <f t="shared" si="457"/>
        <v>0</v>
      </c>
      <c r="G581" s="88">
        <f t="shared" ref="G581:H581" si="458">G593+G602+G605+G611+G623+G633+G641+G649+G662</f>
        <v>0</v>
      </c>
      <c r="H581" s="88">
        <f t="shared" si="458"/>
        <v>0</v>
      </c>
      <c r="I581" s="139">
        <f t="shared" si="396"/>
        <v>1170</v>
      </c>
      <c r="J581" s="88">
        <f t="shared" si="456"/>
        <v>245</v>
      </c>
      <c r="K581" s="88">
        <f t="shared" si="456"/>
        <v>0</v>
      </c>
      <c r="L581" s="88">
        <f t="shared" si="456"/>
        <v>0</v>
      </c>
    </row>
    <row r="582" spans="1:13" ht="14.25" customHeight="1">
      <c r="A582" s="45"/>
      <c r="B582" s="44" t="s">
        <v>184</v>
      </c>
      <c r="C582" s="21">
        <v>51</v>
      </c>
      <c r="D582" s="88">
        <f t="shared" ref="D582" si="459">D595+D603+D625+D634+D642+D650+D664</f>
        <v>1010</v>
      </c>
      <c r="E582" s="88">
        <f t="shared" ref="E582:F582" si="460">E595+E603+E625+E634+E642+E650+E664</f>
        <v>1010</v>
      </c>
      <c r="F582" s="88">
        <f t="shared" si="460"/>
        <v>0</v>
      </c>
      <c r="G582" s="88">
        <f t="shared" ref="G582:H582" si="461">G595+G603+G625+G634+G642+G650+G664</f>
        <v>0</v>
      </c>
      <c r="H582" s="88">
        <f t="shared" si="461"/>
        <v>0</v>
      </c>
      <c r="I582" s="139">
        <f t="shared" si="396"/>
        <v>1010</v>
      </c>
      <c r="J582" s="88">
        <f>J595+J603+J625+J634+J642+J650+J664</f>
        <v>85</v>
      </c>
      <c r="K582" s="88">
        <f>K595+K603+K625+K634+K642+K650+K664</f>
        <v>0</v>
      </c>
      <c r="L582" s="88">
        <f>L595+L603+L625+L634+L642+L650+L664</f>
        <v>0</v>
      </c>
    </row>
    <row r="583" spans="1:13" ht="13.5" hidden="1" customHeight="1">
      <c r="A583" s="45"/>
      <c r="B583" s="44" t="s">
        <v>186</v>
      </c>
      <c r="C583" s="21">
        <v>55</v>
      </c>
      <c r="D583" s="88">
        <f t="shared" ref="D583:L583" si="462">D663</f>
        <v>0</v>
      </c>
      <c r="E583" s="88">
        <f t="shared" ref="E583:F583" si="463">E663</f>
        <v>0</v>
      </c>
      <c r="F583" s="88">
        <f t="shared" si="463"/>
        <v>0</v>
      </c>
      <c r="G583" s="88">
        <f t="shared" ref="G583:H583" si="464">G663</f>
        <v>0</v>
      </c>
      <c r="H583" s="88">
        <f t="shared" si="464"/>
        <v>0</v>
      </c>
      <c r="I583" s="139">
        <f t="shared" si="396"/>
        <v>0</v>
      </c>
      <c r="J583" s="88">
        <f t="shared" si="462"/>
        <v>0</v>
      </c>
      <c r="K583" s="88">
        <f t="shared" si="462"/>
        <v>0</v>
      </c>
      <c r="L583" s="88">
        <f t="shared" si="462"/>
        <v>0</v>
      </c>
    </row>
    <row r="584" spans="1:13" ht="12" customHeight="1">
      <c r="A584" s="45"/>
      <c r="B584" s="44" t="s">
        <v>187</v>
      </c>
      <c r="C584" s="21">
        <v>56</v>
      </c>
      <c r="D584" s="83">
        <f t="shared" ref="D584:L584" si="465">D594+D606+D612</f>
        <v>160</v>
      </c>
      <c r="E584" s="83">
        <f t="shared" ref="E584:F584" si="466">E594+E606+E612</f>
        <v>160</v>
      </c>
      <c r="F584" s="83">
        <f t="shared" si="466"/>
        <v>0</v>
      </c>
      <c r="G584" s="83">
        <f t="shared" ref="G584:H584" si="467">G594+G606+G612</f>
        <v>0</v>
      </c>
      <c r="H584" s="83">
        <f t="shared" si="467"/>
        <v>0</v>
      </c>
      <c r="I584" s="139">
        <f t="shared" si="396"/>
        <v>160</v>
      </c>
      <c r="J584" s="83">
        <f t="shared" si="465"/>
        <v>160</v>
      </c>
      <c r="K584" s="83">
        <f t="shared" si="465"/>
        <v>0</v>
      </c>
      <c r="L584" s="83">
        <f t="shared" si="465"/>
        <v>0</v>
      </c>
    </row>
    <row r="585" spans="1:13" ht="14.25">
      <c r="A585" s="45" t="s">
        <v>329</v>
      </c>
      <c r="B585" s="63" t="s">
        <v>330</v>
      </c>
      <c r="C585" s="21" t="s">
        <v>331</v>
      </c>
      <c r="D585" s="88">
        <f t="shared" ref="D585:L585" si="468">D586+D593</f>
        <v>5599</v>
      </c>
      <c r="E585" s="88">
        <f t="shared" ref="E585:F585" si="469">E586+E593</f>
        <v>1489</v>
      </c>
      <c r="F585" s="88">
        <f t="shared" si="469"/>
        <v>1404</v>
      </c>
      <c r="G585" s="88">
        <f t="shared" ref="G585:H585" si="470">G586+G593</f>
        <v>1403</v>
      </c>
      <c r="H585" s="88">
        <f t="shared" si="470"/>
        <v>1303</v>
      </c>
      <c r="I585" s="139">
        <f t="shared" si="396"/>
        <v>5599</v>
      </c>
      <c r="J585" s="88">
        <f t="shared" si="468"/>
        <v>5599</v>
      </c>
      <c r="K585" s="88">
        <f t="shared" si="468"/>
        <v>5514</v>
      </c>
      <c r="L585" s="88">
        <f t="shared" si="468"/>
        <v>5514</v>
      </c>
      <c r="M585" s="159"/>
    </row>
    <row r="586" spans="1:13" ht="14.25">
      <c r="A586" s="45"/>
      <c r="B586" s="35" t="s">
        <v>166</v>
      </c>
      <c r="C586" s="21"/>
      <c r="D586" s="88">
        <f t="shared" ref="D586:L586" si="471">D587+D591</f>
        <v>5514</v>
      </c>
      <c r="E586" s="88">
        <f t="shared" ref="E586:F586" si="472">E587+E591</f>
        <v>1404</v>
      </c>
      <c r="F586" s="88">
        <f t="shared" si="472"/>
        <v>1404</v>
      </c>
      <c r="G586" s="88">
        <f t="shared" ref="G586:H586" si="473">G587+G591</f>
        <v>1403</v>
      </c>
      <c r="H586" s="88">
        <f t="shared" si="473"/>
        <v>1303</v>
      </c>
      <c r="I586" s="139">
        <f t="shared" si="396"/>
        <v>5514</v>
      </c>
      <c r="J586" s="88">
        <f t="shared" si="471"/>
        <v>5514</v>
      </c>
      <c r="K586" s="88">
        <f t="shared" si="471"/>
        <v>5514</v>
      </c>
      <c r="L586" s="88">
        <f t="shared" si="471"/>
        <v>5514</v>
      </c>
    </row>
    <row r="587" spans="1:13" ht="15">
      <c r="A587" s="45"/>
      <c r="B587" s="44" t="s">
        <v>167</v>
      </c>
      <c r="C587" s="21">
        <v>1</v>
      </c>
      <c r="D587" s="83">
        <f t="shared" ref="D587:L587" si="474">D588</f>
        <v>5514</v>
      </c>
      <c r="E587" s="83">
        <f t="shared" si="474"/>
        <v>1404</v>
      </c>
      <c r="F587" s="83">
        <f t="shared" si="474"/>
        <v>1404</v>
      </c>
      <c r="G587" s="83">
        <f t="shared" si="474"/>
        <v>1403</v>
      </c>
      <c r="H587" s="83">
        <f t="shared" si="474"/>
        <v>1303</v>
      </c>
      <c r="I587" s="139">
        <f t="shared" si="396"/>
        <v>5514</v>
      </c>
      <c r="J587" s="83">
        <f t="shared" si="474"/>
        <v>5514</v>
      </c>
      <c r="K587" s="83">
        <f t="shared" si="474"/>
        <v>5514</v>
      </c>
      <c r="L587" s="83">
        <f t="shared" si="474"/>
        <v>5514</v>
      </c>
    </row>
    <row r="588" spans="1:13" ht="15">
      <c r="A588" s="45"/>
      <c r="B588" s="44" t="s">
        <v>269</v>
      </c>
      <c r="C588" s="21" t="s">
        <v>233</v>
      </c>
      <c r="D588" s="83">
        <f t="shared" ref="D588:L588" si="475">D589+D590+D592</f>
        <v>5514</v>
      </c>
      <c r="E588" s="83">
        <f t="shared" ref="E588:F588" si="476">E589+E590+E592</f>
        <v>1404</v>
      </c>
      <c r="F588" s="83">
        <f t="shared" si="476"/>
        <v>1404</v>
      </c>
      <c r="G588" s="83">
        <f t="shared" ref="G588:H588" si="477">G589+G590+G592</f>
        <v>1403</v>
      </c>
      <c r="H588" s="83">
        <f t="shared" si="477"/>
        <v>1303</v>
      </c>
      <c r="I588" s="139">
        <f t="shared" si="396"/>
        <v>5514</v>
      </c>
      <c r="J588" s="83">
        <f t="shared" si="475"/>
        <v>5514</v>
      </c>
      <c r="K588" s="83">
        <f t="shared" si="475"/>
        <v>5514</v>
      </c>
      <c r="L588" s="83">
        <f t="shared" si="475"/>
        <v>5514</v>
      </c>
    </row>
    <row r="589" spans="1:13" ht="15" customHeight="1">
      <c r="A589" s="45"/>
      <c r="B589" s="44" t="s">
        <v>168</v>
      </c>
      <c r="C589" s="21">
        <v>10</v>
      </c>
      <c r="D589" s="82">
        <v>4000</v>
      </c>
      <c r="E589" s="82">
        <v>1000</v>
      </c>
      <c r="F589" s="82">
        <v>1000</v>
      </c>
      <c r="G589" s="82">
        <v>1000</v>
      </c>
      <c r="H589" s="82">
        <v>1000</v>
      </c>
      <c r="I589" s="139">
        <f t="shared" si="396"/>
        <v>4000</v>
      </c>
      <c r="J589" s="80">
        <v>4000</v>
      </c>
      <c r="K589" s="80">
        <v>4000</v>
      </c>
      <c r="L589" s="80">
        <v>4000</v>
      </c>
    </row>
    <row r="590" spans="1:13" ht="14.25" customHeight="1">
      <c r="A590" s="45"/>
      <c r="B590" s="44" t="s">
        <v>169</v>
      </c>
      <c r="C590" s="21">
        <v>20</v>
      </c>
      <c r="D590" s="82">
        <f>1400+100</f>
        <v>1500</v>
      </c>
      <c r="E590" s="82">
        <v>400</v>
      </c>
      <c r="F590" s="82">
        <v>400</v>
      </c>
      <c r="G590" s="82">
        <v>400</v>
      </c>
      <c r="H590" s="82">
        <v>300</v>
      </c>
      <c r="I590" s="139">
        <f t="shared" si="396"/>
        <v>1500</v>
      </c>
      <c r="J590" s="80">
        <v>1500</v>
      </c>
      <c r="K590" s="80">
        <v>1500</v>
      </c>
      <c r="L590" s="80">
        <v>1500</v>
      </c>
    </row>
    <row r="591" spans="1:13" ht="20.25" hidden="1" customHeight="1">
      <c r="A591" s="45"/>
      <c r="B591" s="44" t="s">
        <v>177</v>
      </c>
      <c r="C591" s="21" t="s">
        <v>270</v>
      </c>
      <c r="D591" s="82"/>
      <c r="E591" s="82"/>
      <c r="F591" s="82"/>
      <c r="G591" s="82"/>
      <c r="H591" s="82"/>
      <c r="I591" s="139">
        <f t="shared" si="396"/>
        <v>0</v>
      </c>
      <c r="J591" s="80"/>
      <c r="K591" s="80"/>
      <c r="L591" s="80"/>
    </row>
    <row r="592" spans="1:13" ht="16.5" customHeight="1">
      <c r="A592" s="45"/>
      <c r="B592" s="44" t="s">
        <v>494</v>
      </c>
      <c r="C592" s="21">
        <v>59</v>
      </c>
      <c r="D592" s="82">
        <v>14</v>
      </c>
      <c r="E592" s="82">
        <v>4</v>
      </c>
      <c r="F592" s="82">
        <v>4</v>
      </c>
      <c r="G592" s="82">
        <v>3</v>
      </c>
      <c r="H592" s="82">
        <v>3</v>
      </c>
      <c r="I592" s="139">
        <f t="shared" si="396"/>
        <v>14</v>
      </c>
      <c r="J592" s="80">
        <v>14</v>
      </c>
      <c r="K592" s="80">
        <v>14</v>
      </c>
      <c r="L592" s="80">
        <v>14</v>
      </c>
    </row>
    <row r="593" spans="1:13" ht="14.25" customHeight="1">
      <c r="A593" s="45"/>
      <c r="B593" s="37" t="s">
        <v>178</v>
      </c>
      <c r="C593" s="21"/>
      <c r="D593" s="83">
        <f t="shared" ref="D593:L593" si="478">D594+D595</f>
        <v>85</v>
      </c>
      <c r="E593" s="83">
        <f t="shared" si="478"/>
        <v>85</v>
      </c>
      <c r="F593" s="83">
        <f t="shared" si="478"/>
        <v>0</v>
      </c>
      <c r="G593" s="83">
        <f t="shared" si="478"/>
        <v>0</v>
      </c>
      <c r="H593" s="83">
        <f t="shared" si="478"/>
        <v>0</v>
      </c>
      <c r="I593" s="139">
        <f t="shared" si="396"/>
        <v>85</v>
      </c>
      <c r="J593" s="83">
        <f t="shared" si="478"/>
        <v>85</v>
      </c>
      <c r="K593" s="83">
        <f t="shared" si="478"/>
        <v>0</v>
      </c>
      <c r="L593" s="83">
        <f t="shared" si="478"/>
        <v>0</v>
      </c>
    </row>
    <row r="594" spans="1:13" ht="17.25" hidden="1" customHeight="1">
      <c r="A594" s="45"/>
      <c r="B594" s="27" t="s">
        <v>187</v>
      </c>
      <c r="C594" s="21" t="s">
        <v>332</v>
      </c>
      <c r="D594" s="82"/>
      <c r="E594" s="82"/>
      <c r="F594" s="82"/>
      <c r="G594" s="82"/>
      <c r="H594" s="82"/>
      <c r="I594" s="139">
        <f t="shared" ref="I594:I657" si="479">E594+F594+G594+H594</f>
        <v>0</v>
      </c>
      <c r="J594" s="80"/>
      <c r="K594" s="80"/>
      <c r="L594" s="80"/>
    </row>
    <row r="595" spans="1:13" ht="15.75" customHeight="1">
      <c r="A595" s="45"/>
      <c r="B595" s="44" t="s">
        <v>184</v>
      </c>
      <c r="C595" s="21" t="s">
        <v>185</v>
      </c>
      <c r="D595" s="82">
        <v>85</v>
      </c>
      <c r="E595" s="82">
        <v>85</v>
      </c>
      <c r="F595" s="153"/>
      <c r="G595" s="153"/>
      <c r="H595" s="153"/>
      <c r="I595" s="139">
        <f t="shared" si="479"/>
        <v>85</v>
      </c>
      <c r="J595" s="80">
        <v>85</v>
      </c>
      <c r="K595" s="154"/>
      <c r="L595" s="80">
        <v>0</v>
      </c>
    </row>
    <row r="596" spans="1:13" ht="14.25">
      <c r="A596" s="64" t="s">
        <v>333</v>
      </c>
      <c r="B596" s="63" t="s">
        <v>334</v>
      </c>
      <c r="C596" s="21" t="s">
        <v>335</v>
      </c>
      <c r="D596" s="88">
        <f t="shared" ref="D596:L596" si="480">D597+D602</f>
        <v>6950</v>
      </c>
      <c r="E596" s="88">
        <f t="shared" ref="E596:F596" si="481">E597+E602</f>
        <v>1740</v>
      </c>
      <c r="F596" s="88">
        <f t="shared" si="481"/>
        <v>1740</v>
      </c>
      <c r="G596" s="88">
        <f t="shared" ref="G596:H596" si="482">G597+G602</f>
        <v>1740</v>
      </c>
      <c r="H596" s="88">
        <f t="shared" si="482"/>
        <v>1730</v>
      </c>
      <c r="I596" s="139">
        <f t="shared" si="479"/>
        <v>6950</v>
      </c>
      <c r="J596" s="88">
        <f t="shared" si="480"/>
        <v>6950</v>
      </c>
      <c r="K596" s="88">
        <f t="shared" si="480"/>
        <v>6950</v>
      </c>
      <c r="L596" s="88">
        <f t="shared" si="480"/>
        <v>6950</v>
      </c>
      <c r="M596" s="159"/>
    </row>
    <row r="597" spans="1:13" ht="14.25">
      <c r="A597" s="45"/>
      <c r="B597" s="35" t="s">
        <v>166</v>
      </c>
      <c r="C597" s="21"/>
      <c r="D597" s="88">
        <f t="shared" ref="D597:L598" si="483">D598</f>
        <v>6950</v>
      </c>
      <c r="E597" s="88">
        <f t="shared" si="483"/>
        <v>1740</v>
      </c>
      <c r="F597" s="88">
        <f t="shared" si="483"/>
        <v>1740</v>
      </c>
      <c r="G597" s="88">
        <f t="shared" si="483"/>
        <v>1740</v>
      </c>
      <c r="H597" s="88">
        <f t="shared" si="483"/>
        <v>1730</v>
      </c>
      <c r="I597" s="139">
        <f t="shared" si="479"/>
        <v>6950</v>
      </c>
      <c r="J597" s="88">
        <f t="shared" si="483"/>
        <v>6950</v>
      </c>
      <c r="K597" s="88">
        <f t="shared" si="483"/>
        <v>6950</v>
      </c>
      <c r="L597" s="88">
        <f t="shared" si="483"/>
        <v>6950</v>
      </c>
    </row>
    <row r="598" spans="1:13" ht="15">
      <c r="A598" s="45"/>
      <c r="B598" s="44" t="s">
        <v>167</v>
      </c>
      <c r="C598" s="21">
        <v>1</v>
      </c>
      <c r="D598" s="83">
        <f t="shared" si="483"/>
        <v>6950</v>
      </c>
      <c r="E598" s="83">
        <f t="shared" si="483"/>
        <v>1740</v>
      </c>
      <c r="F598" s="83">
        <f t="shared" si="483"/>
        <v>1740</v>
      </c>
      <c r="G598" s="83">
        <f t="shared" si="483"/>
        <v>1740</v>
      </c>
      <c r="H598" s="83">
        <f t="shared" si="483"/>
        <v>1730</v>
      </c>
      <c r="I598" s="139">
        <f t="shared" si="479"/>
        <v>6950</v>
      </c>
      <c r="J598" s="83">
        <f t="shared" si="483"/>
        <v>6950</v>
      </c>
      <c r="K598" s="83">
        <f t="shared" si="483"/>
        <v>6950</v>
      </c>
      <c r="L598" s="83">
        <f t="shared" si="483"/>
        <v>6950</v>
      </c>
    </row>
    <row r="599" spans="1:13" ht="15">
      <c r="A599" s="45"/>
      <c r="B599" s="44" t="s">
        <v>269</v>
      </c>
      <c r="C599" s="21" t="s">
        <v>233</v>
      </c>
      <c r="D599" s="83">
        <f t="shared" ref="D599:L599" si="484">D600+D601</f>
        <v>6950</v>
      </c>
      <c r="E599" s="83">
        <f t="shared" ref="E599:F599" si="485">E600+E601</f>
        <v>1740</v>
      </c>
      <c r="F599" s="83">
        <f t="shared" si="485"/>
        <v>1740</v>
      </c>
      <c r="G599" s="83">
        <f t="shared" ref="G599:H599" si="486">G600+G601</f>
        <v>1740</v>
      </c>
      <c r="H599" s="83">
        <f t="shared" si="486"/>
        <v>1730</v>
      </c>
      <c r="I599" s="139">
        <f t="shared" si="479"/>
        <v>6950</v>
      </c>
      <c r="J599" s="83">
        <f t="shared" si="484"/>
        <v>6950</v>
      </c>
      <c r="K599" s="83">
        <f t="shared" si="484"/>
        <v>6950</v>
      </c>
      <c r="L599" s="83">
        <f t="shared" si="484"/>
        <v>6950</v>
      </c>
    </row>
    <row r="600" spans="1:13" ht="14.25" customHeight="1">
      <c r="A600" s="45"/>
      <c r="B600" s="44" t="s">
        <v>168</v>
      </c>
      <c r="C600" s="21">
        <v>10</v>
      </c>
      <c r="D600" s="82">
        <v>3750</v>
      </c>
      <c r="E600" s="82">
        <v>940</v>
      </c>
      <c r="F600" s="82">
        <v>940</v>
      </c>
      <c r="G600" s="82">
        <v>940</v>
      </c>
      <c r="H600" s="82">
        <v>930</v>
      </c>
      <c r="I600" s="139">
        <f t="shared" si="479"/>
        <v>3750</v>
      </c>
      <c r="J600" s="80">
        <v>3750</v>
      </c>
      <c r="K600" s="80">
        <v>3750</v>
      </c>
      <c r="L600" s="80">
        <v>3750</v>
      </c>
    </row>
    <row r="601" spans="1:13" ht="13.5" customHeight="1">
      <c r="A601" s="45"/>
      <c r="B601" s="44" t="s">
        <v>169</v>
      </c>
      <c r="C601" s="21">
        <v>20</v>
      </c>
      <c r="D601" s="82">
        <v>3200</v>
      </c>
      <c r="E601" s="82">
        <v>800</v>
      </c>
      <c r="F601" s="82">
        <v>800</v>
      </c>
      <c r="G601" s="82">
        <v>800</v>
      </c>
      <c r="H601" s="82">
        <v>800</v>
      </c>
      <c r="I601" s="139">
        <f t="shared" si="479"/>
        <v>3200</v>
      </c>
      <c r="J601" s="80">
        <v>3200</v>
      </c>
      <c r="K601" s="80">
        <v>3200</v>
      </c>
      <c r="L601" s="80">
        <v>3200</v>
      </c>
    </row>
    <row r="602" spans="1:13" ht="15" hidden="1" customHeight="1">
      <c r="A602" s="45"/>
      <c r="B602" s="37" t="s">
        <v>178</v>
      </c>
      <c r="C602" s="21"/>
      <c r="D602" s="83">
        <f t="shared" ref="D602:L602" si="487">D603</f>
        <v>0</v>
      </c>
      <c r="E602" s="83"/>
      <c r="F602" s="83"/>
      <c r="G602" s="83"/>
      <c r="H602" s="83"/>
      <c r="I602" s="139">
        <f t="shared" si="479"/>
        <v>0</v>
      </c>
      <c r="J602" s="83">
        <f t="shared" si="487"/>
        <v>0</v>
      </c>
      <c r="K602" s="83">
        <f t="shared" si="487"/>
        <v>0</v>
      </c>
      <c r="L602" s="83">
        <f t="shared" si="487"/>
        <v>0</v>
      </c>
    </row>
    <row r="603" spans="1:13" ht="15.75" hidden="1" customHeight="1">
      <c r="A603" s="32"/>
      <c r="B603" s="44" t="s">
        <v>184</v>
      </c>
      <c r="C603" s="21" t="s">
        <v>185</v>
      </c>
      <c r="D603" s="82"/>
      <c r="E603" s="82"/>
      <c r="F603" s="82"/>
      <c r="G603" s="82"/>
      <c r="H603" s="82"/>
      <c r="I603" s="139">
        <f t="shared" si="479"/>
        <v>0</v>
      </c>
      <c r="J603" s="80"/>
      <c r="K603" s="80"/>
      <c r="L603" s="80"/>
    </row>
    <row r="604" spans="1:13" ht="29.25" hidden="1" customHeight="1">
      <c r="A604" s="32">
        <v>3.3</v>
      </c>
      <c r="B604" s="42" t="s">
        <v>336</v>
      </c>
      <c r="C604" s="21" t="s">
        <v>337</v>
      </c>
      <c r="D604" s="88">
        <f t="shared" ref="D604:L605" si="488">D605</f>
        <v>0</v>
      </c>
      <c r="E604" s="88"/>
      <c r="F604" s="88"/>
      <c r="G604" s="88"/>
      <c r="H604" s="88"/>
      <c r="I604" s="139">
        <f t="shared" si="479"/>
        <v>0</v>
      </c>
      <c r="J604" s="88">
        <f t="shared" si="488"/>
        <v>0</v>
      </c>
      <c r="K604" s="88">
        <f t="shared" si="488"/>
        <v>0</v>
      </c>
      <c r="L604" s="88">
        <f t="shared" si="488"/>
        <v>0</v>
      </c>
    </row>
    <row r="605" spans="1:13" ht="18.75" hidden="1" customHeight="1">
      <c r="A605" s="32"/>
      <c r="B605" s="37" t="s">
        <v>178</v>
      </c>
      <c r="C605" s="21"/>
      <c r="D605" s="83">
        <f t="shared" si="488"/>
        <v>0</v>
      </c>
      <c r="E605" s="83"/>
      <c r="F605" s="83"/>
      <c r="G605" s="83"/>
      <c r="H605" s="83"/>
      <c r="I605" s="139">
        <f t="shared" si="479"/>
        <v>0</v>
      </c>
      <c r="J605" s="83">
        <f t="shared" si="488"/>
        <v>0</v>
      </c>
      <c r="K605" s="83">
        <f t="shared" si="488"/>
        <v>0</v>
      </c>
      <c r="L605" s="83">
        <f t="shared" si="488"/>
        <v>0</v>
      </c>
    </row>
    <row r="606" spans="1:13" ht="18.75" hidden="1" customHeight="1">
      <c r="A606" s="32"/>
      <c r="B606" s="44" t="s">
        <v>187</v>
      </c>
      <c r="C606" s="21">
        <v>56</v>
      </c>
      <c r="D606" s="83">
        <f t="shared" ref="D606:L606" si="489">D607+D608+D609</f>
        <v>0</v>
      </c>
      <c r="E606" s="83"/>
      <c r="F606" s="83"/>
      <c r="G606" s="83"/>
      <c r="H606" s="83"/>
      <c r="I606" s="139">
        <f t="shared" si="479"/>
        <v>0</v>
      </c>
      <c r="J606" s="83">
        <f t="shared" si="489"/>
        <v>0</v>
      </c>
      <c r="K606" s="83">
        <f t="shared" si="489"/>
        <v>0</v>
      </c>
      <c r="L606" s="83">
        <f t="shared" si="489"/>
        <v>0</v>
      </c>
    </row>
    <row r="607" spans="1:13" ht="0.75" hidden="1" customHeight="1">
      <c r="A607" s="32"/>
      <c r="B607" s="44" t="s">
        <v>338</v>
      </c>
      <c r="C607" s="21" t="s">
        <v>219</v>
      </c>
      <c r="D607" s="82"/>
      <c r="E607" s="82"/>
      <c r="F607" s="82"/>
      <c r="G607" s="82"/>
      <c r="H607" s="82"/>
      <c r="I607" s="139">
        <f t="shared" si="479"/>
        <v>0</v>
      </c>
      <c r="J607" s="80"/>
      <c r="K607" s="80"/>
      <c r="L607" s="80"/>
    </row>
    <row r="608" spans="1:13" ht="19.5" hidden="1" customHeight="1">
      <c r="A608" s="32"/>
      <c r="B608" s="44" t="s">
        <v>223</v>
      </c>
      <c r="C608" s="21" t="s">
        <v>222</v>
      </c>
      <c r="D608" s="153"/>
      <c r="E608" s="153"/>
      <c r="F608" s="153"/>
      <c r="G608" s="153"/>
      <c r="H608" s="153"/>
      <c r="I608" s="139">
        <f t="shared" si="479"/>
        <v>0</v>
      </c>
      <c r="J608" s="154"/>
      <c r="K608" s="154"/>
      <c r="L608" s="154"/>
    </row>
    <row r="609" spans="1:12" ht="13.5" hidden="1" customHeight="1">
      <c r="A609" s="32"/>
      <c r="B609" s="27" t="s">
        <v>187</v>
      </c>
      <c r="C609" s="21" t="s">
        <v>222</v>
      </c>
      <c r="D609" s="82">
        <v>0</v>
      </c>
      <c r="E609" s="82"/>
      <c r="F609" s="82"/>
      <c r="G609" s="82"/>
      <c r="H609" s="82"/>
      <c r="I609" s="139">
        <f t="shared" si="479"/>
        <v>0</v>
      </c>
      <c r="J609" s="80"/>
      <c r="K609" s="80"/>
      <c r="L609" s="80"/>
    </row>
    <row r="610" spans="1:12" ht="33.75" customHeight="1">
      <c r="A610" s="65" t="s">
        <v>813</v>
      </c>
      <c r="B610" s="66" t="s">
        <v>339</v>
      </c>
      <c r="C610" s="112" t="s">
        <v>340</v>
      </c>
      <c r="D610" s="88">
        <f t="shared" ref="D610:L611" si="490">D611</f>
        <v>160</v>
      </c>
      <c r="E610" s="88">
        <f t="shared" si="490"/>
        <v>160</v>
      </c>
      <c r="F610" s="88">
        <f t="shared" si="490"/>
        <v>0</v>
      </c>
      <c r="G610" s="88">
        <f t="shared" si="490"/>
        <v>0</v>
      </c>
      <c r="H610" s="88">
        <f t="shared" si="490"/>
        <v>0</v>
      </c>
      <c r="I610" s="139">
        <f t="shared" si="479"/>
        <v>160</v>
      </c>
      <c r="J610" s="88">
        <f t="shared" si="490"/>
        <v>160</v>
      </c>
      <c r="K610" s="88">
        <f t="shared" si="490"/>
        <v>0</v>
      </c>
      <c r="L610" s="88">
        <f t="shared" si="490"/>
        <v>0</v>
      </c>
    </row>
    <row r="611" spans="1:12" ht="13.5" customHeight="1">
      <c r="A611" s="32"/>
      <c r="B611" s="37" t="s">
        <v>178</v>
      </c>
      <c r="C611" s="21"/>
      <c r="D611" s="88">
        <f t="shared" si="490"/>
        <v>160</v>
      </c>
      <c r="E611" s="88">
        <f t="shared" si="490"/>
        <v>160</v>
      </c>
      <c r="F611" s="88">
        <f t="shared" si="490"/>
        <v>0</v>
      </c>
      <c r="G611" s="88">
        <f t="shared" si="490"/>
        <v>0</v>
      </c>
      <c r="H611" s="88">
        <f t="shared" si="490"/>
        <v>0</v>
      </c>
      <c r="I611" s="139">
        <f t="shared" si="479"/>
        <v>160</v>
      </c>
      <c r="J611" s="88">
        <f t="shared" si="490"/>
        <v>160</v>
      </c>
      <c r="K611" s="88">
        <f t="shared" si="490"/>
        <v>0</v>
      </c>
      <c r="L611" s="88">
        <f t="shared" si="490"/>
        <v>0</v>
      </c>
    </row>
    <row r="612" spans="1:12" ht="15.75" customHeight="1">
      <c r="A612" s="32"/>
      <c r="B612" s="44" t="s">
        <v>187</v>
      </c>
      <c r="C612" s="21">
        <v>56</v>
      </c>
      <c r="D612" s="83">
        <f t="shared" ref="D612:L612" si="491">D613+D614+D615</f>
        <v>160</v>
      </c>
      <c r="E612" s="83">
        <f t="shared" ref="E612:F612" si="492">E613+E614+E615</f>
        <v>160</v>
      </c>
      <c r="F612" s="83">
        <f t="shared" si="492"/>
        <v>0</v>
      </c>
      <c r="G612" s="83">
        <f t="shared" ref="G612:H612" si="493">G613+G614+G615</f>
        <v>0</v>
      </c>
      <c r="H612" s="83">
        <f t="shared" si="493"/>
        <v>0</v>
      </c>
      <c r="I612" s="139">
        <f t="shared" si="479"/>
        <v>160</v>
      </c>
      <c r="J612" s="83">
        <f t="shared" si="491"/>
        <v>160</v>
      </c>
      <c r="K612" s="83">
        <f t="shared" si="491"/>
        <v>0</v>
      </c>
      <c r="L612" s="83">
        <f t="shared" si="491"/>
        <v>0</v>
      </c>
    </row>
    <row r="613" spans="1:12" ht="13.5" hidden="1" customHeight="1">
      <c r="A613" s="32"/>
      <c r="B613" s="44" t="s">
        <v>338</v>
      </c>
      <c r="C613" s="21" t="s">
        <v>219</v>
      </c>
      <c r="D613" s="82"/>
      <c r="E613" s="82"/>
      <c r="F613" s="82"/>
      <c r="G613" s="82"/>
      <c r="H613" s="82"/>
      <c r="I613" s="139">
        <f t="shared" si="479"/>
        <v>0</v>
      </c>
      <c r="J613" s="80"/>
      <c r="K613" s="80"/>
      <c r="L613" s="80"/>
    </row>
    <row r="614" spans="1:12" ht="13.5" hidden="1" customHeight="1">
      <c r="A614" s="32"/>
      <c r="B614" s="44" t="s">
        <v>341</v>
      </c>
      <c r="C614" s="21" t="s">
        <v>221</v>
      </c>
      <c r="D614" s="82">
        <v>0</v>
      </c>
      <c r="E614" s="82"/>
      <c r="F614" s="82"/>
      <c r="G614" s="82"/>
      <c r="H614" s="82"/>
      <c r="I614" s="139">
        <f t="shared" si="479"/>
        <v>0</v>
      </c>
      <c r="J614" s="80"/>
      <c r="K614" s="80"/>
      <c r="L614" s="80"/>
    </row>
    <row r="615" spans="1:12" ht="19.5" customHeight="1">
      <c r="A615" s="32"/>
      <c r="B615" s="27" t="s">
        <v>223</v>
      </c>
      <c r="C615" s="21" t="s">
        <v>222</v>
      </c>
      <c r="D615" s="82">
        <v>160</v>
      </c>
      <c r="E615" s="82">
        <v>160</v>
      </c>
      <c r="F615" s="82"/>
      <c r="G615" s="82"/>
      <c r="H615" s="82"/>
      <c r="I615" s="139">
        <f t="shared" si="479"/>
        <v>160</v>
      </c>
      <c r="J615" s="80">
        <v>160</v>
      </c>
      <c r="K615" s="80"/>
      <c r="L615" s="80"/>
    </row>
    <row r="616" spans="1:12" ht="28.5">
      <c r="A616" s="64" t="s">
        <v>814</v>
      </c>
      <c r="B616" s="61" t="s">
        <v>342</v>
      </c>
      <c r="C616" s="21" t="s">
        <v>343</v>
      </c>
      <c r="D616" s="88">
        <f t="shared" ref="D616:L616" si="494">D617+D623</f>
        <v>8146</v>
      </c>
      <c r="E616" s="88">
        <f t="shared" ref="E616:F616" si="495">E617+E623</f>
        <v>2020</v>
      </c>
      <c r="F616" s="88">
        <f t="shared" si="495"/>
        <v>2110</v>
      </c>
      <c r="G616" s="88">
        <f t="shared" ref="G616:H616" si="496">G617+G623</f>
        <v>2110</v>
      </c>
      <c r="H616" s="88">
        <f t="shared" si="496"/>
        <v>1906</v>
      </c>
      <c r="I616" s="139">
        <f t="shared" si="479"/>
        <v>8146</v>
      </c>
      <c r="J616" s="88">
        <f t="shared" si="494"/>
        <v>7936</v>
      </c>
      <c r="K616" s="88">
        <f t="shared" si="494"/>
        <v>7936</v>
      </c>
      <c r="L616" s="88">
        <f t="shared" si="494"/>
        <v>7936</v>
      </c>
    </row>
    <row r="617" spans="1:12" ht="14.25">
      <c r="A617" s="45"/>
      <c r="B617" s="35" t="s">
        <v>166</v>
      </c>
      <c r="C617" s="21"/>
      <c r="D617" s="88">
        <f t="shared" ref="D617:L618" si="497">D618</f>
        <v>7936</v>
      </c>
      <c r="E617" s="88">
        <f t="shared" si="497"/>
        <v>1810</v>
      </c>
      <c r="F617" s="88">
        <f t="shared" si="497"/>
        <v>2110</v>
      </c>
      <c r="G617" s="88">
        <f t="shared" si="497"/>
        <v>2110</v>
      </c>
      <c r="H617" s="88">
        <f t="shared" si="497"/>
        <v>1906</v>
      </c>
      <c r="I617" s="139">
        <f t="shared" si="479"/>
        <v>7936</v>
      </c>
      <c r="J617" s="88">
        <f t="shared" si="497"/>
        <v>7936</v>
      </c>
      <c r="K617" s="88">
        <f t="shared" si="497"/>
        <v>7936</v>
      </c>
      <c r="L617" s="88">
        <f t="shared" si="497"/>
        <v>7936</v>
      </c>
    </row>
    <row r="618" spans="1:12" ht="15">
      <c r="A618" s="45"/>
      <c r="B618" s="44" t="s">
        <v>167</v>
      </c>
      <c r="C618" s="21">
        <v>1</v>
      </c>
      <c r="D618" s="83">
        <f t="shared" si="497"/>
        <v>7936</v>
      </c>
      <c r="E618" s="83">
        <f t="shared" si="497"/>
        <v>1810</v>
      </c>
      <c r="F618" s="83">
        <f t="shared" si="497"/>
        <v>2110</v>
      </c>
      <c r="G618" s="83">
        <f t="shared" si="497"/>
        <v>2110</v>
      </c>
      <c r="H618" s="83">
        <f t="shared" si="497"/>
        <v>1906</v>
      </c>
      <c r="I618" s="139">
        <f t="shared" si="479"/>
        <v>7936</v>
      </c>
      <c r="J618" s="83">
        <f t="shared" si="497"/>
        <v>7936</v>
      </c>
      <c r="K618" s="83">
        <f t="shared" si="497"/>
        <v>7936</v>
      </c>
      <c r="L618" s="83">
        <f t="shared" si="497"/>
        <v>7936</v>
      </c>
    </row>
    <row r="619" spans="1:12" ht="15">
      <c r="A619" s="45"/>
      <c r="B619" s="44" t="s">
        <v>269</v>
      </c>
      <c r="C619" s="21" t="s">
        <v>233</v>
      </c>
      <c r="D619" s="83">
        <f t="shared" ref="D619:L619" si="498">D620+D621+D622</f>
        <v>7936</v>
      </c>
      <c r="E619" s="83">
        <f t="shared" ref="E619:F619" si="499">E620+E621+E622</f>
        <v>1810</v>
      </c>
      <c r="F619" s="83">
        <f t="shared" si="499"/>
        <v>2110</v>
      </c>
      <c r="G619" s="83">
        <f t="shared" ref="G619:H619" si="500">G620+G621+G622</f>
        <v>2110</v>
      </c>
      <c r="H619" s="83">
        <f t="shared" si="500"/>
        <v>1906</v>
      </c>
      <c r="I619" s="139">
        <f t="shared" si="479"/>
        <v>7936</v>
      </c>
      <c r="J619" s="83">
        <f t="shared" si="498"/>
        <v>7936</v>
      </c>
      <c r="K619" s="83">
        <f t="shared" si="498"/>
        <v>7936</v>
      </c>
      <c r="L619" s="83">
        <f t="shared" si="498"/>
        <v>7936</v>
      </c>
    </row>
    <row r="620" spans="1:12" ht="15.75" customHeight="1">
      <c r="A620" s="45"/>
      <c r="B620" s="44" t="s">
        <v>168</v>
      </c>
      <c r="C620" s="21">
        <v>10</v>
      </c>
      <c r="D620" s="82">
        <f>4400-24</f>
        <v>4376</v>
      </c>
      <c r="E620" s="82">
        <v>1100</v>
      </c>
      <c r="F620" s="82">
        <f>1100-24</f>
        <v>1076</v>
      </c>
      <c r="G620" s="82">
        <v>1100</v>
      </c>
      <c r="H620" s="82">
        <v>1100</v>
      </c>
      <c r="I620" s="139">
        <f t="shared" si="479"/>
        <v>4376</v>
      </c>
      <c r="J620" s="80">
        <v>4400</v>
      </c>
      <c r="K620" s="80">
        <v>4400</v>
      </c>
      <c r="L620" s="80">
        <v>4400</v>
      </c>
    </row>
    <row r="621" spans="1:12" ht="13.5" customHeight="1">
      <c r="A621" s="45"/>
      <c r="B621" s="44" t="s">
        <v>169</v>
      </c>
      <c r="C621" s="21">
        <v>20</v>
      </c>
      <c r="D621" s="82">
        <f>3200+300</f>
        <v>3500</v>
      </c>
      <c r="E621" s="82">
        <v>700</v>
      </c>
      <c r="F621" s="82">
        <v>1000</v>
      </c>
      <c r="G621" s="82">
        <v>1000</v>
      </c>
      <c r="H621" s="82">
        <v>800</v>
      </c>
      <c r="I621" s="139">
        <f t="shared" si="479"/>
        <v>3500</v>
      </c>
      <c r="J621" s="80">
        <v>3500</v>
      </c>
      <c r="K621" s="80">
        <v>3500</v>
      </c>
      <c r="L621" s="80">
        <v>3500</v>
      </c>
    </row>
    <row r="622" spans="1:12" ht="13.5" customHeight="1">
      <c r="A622" s="45"/>
      <c r="B622" s="44" t="s">
        <v>494</v>
      </c>
      <c r="C622" s="21">
        <v>59</v>
      </c>
      <c r="D622" s="82">
        <f>36+24</f>
        <v>60</v>
      </c>
      <c r="E622" s="82">
        <v>10</v>
      </c>
      <c r="F622" s="82">
        <f>10+24</f>
        <v>34</v>
      </c>
      <c r="G622" s="82">
        <v>10</v>
      </c>
      <c r="H622" s="82">
        <v>6</v>
      </c>
      <c r="I622" s="139">
        <f t="shared" si="479"/>
        <v>60</v>
      </c>
      <c r="J622" s="80">
        <v>36</v>
      </c>
      <c r="K622" s="80">
        <v>36</v>
      </c>
      <c r="L622" s="80">
        <v>36</v>
      </c>
    </row>
    <row r="623" spans="1:12" ht="14.25" customHeight="1">
      <c r="A623" s="45"/>
      <c r="B623" s="37" t="s">
        <v>178</v>
      </c>
      <c r="C623" s="21"/>
      <c r="D623" s="88">
        <f t="shared" ref="D623:L623" si="501">D625</f>
        <v>210</v>
      </c>
      <c r="E623" s="88">
        <f t="shared" si="501"/>
        <v>210</v>
      </c>
      <c r="F623" s="88">
        <f t="shared" si="501"/>
        <v>0</v>
      </c>
      <c r="G623" s="88">
        <f t="shared" si="501"/>
        <v>0</v>
      </c>
      <c r="H623" s="88">
        <f t="shared" si="501"/>
        <v>0</v>
      </c>
      <c r="I623" s="139">
        <f t="shared" si="479"/>
        <v>210</v>
      </c>
      <c r="J623" s="88">
        <f t="shared" si="501"/>
        <v>0</v>
      </c>
      <c r="K623" s="88">
        <f t="shared" si="501"/>
        <v>0</v>
      </c>
      <c r="L623" s="88">
        <f t="shared" si="501"/>
        <v>0</v>
      </c>
    </row>
    <row r="624" spans="1:12" ht="14.25" hidden="1" customHeight="1">
      <c r="A624" s="45"/>
      <c r="B624" s="44" t="s">
        <v>197</v>
      </c>
      <c r="C624" s="21" t="s">
        <v>198</v>
      </c>
      <c r="D624" s="82"/>
      <c r="E624" s="82"/>
      <c r="F624" s="82"/>
      <c r="G624" s="82"/>
      <c r="H624" s="82"/>
      <c r="I624" s="139">
        <f t="shared" si="479"/>
        <v>0</v>
      </c>
      <c r="J624" s="80"/>
      <c r="K624" s="80"/>
      <c r="L624" s="80"/>
    </row>
    <row r="625" spans="1:13" ht="15">
      <c r="A625" s="45"/>
      <c r="B625" s="44" t="s">
        <v>184</v>
      </c>
      <c r="C625" s="21" t="s">
        <v>185</v>
      </c>
      <c r="D625" s="82">
        <v>210</v>
      </c>
      <c r="E625" s="82">
        <v>210</v>
      </c>
      <c r="F625" s="82"/>
      <c r="G625" s="82"/>
      <c r="H625" s="82"/>
      <c r="I625" s="139">
        <f t="shared" si="479"/>
        <v>210</v>
      </c>
      <c r="J625" s="80"/>
      <c r="K625" s="80"/>
      <c r="L625" s="80"/>
    </row>
    <row r="626" spans="1:13" ht="14.25">
      <c r="A626" s="45" t="s">
        <v>815</v>
      </c>
      <c r="B626" s="63" t="s">
        <v>344</v>
      </c>
      <c r="C626" s="21" t="s">
        <v>345</v>
      </c>
      <c r="D626" s="88">
        <f t="shared" ref="D626:L626" si="502">D627+D633</f>
        <v>12130</v>
      </c>
      <c r="E626" s="88">
        <f t="shared" ref="E626:F626" si="503">E627+E633</f>
        <v>3040</v>
      </c>
      <c r="F626" s="88">
        <f t="shared" si="503"/>
        <v>3040</v>
      </c>
      <c r="G626" s="88">
        <f t="shared" ref="G626:H626" si="504">G627+G633</f>
        <v>3040</v>
      </c>
      <c r="H626" s="88">
        <f t="shared" si="504"/>
        <v>3010</v>
      </c>
      <c r="I626" s="139">
        <f t="shared" si="479"/>
        <v>12130</v>
      </c>
      <c r="J626" s="88">
        <f t="shared" si="502"/>
        <v>12000</v>
      </c>
      <c r="K626" s="88">
        <f t="shared" si="502"/>
        <v>12000</v>
      </c>
      <c r="L626" s="88">
        <f t="shared" si="502"/>
        <v>12000</v>
      </c>
    </row>
    <row r="627" spans="1:13" ht="14.25">
      <c r="A627" s="45"/>
      <c r="B627" s="35" t="s">
        <v>166</v>
      </c>
      <c r="C627" s="21"/>
      <c r="D627" s="88">
        <f t="shared" ref="D627:L628" si="505">D628</f>
        <v>12130</v>
      </c>
      <c r="E627" s="88">
        <f t="shared" si="505"/>
        <v>3040</v>
      </c>
      <c r="F627" s="88">
        <f t="shared" si="505"/>
        <v>3040</v>
      </c>
      <c r="G627" s="88">
        <f t="shared" si="505"/>
        <v>3040</v>
      </c>
      <c r="H627" s="88">
        <f t="shared" si="505"/>
        <v>3010</v>
      </c>
      <c r="I627" s="139">
        <f t="shared" si="479"/>
        <v>12130</v>
      </c>
      <c r="J627" s="88">
        <f t="shared" si="505"/>
        <v>12000</v>
      </c>
      <c r="K627" s="88">
        <f t="shared" si="505"/>
        <v>12000</v>
      </c>
      <c r="L627" s="88">
        <f t="shared" si="505"/>
        <v>12000</v>
      </c>
    </row>
    <row r="628" spans="1:13" ht="15">
      <c r="A628" s="45"/>
      <c r="B628" s="44" t="s">
        <v>167</v>
      </c>
      <c r="C628" s="21">
        <v>1</v>
      </c>
      <c r="D628" s="83">
        <f t="shared" si="505"/>
        <v>12130</v>
      </c>
      <c r="E628" s="83">
        <f t="shared" si="505"/>
        <v>3040</v>
      </c>
      <c r="F628" s="83">
        <f t="shared" si="505"/>
        <v>3040</v>
      </c>
      <c r="G628" s="83">
        <f t="shared" si="505"/>
        <v>3040</v>
      </c>
      <c r="H628" s="83">
        <f t="shared" si="505"/>
        <v>3010</v>
      </c>
      <c r="I628" s="139">
        <f t="shared" si="479"/>
        <v>12130</v>
      </c>
      <c r="J628" s="83">
        <f t="shared" si="505"/>
        <v>12000</v>
      </c>
      <c r="K628" s="83">
        <f t="shared" si="505"/>
        <v>12000</v>
      </c>
      <c r="L628" s="83">
        <f t="shared" si="505"/>
        <v>12000</v>
      </c>
    </row>
    <row r="629" spans="1:13" ht="15">
      <c r="A629" s="45"/>
      <c r="B629" s="44" t="s">
        <v>269</v>
      </c>
      <c r="C629" s="21" t="s">
        <v>233</v>
      </c>
      <c r="D629" s="83">
        <f>D630+D631+D632</f>
        <v>12130</v>
      </c>
      <c r="E629" s="83">
        <f>E630+E631+E632</f>
        <v>3040</v>
      </c>
      <c r="F629" s="83">
        <f>F630+F631+F632</f>
        <v>3040</v>
      </c>
      <c r="G629" s="83">
        <f>G630+G631+G632</f>
        <v>3040</v>
      </c>
      <c r="H629" s="83">
        <f>H630+H631+H632</f>
        <v>3010</v>
      </c>
      <c r="I629" s="139">
        <f t="shared" si="479"/>
        <v>12130</v>
      </c>
      <c r="J629" s="83">
        <f t="shared" ref="J629:L629" si="506">J630+J631+J632</f>
        <v>12000</v>
      </c>
      <c r="K629" s="83">
        <f t="shared" si="506"/>
        <v>12000</v>
      </c>
      <c r="L629" s="83">
        <f t="shared" si="506"/>
        <v>12000</v>
      </c>
    </row>
    <row r="630" spans="1:13" ht="15.75" customHeight="1">
      <c r="A630" s="45"/>
      <c r="B630" s="44" t="s">
        <v>168</v>
      </c>
      <c r="C630" s="21">
        <v>10</v>
      </c>
      <c r="D630" s="82">
        <v>7600</v>
      </c>
      <c r="E630" s="82">
        <v>1900</v>
      </c>
      <c r="F630" s="82">
        <v>1900</v>
      </c>
      <c r="G630" s="82">
        <v>1900</v>
      </c>
      <c r="H630" s="82">
        <v>1900</v>
      </c>
      <c r="I630" s="139">
        <f t="shared" si="479"/>
        <v>7600</v>
      </c>
      <c r="J630" s="80">
        <f>7600-130</f>
        <v>7470</v>
      </c>
      <c r="K630" s="80">
        <f>7600-130</f>
        <v>7470</v>
      </c>
      <c r="L630" s="80">
        <f>7600-130</f>
        <v>7470</v>
      </c>
    </row>
    <row r="631" spans="1:13" ht="15.75" customHeight="1">
      <c r="A631" s="45"/>
      <c r="B631" s="44" t="s">
        <v>169</v>
      </c>
      <c r="C631" s="21">
        <v>20</v>
      </c>
      <c r="D631" s="82">
        <f>4300+100</f>
        <v>4400</v>
      </c>
      <c r="E631" s="82">
        <v>1100</v>
      </c>
      <c r="F631" s="82">
        <v>1100</v>
      </c>
      <c r="G631" s="82">
        <v>1100</v>
      </c>
      <c r="H631" s="82">
        <v>1100</v>
      </c>
      <c r="I631" s="139">
        <f t="shared" si="479"/>
        <v>4400</v>
      </c>
      <c r="J631" s="80">
        <v>4400</v>
      </c>
      <c r="K631" s="80">
        <v>4400</v>
      </c>
      <c r="L631" s="80">
        <v>4400</v>
      </c>
    </row>
    <row r="632" spans="1:13" ht="12" customHeight="1">
      <c r="A632" s="45"/>
      <c r="B632" s="44" t="s">
        <v>493</v>
      </c>
      <c r="C632" s="21">
        <v>59</v>
      </c>
      <c r="D632" s="82">
        <v>130</v>
      </c>
      <c r="E632" s="82">
        <v>40</v>
      </c>
      <c r="F632" s="82">
        <v>40</v>
      </c>
      <c r="G632" s="82">
        <v>40</v>
      </c>
      <c r="H632" s="82">
        <v>10</v>
      </c>
      <c r="I632" s="139">
        <f t="shared" si="479"/>
        <v>130</v>
      </c>
      <c r="J632" s="80">
        <v>130</v>
      </c>
      <c r="K632" s="80">
        <v>130</v>
      </c>
      <c r="L632" s="80">
        <v>130</v>
      </c>
    </row>
    <row r="633" spans="1:13" ht="13.5" hidden="1" customHeight="1">
      <c r="A633" s="45"/>
      <c r="B633" s="37" t="s">
        <v>178</v>
      </c>
      <c r="C633" s="21"/>
      <c r="D633" s="88">
        <f t="shared" ref="D633:L633" si="507">D634</f>
        <v>0</v>
      </c>
      <c r="E633" s="88"/>
      <c r="F633" s="88"/>
      <c r="G633" s="88"/>
      <c r="H633" s="88"/>
      <c r="I633" s="139">
        <f t="shared" si="479"/>
        <v>0</v>
      </c>
      <c r="J633" s="88">
        <f t="shared" si="507"/>
        <v>0</v>
      </c>
      <c r="K633" s="88">
        <f t="shared" si="507"/>
        <v>0</v>
      </c>
      <c r="L633" s="88">
        <f t="shared" si="507"/>
        <v>0</v>
      </c>
    </row>
    <row r="634" spans="1:13" ht="15" hidden="1">
      <c r="A634" s="45"/>
      <c r="B634" s="44" t="s">
        <v>184</v>
      </c>
      <c r="C634" s="21" t="s">
        <v>185</v>
      </c>
      <c r="D634" s="82">
        <v>0</v>
      </c>
      <c r="E634" s="82"/>
      <c r="F634" s="82"/>
      <c r="G634" s="82"/>
      <c r="H634" s="82"/>
      <c r="I634" s="139">
        <f t="shared" si="479"/>
        <v>0</v>
      </c>
      <c r="J634" s="80">
        <v>0</v>
      </c>
      <c r="K634" s="80">
        <v>0</v>
      </c>
      <c r="L634" s="80">
        <v>0</v>
      </c>
    </row>
    <row r="635" spans="1:13" ht="28.5">
      <c r="A635" s="45" t="s">
        <v>501</v>
      </c>
      <c r="B635" s="42" t="s">
        <v>346</v>
      </c>
      <c r="C635" s="21" t="s">
        <v>347</v>
      </c>
      <c r="D635" s="88">
        <f t="shared" ref="D635:L635" si="508">D636+D641</f>
        <v>2150</v>
      </c>
      <c r="E635" s="88">
        <f t="shared" ref="E635:F635" si="509">E636+E641</f>
        <v>540</v>
      </c>
      <c r="F635" s="88">
        <f t="shared" si="509"/>
        <v>540</v>
      </c>
      <c r="G635" s="88">
        <f t="shared" ref="G635:H635" si="510">G636+G641</f>
        <v>540</v>
      </c>
      <c r="H635" s="88">
        <f t="shared" si="510"/>
        <v>530</v>
      </c>
      <c r="I635" s="139">
        <f t="shared" si="479"/>
        <v>2150</v>
      </c>
      <c r="J635" s="88">
        <f t="shared" si="508"/>
        <v>2150</v>
      </c>
      <c r="K635" s="88">
        <f t="shared" si="508"/>
        <v>2150</v>
      </c>
      <c r="L635" s="88">
        <f t="shared" si="508"/>
        <v>2150</v>
      </c>
      <c r="M635" s="159"/>
    </row>
    <row r="636" spans="1:13" ht="14.25">
      <c r="A636" s="45"/>
      <c r="B636" s="35" t="s">
        <v>166</v>
      </c>
      <c r="C636" s="21"/>
      <c r="D636" s="88">
        <f t="shared" ref="D636:L637" si="511">D637</f>
        <v>2150</v>
      </c>
      <c r="E636" s="88">
        <f t="shared" si="511"/>
        <v>540</v>
      </c>
      <c r="F636" s="88">
        <f t="shared" si="511"/>
        <v>540</v>
      </c>
      <c r="G636" s="88">
        <f t="shared" si="511"/>
        <v>540</v>
      </c>
      <c r="H636" s="88">
        <f t="shared" si="511"/>
        <v>530</v>
      </c>
      <c r="I636" s="139">
        <f t="shared" si="479"/>
        <v>2150</v>
      </c>
      <c r="J636" s="88">
        <f t="shared" si="511"/>
        <v>2150</v>
      </c>
      <c r="K636" s="88">
        <f t="shared" si="511"/>
        <v>2150</v>
      </c>
      <c r="L636" s="88">
        <f t="shared" si="511"/>
        <v>2150</v>
      </c>
    </row>
    <row r="637" spans="1:13" ht="15">
      <c r="A637" s="45"/>
      <c r="B637" s="44" t="s">
        <v>167</v>
      </c>
      <c r="C637" s="21">
        <v>1</v>
      </c>
      <c r="D637" s="83">
        <f t="shared" si="511"/>
        <v>2150</v>
      </c>
      <c r="E637" s="83">
        <f t="shared" si="511"/>
        <v>540</v>
      </c>
      <c r="F637" s="83">
        <f t="shared" si="511"/>
        <v>540</v>
      </c>
      <c r="G637" s="83">
        <f t="shared" si="511"/>
        <v>540</v>
      </c>
      <c r="H637" s="83">
        <f t="shared" si="511"/>
        <v>530</v>
      </c>
      <c r="I637" s="139">
        <f t="shared" si="479"/>
        <v>2150</v>
      </c>
      <c r="J637" s="83">
        <f t="shared" si="511"/>
        <v>2150</v>
      </c>
      <c r="K637" s="83">
        <f t="shared" si="511"/>
        <v>2150</v>
      </c>
      <c r="L637" s="83">
        <f t="shared" si="511"/>
        <v>2150</v>
      </c>
    </row>
    <row r="638" spans="1:13" ht="15">
      <c r="A638" s="45"/>
      <c r="B638" s="44" t="s">
        <v>269</v>
      </c>
      <c r="C638" s="21" t="s">
        <v>233</v>
      </c>
      <c r="D638" s="83">
        <f t="shared" ref="D638:L638" si="512">D639+D640</f>
        <v>2150</v>
      </c>
      <c r="E638" s="83">
        <f t="shared" ref="E638:F638" si="513">E639+E640</f>
        <v>540</v>
      </c>
      <c r="F638" s="83">
        <f t="shared" si="513"/>
        <v>540</v>
      </c>
      <c r="G638" s="83">
        <f t="shared" ref="G638:H638" si="514">G639+G640</f>
        <v>540</v>
      </c>
      <c r="H638" s="83">
        <f t="shared" si="514"/>
        <v>530</v>
      </c>
      <c r="I638" s="139">
        <f t="shared" si="479"/>
        <v>2150</v>
      </c>
      <c r="J638" s="83">
        <f t="shared" si="512"/>
        <v>2150</v>
      </c>
      <c r="K638" s="83">
        <f t="shared" si="512"/>
        <v>2150</v>
      </c>
      <c r="L638" s="83">
        <f t="shared" si="512"/>
        <v>2150</v>
      </c>
    </row>
    <row r="639" spans="1:13" ht="15" customHeight="1">
      <c r="A639" s="45"/>
      <c r="B639" s="44" t="s">
        <v>168</v>
      </c>
      <c r="C639" s="21">
        <v>10</v>
      </c>
      <c r="D639" s="82">
        <v>1350</v>
      </c>
      <c r="E639" s="82">
        <v>340</v>
      </c>
      <c r="F639" s="82">
        <v>340</v>
      </c>
      <c r="G639" s="82">
        <v>340</v>
      </c>
      <c r="H639" s="82">
        <v>330</v>
      </c>
      <c r="I639" s="139">
        <f t="shared" si="479"/>
        <v>1350</v>
      </c>
      <c r="J639" s="80">
        <v>1350</v>
      </c>
      <c r="K639" s="80">
        <v>1350</v>
      </c>
      <c r="L639" s="80">
        <v>1350</v>
      </c>
    </row>
    <row r="640" spans="1:13" ht="12" customHeight="1">
      <c r="A640" s="45"/>
      <c r="B640" s="44" t="s">
        <v>169</v>
      </c>
      <c r="C640" s="21">
        <v>20</v>
      </c>
      <c r="D640" s="82">
        <f>750+50</f>
        <v>800</v>
      </c>
      <c r="E640" s="82">
        <v>200</v>
      </c>
      <c r="F640" s="82">
        <v>200</v>
      </c>
      <c r="G640" s="82">
        <v>200</v>
      </c>
      <c r="H640" s="82">
        <v>200</v>
      </c>
      <c r="I640" s="139">
        <f t="shared" si="479"/>
        <v>800</v>
      </c>
      <c r="J640" s="80">
        <v>800</v>
      </c>
      <c r="K640" s="80">
        <v>800</v>
      </c>
      <c r="L640" s="80">
        <v>800</v>
      </c>
    </row>
    <row r="641" spans="1:13" ht="20.25" hidden="1" customHeight="1">
      <c r="A641" s="45"/>
      <c r="B641" s="37" t="s">
        <v>178</v>
      </c>
      <c r="C641" s="21"/>
      <c r="D641" s="82">
        <f t="shared" ref="D641:L641" si="515">D642</f>
        <v>0</v>
      </c>
      <c r="E641" s="82"/>
      <c r="F641" s="82"/>
      <c r="G641" s="82"/>
      <c r="H641" s="82"/>
      <c r="I641" s="139">
        <f t="shared" si="479"/>
        <v>0</v>
      </c>
      <c r="J641" s="83">
        <f t="shared" si="515"/>
        <v>0</v>
      </c>
      <c r="K641" s="83">
        <f t="shared" si="515"/>
        <v>0</v>
      </c>
      <c r="L641" s="83">
        <f t="shared" si="515"/>
        <v>0</v>
      </c>
    </row>
    <row r="642" spans="1:13" ht="18.75" hidden="1" customHeight="1">
      <c r="A642" s="45"/>
      <c r="B642" s="44" t="s">
        <v>184</v>
      </c>
      <c r="C642" s="21" t="s">
        <v>185</v>
      </c>
      <c r="D642" s="82">
        <v>0</v>
      </c>
      <c r="E642" s="82"/>
      <c r="F642" s="82"/>
      <c r="G642" s="82"/>
      <c r="H642" s="82"/>
      <c r="I642" s="139">
        <f t="shared" si="479"/>
        <v>0</v>
      </c>
      <c r="J642" s="80"/>
      <c r="K642" s="80"/>
      <c r="L642" s="80"/>
    </row>
    <row r="643" spans="1:13" ht="28.5">
      <c r="A643" s="45" t="s">
        <v>502</v>
      </c>
      <c r="B643" s="61" t="s">
        <v>492</v>
      </c>
      <c r="C643" s="21" t="s">
        <v>348</v>
      </c>
      <c r="D643" s="88">
        <f t="shared" ref="D643:L643" si="516">D644+D649</f>
        <v>7015</v>
      </c>
      <c r="E643" s="88">
        <f t="shared" ref="E643:F643" si="517">E644+E649</f>
        <v>1945</v>
      </c>
      <c r="F643" s="88">
        <f t="shared" si="517"/>
        <v>1730</v>
      </c>
      <c r="G643" s="88">
        <f t="shared" ref="G643:H643" si="518">G644+G649</f>
        <v>1720</v>
      </c>
      <c r="H643" s="88">
        <f t="shared" si="518"/>
        <v>1620</v>
      </c>
      <c r="I643" s="139">
        <f t="shared" si="479"/>
        <v>7015</v>
      </c>
      <c r="J643" s="88">
        <f t="shared" si="516"/>
        <v>6300</v>
      </c>
      <c r="K643" s="88">
        <f t="shared" si="516"/>
        <v>6300</v>
      </c>
      <c r="L643" s="88">
        <f t="shared" si="516"/>
        <v>6300</v>
      </c>
      <c r="M643" s="159"/>
    </row>
    <row r="644" spans="1:13" ht="14.25">
      <c r="A644" s="45"/>
      <c r="B644" s="35" t="s">
        <v>166</v>
      </c>
      <c r="C644" s="21"/>
      <c r="D644" s="88">
        <f t="shared" ref="D644:L645" si="519">D645</f>
        <v>6300</v>
      </c>
      <c r="E644" s="88">
        <f t="shared" si="519"/>
        <v>1230</v>
      </c>
      <c r="F644" s="88">
        <f t="shared" si="519"/>
        <v>1730</v>
      </c>
      <c r="G644" s="88">
        <f t="shared" si="519"/>
        <v>1720</v>
      </c>
      <c r="H644" s="88">
        <f t="shared" si="519"/>
        <v>1620</v>
      </c>
      <c r="I644" s="139">
        <f t="shared" si="479"/>
        <v>6300</v>
      </c>
      <c r="J644" s="88">
        <f t="shared" si="519"/>
        <v>6300</v>
      </c>
      <c r="K644" s="88">
        <f t="shared" si="519"/>
        <v>6300</v>
      </c>
      <c r="L644" s="88">
        <f t="shared" si="519"/>
        <v>6300</v>
      </c>
    </row>
    <row r="645" spans="1:13" ht="15">
      <c r="A645" s="45"/>
      <c r="B645" s="44" t="s">
        <v>167</v>
      </c>
      <c r="C645" s="21">
        <v>1</v>
      </c>
      <c r="D645" s="83">
        <f t="shared" si="519"/>
        <v>6300</v>
      </c>
      <c r="E645" s="83">
        <f t="shared" si="519"/>
        <v>1230</v>
      </c>
      <c r="F645" s="83">
        <f t="shared" si="519"/>
        <v>1730</v>
      </c>
      <c r="G645" s="83">
        <f t="shared" si="519"/>
        <v>1720</v>
      </c>
      <c r="H645" s="83">
        <f t="shared" si="519"/>
        <v>1620</v>
      </c>
      <c r="I645" s="139">
        <f t="shared" si="479"/>
        <v>6300</v>
      </c>
      <c r="J645" s="83">
        <f t="shared" si="519"/>
        <v>6300</v>
      </c>
      <c r="K645" s="83">
        <f t="shared" si="519"/>
        <v>6300</v>
      </c>
      <c r="L645" s="83">
        <f t="shared" si="519"/>
        <v>6300</v>
      </c>
    </row>
    <row r="646" spans="1:13" ht="15">
      <c r="A646" s="45"/>
      <c r="B646" s="44" t="s">
        <v>269</v>
      </c>
      <c r="C646" s="21" t="s">
        <v>233</v>
      </c>
      <c r="D646" s="83">
        <f t="shared" ref="D646:L646" si="520">D647+D648</f>
        <v>6300</v>
      </c>
      <c r="E646" s="83">
        <f t="shared" ref="E646:F646" si="521">E647+E648</f>
        <v>1230</v>
      </c>
      <c r="F646" s="83">
        <f t="shared" si="521"/>
        <v>1730</v>
      </c>
      <c r="G646" s="83">
        <f t="shared" ref="G646:H646" si="522">G647+G648</f>
        <v>1720</v>
      </c>
      <c r="H646" s="83">
        <f t="shared" si="522"/>
        <v>1620</v>
      </c>
      <c r="I646" s="139">
        <f t="shared" si="479"/>
        <v>6300</v>
      </c>
      <c r="J646" s="83">
        <f t="shared" si="520"/>
        <v>6300</v>
      </c>
      <c r="K646" s="83">
        <f t="shared" si="520"/>
        <v>6300</v>
      </c>
      <c r="L646" s="83">
        <f t="shared" si="520"/>
        <v>6300</v>
      </c>
    </row>
    <row r="647" spans="1:13" ht="16.5" customHeight="1">
      <c r="A647" s="45"/>
      <c r="B647" s="44" t="s">
        <v>168</v>
      </c>
      <c r="C647" s="21">
        <v>10</v>
      </c>
      <c r="D647" s="82">
        <v>3300</v>
      </c>
      <c r="E647" s="82">
        <v>830</v>
      </c>
      <c r="F647" s="82">
        <v>830</v>
      </c>
      <c r="G647" s="82">
        <v>820</v>
      </c>
      <c r="H647" s="82">
        <v>820</v>
      </c>
      <c r="I647" s="139">
        <f t="shared" si="479"/>
        <v>3300</v>
      </c>
      <c r="J647" s="80">
        <v>3300</v>
      </c>
      <c r="K647" s="80">
        <v>3300</v>
      </c>
      <c r="L647" s="80">
        <v>3300</v>
      </c>
    </row>
    <row r="648" spans="1:13" ht="12" customHeight="1">
      <c r="A648" s="45"/>
      <c r="B648" s="44" t="s">
        <v>169</v>
      </c>
      <c r="C648" s="21">
        <v>20</v>
      </c>
      <c r="D648" s="82">
        <f>2800+200</f>
        <v>3000</v>
      </c>
      <c r="E648" s="82">
        <v>400</v>
      </c>
      <c r="F648" s="82">
        <v>900</v>
      </c>
      <c r="G648" s="82">
        <v>900</v>
      </c>
      <c r="H648" s="82">
        <v>800</v>
      </c>
      <c r="I648" s="139">
        <f t="shared" si="479"/>
        <v>3000</v>
      </c>
      <c r="J648" s="80">
        <v>3000</v>
      </c>
      <c r="K648" s="80">
        <v>3000</v>
      </c>
      <c r="L648" s="80">
        <v>3000</v>
      </c>
    </row>
    <row r="649" spans="1:13" ht="13.5" customHeight="1">
      <c r="A649" s="45"/>
      <c r="B649" s="37" t="s">
        <v>178</v>
      </c>
      <c r="C649" s="21"/>
      <c r="D649" s="83">
        <f t="shared" ref="D649:L649" si="523">D650</f>
        <v>715</v>
      </c>
      <c r="E649" s="83">
        <f t="shared" si="523"/>
        <v>715</v>
      </c>
      <c r="F649" s="83">
        <f t="shared" si="523"/>
        <v>0</v>
      </c>
      <c r="G649" s="83">
        <f t="shared" si="523"/>
        <v>0</v>
      </c>
      <c r="H649" s="83">
        <f t="shared" si="523"/>
        <v>0</v>
      </c>
      <c r="I649" s="139">
        <f t="shared" si="479"/>
        <v>715</v>
      </c>
      <c r="J649" s="83">
        <f t="shared" si="523"/>
        <v>0</v>
      </c>
      <c r="K649" s="83">
        <f t="shared" si="523"/>
        <v>0</v>
      </c>
      <c r="L649" s="83">
        <f t="shared" si="523"/>
        <v>0</v>
      </c>
    </row>
    <row r="650" spans="1:13" ht="15">
      <c r="A650" s="45"/>
      <c r="B650" s="44" t="s">
        <v>184</v>
      </c>
      <c r="C650" s="21" t="s">
        <v>185</v>
      </c>
      <c r="D650" s="82">
        <v>715</v>
      </c>
      <c r="E650" s="82">
        <v>715</v>
      </c>
      <c r="F650" s="82"/>
      <c r="G650" s="82"/>
      <c r="H650" s="82"/>
      <c r="I650" s="139">
        <f t="shared" si="479"/>
        <v>715</v>
      </c>
      <c r="J650" s="80"/>
      <c r="K650" s="80"/>
      <c r="L650" s="80"/>
    </row>
    <row r="651" spans="1:13" ht="14.25">
      <c r="A651" s="45" t="s">
        <v>503</v>
      </c>
      <c r="B651" s="37" t="s">
        <v>349</v>
      </c>
      <c r="C651" s="21" t="s">
        <v>350</v>
      </c>
      <c r="D651" s="88">
        <f t="shared" ref="D651:L653" si="524">D652</f>
        <v>13840</v>
      </c>
      <c r="E651" s="88">
        <f t="shared" si="524"/>
        <v>8183</v>
      </c>
      <c r="F651" s="88">
        <f t="shared" si="524"/>
        <v>2932</v>
      </c>
      <c r="G651" s="88">
        <f t="shared" si="524"/>
        <v>2202</v>
      </c>
      <c r="H651" s="88">
        <f t="shared" si="524"/>
        <v>523</v>
      </c>
      <c r="I651" s="139">
        <f t="shared" si="479"/>
        <v>13840</v>
      </c>
      <c r="J651" s="88">
        <f t="shared" si="524"/>
        <v>13590</v>
      </c>
      <c r="K651" s="88">
        <f t="shared" si="524"/>
        <v>13590</v>
      </c>
      <c r="L651" s="88">
        <f t="shared" si="524"/>
        <v>13590</v>
      </c>
      <c r="M651" s="159"/>
    </row>
    <row r="652" spans="1:13" ht="14.25">
      <c r="A652" s="45"/>
      <c r="B652" s="35" t="s">
        <v>166</v>
      </c>
      <c r="C652" s="21"/>
      <c r="D652" s="88">
        <f t="shared" si="524"/>
        <v>13840</v>
      </c>
      <c r="E652" s="88">
        <f t="shared" si="524"/>
        <v>8183</v>
      </c>
      <c r="F652" s="88">
        <f t="shared" si="524"/>
        <v>2932</v>
      </c>
      <c r="G652" s="88">
        <f t="shared" si="524"/>
        <v>2202</v>
      </c>
      <c r="H652" s="88">
        <f t="shared" si="524"/>
        <v>523</v>
      </c>
      <c r="I652" s="139">
        <f t="shared" si="479"/>
        <v>13840</v>
      </c>
      <c r="J652" s="88">
        <f t="shared" si="524"/>
        <v>13590</v>
      </c>
      <c r="K652" s="88">
        <f t="shared" si="524"/>
        <v>13590</v>
      </c>
      <c r="L652" s="88">
        <f t="shared" si="524"/>
        <v>13590</v>
      </c>
    </row>
    <row r="653" spans="1:13" ht="15">
      <c r="A653" s="45"/>
      <c r="B653" s="44" t="s">
        <v>167</v>
      </c>
      <c r="C653" s="21">
        <v>1</v>
      </c>
      <c r="D653" s="83">
        <f t="shared" si="524"/>
        <v>13840</v>
      </c>
      <c r="E653" s="83">
        <f t="shared" si="524"/>
        <v>8183</v>
      </c>
      <c r="F653" s="83">
        <f t="shared" si="524"/>
        <v>2932</v>
      </c>
      <c r="G653" s="83">
        <f t="shared" si="524"/>
        <v>2202</v>
      </c>
      <c r="H653" s="83">
        <f t="shared" si="524"/>
        <v>523</v>
      </c>
      <c r="I653" s="139">
        <f t="shared" si="479"/>
        <v>13840</v>
      </c>
      <c r="J653" s="83">
        <f t="shared" si="524"/>
        <v>13590</v>
      </c>
      <c r="K653" s="83">
        <f t="shared" si="524"/>
        <v>13590</v>
      </c>
      <c r="L653" s="83">
        <f t="shared" si="524"/>
        <v>13590</v>
      </c>
    </row>
    <row r="654" spans="1:13" ht="15">
      <c r="A654" s="45"/>
      <c r="B654" s="44" t="s">
        <v>351</v>
      </c>
      <c r="C654" s="21">
        <v>59.15</v>
      </c>
      <c r="D654" s="82">
        <f>13590+250</f>
        <v>13840</v>
      </c>
      <c r="E654" s="82">
        <f>8000+183</f>
        <v>8183</v>
      </c>
      <c r="F654" s="82">
        <f>2500+182+250</f>
        <v>2932</v>
      </c>
      <c r="G654" s="82">
        <f>2019+183</f>
        <v>2202</v>
      </c>
      <c r="H654" s="82">
        <f>341+182</f>
        <v>523</v>
      </c>
      <c r="I654" s="139">
        <f t="shared" si="479"/>
        <v>13840</v>
      </c>
      <c r="J654" s="82">
        <v>13590</v>
      </c>
      <c r="K654" s="82">
        <v>13590</v>
      </c>
      <c r="L654" s="82">
        <v>13590</v>
      </c>
    </row>
    <row r="655" spans="1:13" ht="28.5">
      <c r="A655" s="45" t="s">
        <v>504</v>
      </c>
      <c r="B655" s="61" t="s">
        <v>352</v>
      </c>
      <c r="C655" s="21" t="s">
        <v>353</v>
      </c>
      <c r="D655" s="88">
        <f t="shared" ref="D655:L655" si="525">D656+D662</f>
        <v>1760</v>
      </c>
      <c r="E655" s="88">
        <f t="shared" ref="E655:F655" si="526">E656+E662</f>
        <v>520</v>
      </c>
      <c r="F655" s="88">
        <f t="shared" si="526"/>
        <v>420</v>
      </c>
      <c r="G655" s="88">
        <f t="shared" ref="G655:H655" si="527">G656+G662</f>
        <v>520</v>
      </c>
      <c r="H655" s="88">
        <f t="shared" si="527"/>
        <v>300</v>
      </c>
      <c r="I655" s="139">
        <f t="shared" si="479"/>
        <v>1760</v>
      </c>
      <c r="J655" s="125">
        <f t="shared" si="525"/>
        <v>1760</v>
      </c>
      <c r="K655" s="125">
        <f t="shared" si="525"/>
        <v>1760</v>
      </c>
      <c r="L655" s="125">
        <f t="shared" si="525"/>
        <v>1760</v>
      </c>
      <c r="M655" s="159"/>
    </row>
    <row r="656" spans="1:13" ht="14.25">
      <c r="A656" s="45"/>
      <c r="B656" s="35" t="s">
        <v>166</v>
      </c>
      <c r="C656" s="21"/>
      <c r="D656" s="88">
        <f t="shared" ref="D656:L656" si="528">D657</f>
        <v>1760</v>
      </c>
      <c r="E656" s="88">
        <f t="shared" si="528"/>
        <v>520</v>
      </c>
      <c r="F656" s="88">
        <f t="shared" si="528"/>
        <v>420</v>
      </c>
      <c r="G656" s="88">
        <f t="shared" si="528"/>
        <v>520</v>
      </c>
      <c r="H656" s="88">
        <f t="shared" si="528"/>
        <v>300</v>
      </c>
      <c r="I656" s="139">
        <f t="shared" si="479"/>
        <v>1760</v>
      </c>
      <c r="J656" s="125">
        <f t="shared" si="528"/>
        <v>1760</v>
      </c>
      <c r="K656" s="125">
        <f t="shared" si="528"/>
        <v>1760</v>
      </c>
      <c r="L656" s="125">
        <f t="shared" si="528"/>
        <v>1760</v>
      </c>
    </row>
    <row r="657" spans="1:16" ht="15">
      <c r="A657" s="45"/>
      <c r="B657" s="44" t="s">
        <v>167</v>
      </c>
      <c r="C657" s="21">
        <v>1</v>
      </c>
      <c r="D657" s="83">
        <f t="shared" ref="D657:L657" si="529">D658+D661</f>
        <v>1760</v>
      </c>
      <c r="E657" s="83">
        <f t="shared" ref="E657:F657" si="530">E658+E661</f>
        <v>520</v>
      </c>
      <c r="F657" s="83">
        <f t="shared" si="530"/>
        <v>420</v>
      </c>
      <c r="G657" s="83">
        <f t="shared" ref="G657:H657" si="531">G658+G661</f>
        <v>520</v>
      </c>
      <c r="H657" s="83">
        <f t="shared" si="531"/>
        <v>300</v>
      </c>
      <c r="I657" s="139">
        <f t="shared" si="479"/>
        <v>1760</v>
      </c>
      <c r="J657" s="83">
        <f t="shared" si="529"/>
        <v>1760</v>
      </c>
      <c r="K657" s="83">
        <f t="shared" si="529"/>
        <v>1760</v>
      </c>
      <c r="L657" s="83">
        <f t="shared" si="529"/>
        <v>1760</v>
      </c>
    </row>
    <row r="658" spans="1:16" ht="15">
      <c r="A658" s="45"/>
      <c r="B658" s="44" t="s">
        <v>269</v>
      </c>
      <c r="C658" s="21" t="s">
        <v>233</v>
      </c>
      <c r="D658" s="83">
        <f t="shared" ref="D658:L658" si="532">D659+D660</f>
        <v>1760</v>
      </c>
      <c r="E658" s="83">
        <f t="shared" ref="E658:F658" si="533">E659+E660</f>
        <v>520</v>
      </c>
      <c r="F658" s="83">
        <f t="shared" si="533"/>
        <v>420</v>
      </c>
      <c r="G658" s="83">
        <f t="shared" ref="G658:H658" si="534">G659+G660</f>
        <v>520</v>
      </c>
      <c r="H658" s="83">
        <f t="shared" si="534"/>
        <v>300</v>
      </c>
      <c r="I658" s="139">
        <f t="shared" ref="I658:I721" si="535">E658+F658+G658+H658</f>
        <v>1760</v>
      </c>
      <c r="J658" s="124">
        <f t="shared" si="532"/>
        <v>1760</v>
      </c>
      <c r="K658" s="124">
        <f t="shared" si="532"/>
        <v>1760</v>
      </c>
      <c r="L658" s="124">
        <f t="shared" si="532"/>
        <v>1760</v>
      </c>
    </row>
    <row r="659" spans="1:16" ht="14.25" customHeight="1">
      <c r="A659" s="45"/>
      <c r="B659" s="44" t="s">
        <v>168</v>
      </c>
      <c r="C659" s="21">
        <v>10</v>
      </c>
      <c r="D659" s="82">
        <v>460</v>
      </c>
      <c r="E659" s="82">
        <v>170</v>
      </c>
      <c r="F659" s="82">
        <v>120</v>
      </c>
      <c r="G659" s="82">
        <v>120</v>
      </c>
      <c r="H659" s="82">
        <v>50</v>
      </c>
      <c r="I659" s="139">
        <f t="shared" si="535"/>
        <v>460</v>
      </c>
      <c r="J659" s="123">
        <v>460</v>
      </c>
      <c r="K659" s="123">
        <v>460</v>
      </c>
      <c r="L659" s="123">
        <v>460</v>
      </c>
    </row>
    <row r="660" spans="1:16" ht="14.25" customHeight="1">
      <c r="A660" s="45"/>
      <c r="B660" s="44" t="s">
        <v>169</v>
      </c>
      <c r="C660" s="21">
        <v>20</v>
      </c>
      <c r="D660" s="82">
        <f>1200+100</f>
        <v>1300</v>
      </c>
      <c r="E660" s="82">
        <v>350</v>
      </c>
      <c r="F660" s="82">
        <v>300</v>
      </c>
      <c r="G660" s="82">
        <v>400</v>
      </c>
      <c r="H660" s="82">
        <v>250</v>
      </c>
      <c r="I660" s="139">
        <f t="shared" si="535"/>
        <v>1300</v>
      </c>
      <c r="J660" s="123">
        <v>1300</v>
      </c>
      <c r="K660" s="123">
        <v>1300</v>
      </c>
      <c r="L660" s="123">
        <v>1300</v>
      </c>
    </row>
    <row r="661" spans="1:16" ht="14.25" hidden="1" customHeight="1">
      <c r="A661" s="45"/>
      <c r="B661" s="44" t="s">
        <v>571</v>
      </c>
      <c r="C661" s="21">
        <v>85.01</v>
      </c>
      <c r="D661" s="82"/>
      <c r="E661" s="82"/>
      <c r="F661" s="82"/>
      <c r="G661" s="82"/>
      <c r="H661" s="82"/>
      <c r="I661" s="139">
        <f t="shared" si="535"/>
        <v>0</v>
      </c>
      <c r="J661" s="123"/>
      <c r="K661" s="123"/>
      <c r="L661" s="123"/>
    </row>
    <row r="662" spans="1:16" ht="16.5" hidden="1" customHeight="1">
      <c r="A662" s="45"/>
      <c r="B662" s="37" t="s">
        <v>178</v>
      </c>
      <c r="C662" s="21"/>
      <c r="D662" s="83">
        <f t="shared" ref="D662:L662" si="536">D663+D664</f>
        <v>0</v>
      </c>
      <c r="E662" s="83"/>
      <c r="F662" s="83"/>
      <c r="G662" s="83"/>
      <c r="H662" s="83"/>
      <c r="I662" s="139">
        <f t="shared" si="535"/>
        <v>0</v>
      </c>
      <c r="J662" s="124">
        <f t="shared" si="536"/>
        <v>0</v>
      </c>
      <c r="K662" s="124">
        <f t="shared" si="536"/>
        <v>0</v>
      </c>
      <c r="L662" s="124">
        <f t="shared" si="536"/>
        <v>0</v>
      </c>
    </row>
    <row r="663" spans="1:16" ht="0.75" hidden="1" customHeight="1">
      <c r="A663" s="45"/>
      <c r="B663" s="44" t="s">
        <v>354</v>
      </c>
      <c r="C663" s="21" t="s">
        <v>355</v>
      </c>
      <c r="D663" s="82"/>
      <c r="E663" s="82"/>
      <c r="F663" s="82"/>
      <c r="G663" s="82"/>
      <c r="H663" s="82"/>
      <c r="I663" s="139">
        <f t="shared" si="535"/>
        <v>0</v>
      </c>
      <c r="J663" s="123"/>
      <c r="K663" s="123"/>
      <c r="L663" s="123"/>
    </row>
    <row r="664" spans="1:16" ht="18.75" hidden="1" customHeight="1">
      <c r="A664" s="45"/>
      <c r="B664" s="44" t="s">
        <v>184</v>
      </c>
      <c r="C664" s="21" t="s">
        <v>185</v>
      </c>
      <c r="D664" s="82">
        <v>0</v>
      </c>
      <c r="E664" s="82"/>
      <c r="F664" s="82"/>
      <c r="G664" s="82"/>
      <c r="H664" s="82"/>
      <c r="I664" s="139">
        <f t="shared" si="535"/>
        <v>0</v>
      </c>
      <c r="J664" s="123">
        <v>0</v>
      </c>
      <c r="K664" s="123">
        <v>0</v>
      </c>
      <c r="L664" s="123">
        <v>0</v>
      </c>
    </row>
    <row r="665" spans="1:16" ht="14.25">
      <c r="A665" s="67" t="s">
        <v>505</v>
      </c>
      <c r="B665" s="63" t="s">
        <v>356</v>
      </c>
      <c r="C665" s="21" t="s">
        <v>357</v>
      </c>
      <c r="D665" s="88">
        <f t="shared" ref="D665:L665" si="537">D666</f>
        <v>1200</v>
      </c>
      <c r="E665" s="88">
        <f t="shared" si="537"/>
        <v>300</v>
      </c>
      <c r="F665" s="88">
        <f t="shared" si="537"/>
        <v>400</v>
      </c>
      <c r="G665" s="88">
        <f t="shared" si="537"/>
        <v>400</v>
      </c>
      <c r="H665" s="88">
        <f t="shared" si="537"/>
        <v>100</v>
      </c>
      <c r="I665" s="139">
        <f t="shared" si="535"/>
        <v>1200</v>
      </c>
      <c r="J665" s="88">
        <f t="shared" si="537"/>
        <v>1000</v>
      </c>
      <c r="K665" s="88">
        <f t="shared" si="537"/>
        <v>1000</v>
      </c>
      <c r="L665" s="88">
        <f t="shared" si="537"/>
        <v>1000</v>
      </c>
    </row>
    <row r="666" spans="1:16" ht="14.25">
      <c r="A666" s="45"/>
      <c r="B666" s="35" t="s">
        <v>166</v>
      </c>
      <c r="C666" s="21"/>
      <c r="D666" s="88">
        <f t="shared" ref="D666:L666" si="538">D668</f>
        <v>1200</v>
      </c>
      <c r="E666" s="88">
        <f t="shared" ref="E666:F666" si="539">E668</f>
        <v>300</v>
      </c>
      <c r="F666" s="88">
        <f t="shared" si="539"/>
        <v>400</v>
      </c>
      <c r="G666" s="88">
        <f t="shared" ref="G666:H666" si="540">G668</f>
        <v>400</v>
      </c>
      <c r="H666" s="88">
        <f t="shared" si="540"/>
        <v>100</v>
      </c>
      <c r="I666" s="139">
        <f t="shared" si="535"/>
        <v>1200</v>
      </c>
      <c r="J666" s="88">
        <f t="shared" si="538"/>
        <v>1000</v>
      </c>
      <c r="K666" s="88">
        <f t="shared" si="538"/>
        <v>1000</v>
      </c>
      <c r="L666" s="88">
        <f t="shared" si="538"/>
        <v>1000</v>
      </c>
    </row>
    <row r="667" spans="1:16" ht="15">
      <c r="A667" s="45"/>
      <c r="B667" s="44" t="s">
        <v>167</v>
      </c>
      <c r="C667" s="21">
        <v>1</v>
      </c>
      <c r="D667" s="83">
        <f t="shared" ref="D667:L667" si="541">D668</f>
        <v>1200</v>
      </c>
      <c r="E667" s="83">
        <f t="shared" si="541"/>
        <v>300</v>
      </c>
      <c r="F667" s="83">
        <f t="shared" si="541"/>
        <v>400</v>
      </c>
      <c r="G667" s="83">
        <f t="shared" si="541"/>
        <v>400</v>
      </c>
      <c r="H667" s="83">
        <f t="shared" si="541"/>
        <v>100</v>
      </c>
      <c r="I667" s="139">
        <f t="shared" si="535"/>
        <v>1200</v>
      </c>
      <c r="J667" s="83">
        <f t="shared" si="541"/>
        <v>1000</v>
      </c>
      <c r="K667" s="83">
        <f t="shared" si="541"/>
        <v>1000</v>
      </c>
      <c r="L667" s="83">
        <f t="shared" si="541"/>
        <v>1000</v>
      </c>
    </row>
    <row r="668" spans="1:16" ht="16.5" customHeight="1">
      <c r="A668" s="45"/>
      <c r="B668" s="44" t="s">
        <v>169</v>
      </c>
      <c r="C668" s="21">
        <v>20</v>
      </c>
      <c r="D668" s="82">
        <f>1000+200</f>
        <v>1200</v>
      </c>
      <c r="E668" s="82">
        <v>300</v>
      </c>
      <c r="F668" s="82">
        <v>400</v>
      </c>
      <c r="G668" s="82">
        <v>400</v>
      </c>
      <c r="H668" s="82">
        <v>100</v>
      </c>
      <c r="I668" s="139">
        <f t="shared" si="535"/>
        <v>1200</v>
      </c>
      <c r="J668" s="80">
        <v>1000</v>
      </c>
      <c r="K668" s="80">
        <v>1000</v>
      </c>
      <c r="L668" s="80">
        <v>1000</v>
      </c>
    </row>
    <row r="669" spans="1:16" ht="14.25">
      <c r="A669" s="52">
        <v>4</v>
      </c>
      <c r="B669" s="56" t="s">
        <v>358</v>
      </c>
      <c r="C669" s="105">
        <v>68.02</v>
      </c>
      <c r="D669" s="88">
        <f t="shared" ref="D669:H669" si="542">D683+D693+D748+D816+D865</f>
        <v>146172.88</v>
      </c>
      <c r="E669" s="88">
        <f t="shared" si="542"/>
        <v>40342.880000000005</v>
      </c>
      <c r="F669" s="88">
        <f t="shared" si="542"/>
        <v>37970</v>
      </c>
      <c r="G669" s="88">
        <f t="shared" si="542"/>
        <v>36372</v>
      </c>
      <c r="H669" s="88">
        <f t="shared" si="542"/>
        <v>31488</v>
      </c>
      <c r="I669" s="139">
        <f t="shared" si="535"/>
        <v>146172.88</v>
      </c>
      <c r="J669" s="88">
        <f>J683+J693+J748+J816+J865</f>
        <v>95872</v>
      </c>
      <c r="K669" s="88">
        <f>K683+K693+K748+K816+K865</f>
        <v>104653</v>
      </c>
      <c r="L669" s="88">
        <f>L683+L693+L748+L816+L865</f>
        <v>105759</v>
      </c>
      <c r="N669" s="2">
        <v>201578</v>
      </c>
    </row>
    <row r="670" spans="1:16" ht="14.25">
      <c r="A670" s="45"/>
      <c r="B670" s="35" t="s">
        <v>166</v>
      </c>
      <c r="C670" s="99"/>
      <c r="D670" s="88">
        <f t="shared" ref="D670:H670" si="543">D684+D693+D749+D817+D866</f>
        <v>142416.88</v>
      </c>
      <c r="E670" s="88">
        <f t="shared" si="543"/>
        <v>36586.880000000005</v>
      </c>
      <c r="F670" s="88">
        <f t="shared" si="543"/>
        <v>37970</v>
      </c>
      <c r="G670" s="88">
        <f t="shared" si="543"/>
        <v>36372</v>
      </c>
      <c r="H670" s="88">
        <f t="shared" si="543"/>
        <v>31488</v>
      </c>
      <c r="I670" s="139">
        <f t="shared" si="535"/>
        <v>142416.88</v>
      </c>
      <c r="J670" s="88">
        <f>J684+J693+J749+J817+J866</f>
        <v>84460</v>
      </c>
      <c r="K670" s="88">
        <f>K684+K693+K749+K817+K866</f>
        <v>93818</v>
      </c>
      <c r="L670" s="88">
        <f>L684+L693+L749+L817+L866</f>
        <v>104601</v>
      </c>
      <c r="N670" s="131" t="e">
        <f>#REF!+#REF!+#REF!+#REF!+#REF!+#REF!+#REF!</f>
        <v>#REF!</v>
      </c>
      <c r="O670" s="131" t="e">
        <f>#REF!</f>
        <v>#REF!</v>
      </c>
      <c r="P670" s="131" t="e">
        <f>N670-O670</f>
        <v>#REF!</v>
      </c>
    </row>
    <row r="671" spans="1:16" ht="15">
      <c r="A671" s="45"/>
      <c r="B671" s="44" t="s">
        <v>167</v>
      </c>
      <c r="C671" s="99">
        <v>1</v>
      </c>
      <c r="D671" s="88">
        <f t="shared" ref="D671:H671" si="544">D685+D693+D750+D818+D867</f>
        <v>142416.88</v>
      </c>
      <c r="E671" s="88">
        <f t="shared" si="544"/>
        <v>36586.880000000005</v>
      </c>
      <c r="F671" s="88">
        <f t="shared" si="544"/>
        <v>37970</v>
      </c>
      <c r="G671" s="88">
        <f t="shared" si="544"/>
        <v>36372</v>
      </c>
      <c r="H671" s="88">
        <f t="shared" si="544"/>
        <v>31488</v>
      </c>
      <c r="I671" s="139">
        <f t="shared" si="535"/>
        <v>142416.88</v>
      </c>
      <c r="J671" s="88">
        <f>J685+J693+J750+J818+J867</f>
        <v>84460</v>
      </c>
      <c r="K671" s="88">
        <f>K685+K693+K750+K818+K867</f>
        <v>93818</v>
      </c>
      <c r="L671" s="88">
        <f>L685+L693+L750+L818+L867</f>
        <v>104601</v>
      </c>
      <c r="N671" s="131" t="e">
        <f>N669-N670</f>
        <v>#REF!</v>
      </c>
    </row>
    <row r="672" spans="1:16" ht="15">
      <c r="A672" s="45"/>
      <c r="B672" s="44" t="s">
        <v>168</v>
      </c>
      <c r="C672" s="99">
        <v>10</v>
      </c>
      <c r="D672" s="88">
        <f t="shared" ref="D672:H672" si="545">D686+D751</f>
        <v>107906.88</v>
      </c>
      <c r="E672" s="88">
        <f t="shared" si="545"/>
        <v>27946.880000000001</v>
      </c>
      <c r="F672" s="88">
        <f t="shared" si="545"/>
        <v>29060</v>
      </c>
      <c r="G672" s="88">
        <f t="shared" si="545"/>
        <v>27460</v>
      </c>
      <c r="H672" s="88">
        <f t="shared" si="545"/>
        <v>23440</v>
      </c>
      <c r="I672" s="139">
        <f t="shared" si="535"/>
        <v>107906.88</v>
      </c>
      <c r="J672" s="88">
        <f>J686+J751</f>
        <v>56374</v>
      </c>
      <c r="K672" s="88">
        <f>K686+K751</f>
        <v>64374</v>
      </c>
      <c r="L672" s="88">
        <f>L686+L751</f>
        <v>72941</v>
      </c>
    </row>
    <row r="673" spans="1:13" ht="15">
      <c r="A673" s="45"/>
      <c r="B673" s="44" t="s">
        <v>169</v>
      </c>
      <c r="C673" s="99">
        <v>20</v>
      </c>
      <c r="D673" s="88">
        <f t="shared" ref="D673:H673" si="546">D687+D694+D752</f>
        <v>18950</v>
      </c>
      <c r="E673" s="88">
        <f t="shared" si="546"/>
        <v>4745</v>
      </c>
      <c r="F673" s="88">
        <f t="shared" si="546"/>
        <v>4770</v>
      </c>
      <c r="G673" s="88">
        <f t="shared" si="546"/>
        <v>4769</v>
      </c>
      <c r="H673" s="88">
        <f t="shared" si="546"/>
        <v>4666</v>
      </c>
      <c r="I673" s="139">
        <f t="shared" si="535"/>
        <v>18950</v>
      </c>
      <c r="J673" s="88">
        <f>J687+J694+J752</f>
        <v>12696</v>
      </c>
      <c r="K673" s="88">
        <f>K687+K694+K752</f>
        <v>13944</v>
      </c>
      <c r="L673" s="88">
        <f>L687+L694+L752</f>
        <v>15950</v>
      </c>
    </row>
    <row r="674" spans="1:13" ht="15">
      <c r="A674" s="45"/>
      <c r="B674" s="44" t="s">
        <v>269</v>
      </c>
      <c r="C674" s="99">
        <v>51</v>
      </c>
      <c r="D674" s="88">
        <f t="shared" ref="D674:L674" si="547">D819</f>
        <v>11965</v>
      </c>
      <c r="E674" s="88">
        <f t="shared" ref="E674:F674" si="548">E819</f>
        <v>3022</v>
      </c>
      <c r="F674" s="88">
        <f t="shared" si="548"/>
        <v>3103</v>
      </c>
      <c r="G674" s="88">
        <f t="shared" ref="G674:H674" si="549">G819</f>
        <v>3093</v>
      </c>
      <c r="H674" s="88">
        <f t="shared" si="549"/>
        <v>2747</v>
      </c>
      <c r="I674" s="139">
        <f t="shared" si="535"/>
        <v>11965</v>
      </c>
      <c r="J674" s="88">
        <f t="shared" si="547"/>
        <v>11695</v>
      </c>
      <c r="K674" s="88">
        <f t="shared" si="547"/>
        <v>11695</v>
      </c>
      <c r="L674" s="88">
        <f t="shared" si="547"/>
        <v>11795</v>
      </c>
    </row>
    <row r="675" spans="1:13" ht="15">
      <c r="A675" s="45"/>
      <c r="B675" s="44" t="s">
        <v>174</v>
      </c>
      <c r="C675" s="99">
        <v>57</v>
      </c>
      <c r="D675" s="88">
        <f t="shared" ref="D675:H675" si="550">D688+D695+D868</f>
        <v>3295</v>
      </c>
      <c r="E675" s="88">
        <f t="shared" si="550"/>
        <v>793</v>
      </c>
      <c r="F675" s="88">
        <f t="shared" si="550"/>
        <v>957</v>
      </c>
      <c r="G675" s="88">
        <f t="shared" si="550"/>
        <v>970</v>
      </c>
      <c r="H675" s="88">
        <f t="shared" si="550"/>
        <v>575</v>
      </c>
      <c r="I675" s="139">
        <f t="shared" si="535"/>
        <v>3295</v>
      </c>
      <c r="J675" s="88">
        <f>J688+J695+J868</f>
        <v>3395</v>
      </c>
      <c r="K675" s="88">
        <f>K688+K695+K868</f>
        <v>3505</v>
      </c>
      <c r="L675" s="88">
        <f>L688+L695+L868</f>
        <v>3615</v>
      </c>
    </row>
    <row r="676" spans="1:13" ht="16.5" customHeight="1">
      <c r="A676" s="45"/>
      <c r="B676" s="44" t="s">
        <v>191</v>
      </c>
      <c r="C676" s="99">
        <v>59</v>
      </c>
      <c r="D676" s="88">
        <f t="shared" ref="D676:L676" si="551">D691</f>
        <v>300</v>
      </c>
      <c r="E676" s="88">
        <f t="shared" ref="E676:F676" si="552">E691</f>
        <v>80</v>
      </c>
      <c r="F676" s="88">
        <f t="shared" si="552"/>
        <v>80</v>
      </c>
      <c r="G676" s="88">
        <f t="shared" ref="G676:H676" si="553">G691</f>
        <v>80</v>
      </c>
      <c r="H676" s="88">
        <f t="shared" si="553"/>
        <v>60</v>
      </c>
      <c r="I676" s="139">
        <f t="shared" si="535"/>
        <v>300</v>
      </c>
      <c r="J676" s="88">
        <f t="shared" si="551"/>
        <v>300</v>
      </c>
      <c r="K676" s="88">
        <f t="shared" si="551"/>
        <v>300</v>
      </c>
      <c r="L676" s="88">
        <f t="shared" si="551"/>
        <v>300</v>
      </c>
    </row>
    <row r="677" spans="1:13" ht="17.25" hidden="1" customHeight="1">
      <c r="A677" s="45"/>
      <c r="B677" s="44" t="s">
        <v>177</v>
      </c>
      <c r="C677" s="99"/>
      <c r="D677" s="88">
        <f t="shared" ref="D677:H677" si="554">D692+D820</f>
        <v>0</v>
      </c>
      <c r="E677" s="88">
        <f t="shared" si="554"/>
        <v>0</v>
      </c>
      <c r="F677" s="88">
        <f t="shared" si="554"/>
        <v>0</v>
      </c>
      <c r="G677" s="88">
        <f t="shared" si="554"/>
        <v>0</v>
      </c>
      <c r="H677" s="88">
        <f t="shared" si="554"/>
        <v>0</v>
      </c>
      <c r="I677" s="139">
        <f t="shared" si="535"/>
        <v>0</v>
      </c>
      <c r="J677" s="88">
        <f>J692+J820</f>
        <v>0</v>
      </c>
      <c r="K677" s="88">
        <f>K692+K820</f>
        <v>0</v>
      </c>
      <c r="L677" s="88">
        <f>L692+L820</f>
        <v>0</v>
      </c>
    </row>
    <row r="678" spans="1:13" ht="13.5" customHeight="1">
      <c r="A678" s="45"/>
      <c r="B678" s="37" t="s">
        <v>178</v>
      </c>
      <c r="C678" s="99"/>
      <c r="D678" s="88">
        <f t="shared" ref="D678:H678" si="555">D698+D753+D821</f>
        <v>3756</v>
      </c>
      <c r="E678" s="88">
        <f t="shared" si="555"/>
        <v>3756</v>
      </c>
      <c r="F678" s="88">
        <f t="shared" si="555"/>
        <v>0</v>
      </c>
      <c r="G678" s="88">
        <f t="shared" si="555"/>
        <v>0</v>
      </c>
      <c r="H678" s="88">
        <f t="shared" si="555"/>
        <v>0</v>
      </c>
      <c r="I678" s="139">
        <f t="shared" si="535"/>
        <v>3756</v>
      </c>
      <c r="J678" s="88">
        <f>J698+J753+J821</f>
        <v>11412</v>
      </c>
      <c r="K678" s="88">
        <f>K698+K753+K821</f>
        <v>10835</v>
      </c>
      <c r="L678" s="88">
        <f>L698+L753+L821</f>
        <v>1158</v>
      </c>
    </row>
    <row r="679" spans="1:13" ht="12.75" customHeight="1">
      <c r="A679" s="45"/>
      <c r="B679" s="44" t="s">
        <v>184</v>
      </c>
      <c r="C679" s="99">
        <v>51</v>
      </c>
      <c r="D679" s="88">
        <f t="shared" ref="D679:L679" si="556">D822</f>
        <v>1252</v>
      </c>
      <c r="E679" s="88">
        <f t="shared" ref="E679:F679" si="557">E822</f>
        <v>1252</v>
      </c>
      <c r="F679" s="88">
        <f t="shared" si="557"/>
        <v>0</v>
      </c>
      <c r="G679" s="88">
        <f t="shared" ref="G679:H679" si="558">G822</f>
        <v>0</v>
      </c>
      <c r="H679" s="88">
        <f t="shared" si="558"/>
        <v>0</v>
      </c>
      <c r="I679" s="139">
        <f t="shared" si="535"/>
        <v>1252</v>
      </c>
      <c r="J679" s="88">
        <f t="shared" si="556"/>
        <v>0</v>
      </c>
      <c r="K679" s="88">
        <f t="shared" si="556"/>
        <v>0</v>
      </c>
      <c r="L679" s="88">
        <f t="shared" si="556"/>
        <v>0</v>
      </c>
    </row>
    <row r="680" spans="1:13" ht="18.75" hidden="1" customHeight="1">
      <c r="A680" s="45"/>
      <c r="B680" s="44" t="s">
        <v>187</v>
      </c>
      <c r="C680" s="99">
        <v>56</v>
      </c>
      <c r="D680" s="88"/>
      <c r="E680" s="88"/>
      <c r="F680" s="88"/>
      <c r="G680" s="88"/>
      <c r="H680" s="88"/>
      <c r="I680" s="139">
        <f t="shared" si="535"/>
        <v>0</v>
      </c>
      <c r="J680" s="88"/>
      <c r="K680" s="88"/>
      <c r="L680" s="88"/>
    </row>
    <row r="681" spans="1:13" ht="18.75" customHeight="1">
      <c r="A681" s="45"/>
      <c r="B681" s="44" t="s">
        <v>187</v>
      </c>
      <c r="C681" s="99">
        <v>58</v>
      </c>
      <c r="D681" s="88">
        <f t="shared" ref="D681:L681" si="559">D699</f>
        <v>1981</v>
      </c>
      <c r="E681" s="88">
        <f t="shared" ref="E681:F681" si="560">E699</f>
        <v>1981</v>
      </c>
      <c r="F681" s="88">
        <f t="shared" si="560"/>
        <v>0</v>
      </c>
      <c r="G681" s="88">
        <f t="shared" ref="G681:H681" si="561">G699</f>
        <v>0</v>
      </c>
      <c r="H681" s="88">
        <f t="shared" si="561"/>
        <v>0</v>
      </c>
      <c r="I681" s="139">
        <f t="shared" si="535"/>
        <v>1981</v>
      </c>
      <c r="J681" s="88">
        <f t="shared" si="559"/>
        <v>11412</v>
      </c>
      <c r="K681" s="88">
        <f t="shared" si="559"/>
        <v>10835</v>
      </c>
      <c r="L681" s="88">
        <f t="shared" si="559"/>
        <v>1158</v>
      </c>
    </row>
    <row r="682" spans="1:13" ht="14.25" customHeight="1">
      <c r="A682" s="45"/>
      <c r="B682" s="44" t="s">
        <v>207</v>
      </c>
      <c r="C682" s="99">
        <v>70</v>
      </c>
      <c r="D682" s="83">
        <f t="shared" ref="D682:H682" si="562">D704+D754</f>
        <v>523</v>
      </c>
      <c r="E682" s="83">
        <f t="shared" si="562"/>
        <v>523</v>
      </c>
      <c r="F682" s="83">
        <f t="shared" si="562"/>
        <v>0</v>
      </c>
      <c r="G682" s="83">
        <f t="shared" si="562"/>
        <v>0</v>
      </c>
      <c r="H682" s="83">
        <f t="shared" si="562"/>
        <v>0</v>
      </c>
      <c r="I682" s="139">
        <f t="shared" si="535"/>
        <v>523</v>
      </c>
      <c r="J682" s="83">
        <f>J704+J754</f>
        <v>0</v>
      </c>
      <c r="K682" s="83">
        <f>K704+K754</f>
        <v>0</v>
      </c>
      <c r="L682" s="83">
        <f>L704+L754</f>
        <v>0</v>
      </c>
    </row>
    <row r="683" spans="1:13" ht="43.5" customHeight="1">
      <c r="A683" s="126" t="s">
        <v>525</v>
      </c>
      <c r="B683" s="42" t="s">
        <v>524</v>
      </c>
      <c r="C683" s="99" t="s">
        <v>359</v>
      </c>
      <c r="D683" s="88">
        <f t="shared" ref="D683:L683" si="563">D684+D698</f>
        <v>84720.88</v>
      </c>
      <c r="E683" s="88">
        <f t="shared" ref="E683:F683" si="564">E684+E698</f>
        <v>23175.88</v>
      </c>
      <c r="F683" s="88">
        <f t="shared" si="564"/>
        <v>22880</v>
      </c>
      <c r="G683" s="88">
        <f t="shared" ref="G683:H683" si="565">G684+G698</f>
        <v>20880</v>
      </c>
      <c r="H683" s="88">
        <f t="shared" si="565"/>
        <v>17785</v>
      </c>
      <c r="I683" s="139">
        <f t="shared" si="535"/>
        <v>84720.88</v>
      </c>
      <c r="J683" s="88">
        <f t="shared" si="563"/>
        <v>56832</v>
      </c>
      <c r="K683" s="88">
        <f t="shared" si="563"/>
        <v>56653</v>
      </c>
      <c r="L683" s="88">
        <f t="shared" si="563"/>
        <v>47182</v>
      </c>
      <c r="M683" s="159"/>
    </row>
    <row r="684" spans="1:13" ht="14.25">
      <c r="A684" s="45"/>
      <c r="B684" s="35" t="s">
        <v>166</v>
      </c>
      <c r="C684" s="99"/>
      <c r="D684" s="88">
        <f t="shared" ref="D684:L684" si="566">D685</f>
        <v>82416.88</v>
      </c>
      <c r="E684" s="88">
        <f t="shared" si="566"/>
        <v>20871.88</v>
      </c>
      <c r="F684" s="88">
        <f t="shared" si="566"/>
        <v>22880</v>
      </c>
      <c r="G684" s="88">
        <f t="shared" si="566"/>
        <v>20880</v>
      </c>
      <c r="H684" s="88">
        <f t="shared" si="566"/>
        <v>17785</v>
      </c>
      <c r="I684" s="139">
        <f t="shared" si="535"/>
        <v>82416.88</v>
      </c>
      <c r="J684" s="88">
        <f t="shared" si="566"/>
        <v>45420</v>
      </c>
      <c r="K684" s="88">
        <f t="shared" si="566"/>
        <v>45818</v>
      </c>
      <c r="L684" s="88">
        <f t="shared" si="566"/>
        <v>46024</v>
      </c>
    </row>
    <row r="685" spans="1:13" ht="15">
      <c r="A685" s="45"/>
      <c r="B685" s="44" t="s">
        <v>167</v>
      </c>
      <c r="C685" s="21">
        <v>1</v>
      </c>
      <c r="D685" s="83">
        <f t="shared" ref="D685:L685" si="567">D686+D687+D688+D691+D692</f>
        <v>82416.88</v>
      </c>
      <c r="E685" s="83">
        <f t="shared" ref="E685:F685" si="568">E686+E687+E688+E691+E692</f>
        <v>20871.88</v>
      </c>
      <c r="F685" s="83">
        <f t="shared" si="568"/>
        <v>22880</v>
      </c>
      <c r="G685" s="83">
        <f t="shared" ref="G685:H685" si="569">G686+G687+G688+G691+G692</f>
        <v>20880</v>
      </c>
      <c r="H685" s="83">
        <f t="shared" si="569"/>
        <v>17785</v>
      </c>
      <c r="I685" s="139">
        <f t="shared" si="535"/>
        <v>82416.88</v>
      </c>
      <c r="J685" s="83">
        <f t="shared" si="567"/>
        <v>45420</v>
      </c>
      <c r="K685" s="83">
        <f t="shared" si="567"/>
        <v>45818</v>
      </c>
      <c r="L685" s="83">
        <f t="shared" si="567"/>
        <v>46024</v>
      </c>
    </row>
    <row r="686" spans="1:13" ht="15.75" customHeight="1">
      <c r="A686" s="45"/>
      <c r="B686" s="44" t="s">
        <v>168</v>
      </c>
      <c r="C686" s="21">
        <v>10</v>
      </c>
      <c r="D686" s="82">
        <f>71000+12.66+4.22</f>
        <v>71016.88</v>
      </c>
      <c r="E686" s="82">
        <f>18000+12.66+4.22</f>
        <v>18016.88</v>
      </c>
      <c r="F686" s="82">
        <v>20000</v>
      </c>
      <c r="G686" s="82">
        <v>18000</v>
      </c>
      <c r="H686" s="82">
        <v>15000</v>
      </c>
      <c r="I686" s="139">
        <f t="shared" si="535"/>
        <v>71016.88</v>
      </c>
      <c r="J686" s="80">
        <f>21624+13000+3000</f>
        <v>37624</v>
      </c>
      <c r="K686" s="80">
        <f>21624+13000+3000</f>
        <v>37624</v>
      </c>
      <c r="L686" s="80">
        <f>21624+13000+3000</f>
        <v>37624</v>
      </c>
    </row>
    <row r="687" spans="1:13" ht="14.25" customHeight="1">
      <c r="A687" s="45"/>
      <c r="B687" s="44" t="s">
        <v>169</v>
      </c>
      <c r="C687" s="21">
        <v>20</v>
      </c>
      <c r="D687" s="82">
        <v>9900</v>
      </c>
      <c r="E687" s="82">
        <v>2475</v>
      </c>
      <c r="F687" s="82">
        <v>2500</v>
      </c>
      <c r="G687" s="82">
        <v>2500</v>
      </c>
      <c r="H687" s="82">
        <v>2425</v>
      </c>
      <c r="I687" s="139">
        <f t="shared" si="535"/>
        <v>9900</v>
      </c>
      <c r="J687" s="80">
        <f>9900-604-3000</f>
        <v>6296</v>
      </c>
      <c r="K687" s="80">
        <f>9900-206-3000</f>
        <v>6694</v>
      </c>
      <c r="L687" s="80">
        <f>9900-3000</f>
        <v>6900</v>
      </c>
    </row>
    <row r="688" spans="1:13" ht="15.75" customHeight="1">
      <c r="A688" s="45"/>
      <c r="B688" s="44" t="s">
        <v>278</v>
      </c>
      <c r="C688" s="21">
        <v>57</v>
      </c>
      <c r="D688" s="80">
        <f t="shared" ref="D688:L688" si="570">D689+D690</f>
        <v>1200</v>
      </c>
      <c r="E688" s="80">
        <f t="shared" si="570"/>
        <v>300</v>
      </c>
      <c r="F688" s="80">
        <f t="shared" si="570"/>
        <v>300</v>
      </c>
      <c r="G688" s="80">
        <f t="shared" si="570"/>
        <v>300</v>
      </c>
      <c r="H688" s="80">
        <f t="shared" si="570"/>
        <v>300</v>
      </c>
      <c r="I688" s="139">
        <f t="shared" si="535"/>
        <v>1200</v>
      </c>
      <c r="J688" s="80">
        <f t="shared" si="570"/>
        <v>1200</v>
      </c>
      <c r="K688" s="80">
        <f t="shared" si="570"/>
        <v>1200</v>
      </c>
      <c r="L688" s="80">
        <f t="shared" si="570"/>
        <v>1200</v>
      </c>
    </row>
    <row r="689" spans="1:12" ht="18" customHeight="1">
      <c r="A689" s="45"/>
      <c r="B689" s="44" t="s">
        <v>190</v>
      </c>
      <c r="C689" s="21" t="s">
        <v>290</v>
      </c>
      <c r="D689" s="82">
        <v>620</v>
      </c>
      <c r="E689" s="82">
        <v>150</v>
      </c>
      <c r="F689" s="82">
        <v>170</v>
      </c>
      <c r="G689" s="82">
        <v>150</v>
      </c>
      <c r="H689" s="82">
        <v>150</v>
      </c>
      <c r="I689" s="139">
        <f t="shared" si="535"/>
        <v>620</v>
      </c>
      <c r="J689" s="80">
        <v>600</v>
      </c>
      <c r="K689" s="80">
        <v>600</v>
      </c>
      <c r="L689" s="80">
        <v>600</v>
      </c>
    </row>
    <row r="690" spans="1:12" ht="18" customHeight="1">
      <c r="A690" s="45"/>
      <c r="B690" s="44" t="s">
        <v>360</v>
      </c>
      <c r="C690" s="21" t="s">
        <v>301</v>
      </c>
      <c r="D690" s="82">
        <v>580</v>
      </c>
      <c r="E690" s="82">
        <v>150</v>
      </c>
      <c r="F690" s="82">
        <v>130</v>
      </c>
      <c r="G690" s="82">
        <v>150</v>
      </c>
      <c r="H690" s="82">
        <v>150</v>
      </c>
      <c r="I690" s="139">
        <f t="shared" si="535"/>
        <v>580</v>
      </c>
      <c r="J690" s="80">
        <v>600</v>
      </c>
      <c r="K690" s="80">
        <v>600</v>
      </c>
      <c r="L690" s="80">
        <v>600</v>
      </c>
    </row>
    <row r="691" spans="1:12" ht="16.5" customHeight="1">
      <c r="A691" s="45"/>
      <c r="B691" s="44" t="s">
        <v>361</v>
      </c>
      <c r="C691" s="21">
        <v>59</v>
      </c>
      <c r="D691" s="82">
        <v>300</v>
      </c>
      <c r="E691" s="82">
        <v>80</v>
      </c>
      <c r="F691" s="82">
        <v>80</v>
      </c>
      <c r="G691" s="82">
        <v>80</v>
      </c>
      <c r="H691" s="82">
        <v>60</v>
      </c>
      <c r="I691" s="139">
        <f t="shared" si="535"/>
        <v>300</v>
      </c>
      <c r="J691" s="80">
        <v>300</v>
      </c>
      <c r="K691" s="80">
        <v>300</v>
      </c>
      <c r="L691" s="80">
        <v>300</v>
      </c>
    </row>
    <row r="692" spans="1:12" ht="16.5" hidden="1" customHeight="1">
      <c r="A692" s="45"/>
      <c r="B692" s="44" t="s">
        <v>177</v>
      </c>
      <c r="C692" s="21"/>
      <c r="D692" s="82"/>
      <c r="E692" s="82"/>
      <c r="F692" s="82"/>
      <c r="G692" s="82"/>
      <c r="H692" s="82"/>
      <c r="I692" s="139">
        <f t="shared" si="535"/>
        <v>0</v>
      </c>
      <c r="J692" s="80"/>
      <c r="K692" s="80"/>
      <c r="L692" s="80"/>
    </row>
    <row r="693" spans="1:12" ht="14.25">
      <c r="A693" s="127" t="s">
        <v>526</v>
      </c>
      <c r="B693" s="37" t="s">
        <v>362</v>
      </c>
      <c r="C693" s="99" t="s">
        <v>359</v>
      </c>
      <c r="D693" s="88">
        <f t="shared" ref="D693:L693" si="571">D694+D695</f>
        <v>1525</v>
      </c>
      <c r="E693" s="88">
        <f t="shared" si="571"/>
        <v>393</v>
      </c>
      <c r="F693" s="88">
        <f t="shared" si="571"/>
        <v>407</v>
      </c>
      <c r="G693" s="88">
        <f t="shared" si="571"/>
        <v>520</v>
      </c>
      <c r="H693" s="88">
        <f t="shared" si="571"/>
        <v>205</v>
      </c>
      <c r="I693" s="139">
        <f t="shared" si="535"/>
        <v>1525</v>
      </c>
      <c r="J693" s="88">
        <f t="shared" si="571"/>
        <v>1625</v>
      </c>
      <c r="K693" s="88">
        <f t="shared" si="571"/>
        <v>1735</v>
      </c>
      <c r="L693" s="88">
        <f t="shared" si="571"/>
        <v>1845</v>
      </c>
    </row>
    <row r="694" spans="1:12" ht="12" customHeight="1">
      <c r="A694" s="45"/>
      <c r="B694" s="44" t="s">
        <v>363</v>
      </c>
      <c r="C694" s="21">
        <v>20</v>
      </c>
      <c r="D694" s="82"/>
      <c r="E694" s="82"/>
      <c r="F694" s="82"/>
      <c r="G694" s="82"/>
      <c r="H694" s="82"/>
      <c r="I694" s="139">
        <f t="shared" si="535"/>
        <v>0</v>
      </c>
      <c r="J694" s="80"/>
      <c r="K694" s="80"/>
      <c r="L694" s="80"/>
    </row>
    <row r="695" spans="1:12" ht="15.75" customHeight="1">
      <c r="A695" s="45"/>
      <c r="B695" s="44" t="s">
        <v>364</v>
      </c>
      <c r="C695" s="99">
        <v>57.02</v>
      </c>
      <c r="D695" s="83">
        <f t="shared" ref="D695:L695" si="572">D696+D697</f>
        <v>1525</v>
      </c>
      <c r="E695" s="83">
        <f t="shared" si="572"/>
        <v>393</v>
      </c>
      <c r="F695" s="83">
        <f t="shared" si="572"/>
        <v>407</v>
      </c>
      <c r="G695" s="83">
        <f t="shared" si="572"/>
        <v>520</v>
      </c>
      <c r="H695" s="83">
        <f t="shared" si="572"/>
        <v>205</v>
      </c>
      <c r="I695" s="139">
        <f t="shared" si="535"/>
        <v>1525</v>
      </c>
      <c r="J695" s="83">
        <f t="shared" si="572"/>
        <v>1625</v>
      </c>
      <c r="K695" s="83">
        <f t="shared" si="572"/>
        <v>1735</v>
      </c>
      <c r="L695" s="83">
        <f t="shared" si="572"/>
        <v>1845</v>
      </c>
    </row>
    <row r="696" spans="1:12" ht="19.5" customHeight="1">
      <c r="A696" s="45"/>
      <c r="B696" s="44" t="s">
        <v>190</v>
      </c>
      <c r="C696" s="21" t="s">
        <v>290</v>
      </c>
      <c r="D696" s="82">
        <v>217</v>
      </c>
      <c r="E696" s="82">
        <v>23</v>
      </c>
      <c r="F696" s="82">
        <v>67</v>
      </c>
      <c r="G696" s="82">
        <v>70</v>
      </c>
      <c r="H696" s="82">
        <v>57</v>
      </c>
      <c r="I696" s="139">
        <f t="shared" si="535"/>
        <v>217</v>
      </c>
      <c r="J696" s="80">
        <v>125</v>
      </c>
      <c r="K696" s="80">
        <v>135</v>
      </c>
      <c r="L696" s="80">
        <v>145</v>
      </c>
    </row>
    <row r="697" spans="1:12" ht="17.25" customHeight="1">
      <c r="A697" s="45"/>
      <c r="B697" s="44" t="s">
        <v>365</v>
      </c>
      <c r="C697" s="21" t="s">
        <v>366</v>
      </c>
      <c r="D697" s="82">
        <v>1308</v>
      </c>
      <c r="E697" s="82">
        <v>370</v>
      </c>
      <c r="F697" s="82">
        <v>340</v>
      </c>
      <c r="G697" s="82">
        <v>450</v>
      </c>
      <c r="H697" s="82">
        <v>148</v>
      </c>
      <c r="I697" s="139">
        <f t="shared" si="535"/>
        <v>1308</v>
      </c>
      <c r="J697" s="80">
        <v>1500</v>
      </c>
      <c r="K697" s="80">
        <v>1600</v>
      </c>
      <c r="L697" s="80">
        <v>1700</v>
      </c>
    </row>
    <row r="698" spans="1:12" ht="12.75" customHeight="1">
      <c r="A698" s="45"/>
      <c r="B698" s="37" t="s">
        <v>178</v>
      </c>
      <c r="C698" s="21"/>
      <c r="D698" s="88">
        <f t="shared" ref="D698:L698" si="573">D699+D703+D704</f>
        <v>2304</v>
      </c>
      <c r="E698" s="88">
        <f t="shared" si="573"/>
        <v>2304</v>
      </c>
      <c r="F698" s="88">
        <f t="shared" si="573"/>
        <v>0</v>
      </c>
      <c r="G698" s="88">
        <f t="shared" si="573"/>
        <v>0</v>
      </c>
      <c r="H698" s="88">
        <f t="shared" si="573"/>
        <v>0</v>
      </c>
      <c r="I698" s="139">
        <f t="shared" si="535"/>
        <v>2304</v>
      </c>
      <c r="J698" s="88">
        <f t="shared" si="573"/>
        <v>11412</v>
      </c>
      <c r="K698" s="88">
        <f t="shared" si="573"/>
        <v>10835</v>
      </c>
      <c r="L698" s="88">
        <f t="shared" si="573"/>
        <v>1158</v>
      </c>
    </row>
    <row r="699" spans="1:12" ht="15" customHeight="1">
      <c r="A699" s="45"/>
      <c r="B699" s="44" t="s">
        <v>187</v>
      </c>
      <c r="C699" s="99">
        <v>58</v>
      </c>
      <c r="D699" s="80">
        <f>D710+D716+D722+D727+D732+D737+D742</f>
        <v>1981</v>
      </c>
      <c r="E699" s="80">
        <f t="shared" ref="E699:L699" si="574">E710+E716+E722+E727+E732+E737+E742</f>
        <v>1981</v>
      </c>
      <c r="F699" s="80">
        <f t="shared" si="574"/>
        <v>0</v>
      </c>
      <c r="G699" s="80">
        <f t="shared" si="574"/>
        <v>0</v>
      </c>
      <c r="H699" s="80">
        <f t="shared" si="574"/>
        <v>0</v>
      </c>
      <c r="I699" s="80">
        <f t="shared" si="574"/>
        <v>1835</v>
      </c>
      <c r="J699" s="80">
        <f t="shared" si="574"/>
        <v>11412</v>
      </c>
      <c r="K699" s="80">
        <f t="shared" si="574"/>
        <v>10835</v>
      </c>
      <c r="L699" s="80">
        <f t="shared" si="574"/>
        <v>1158</v>
      </c>
    </row>
    <row r="700" spans="1:12" ht="0.75" customHeight="1">
      <c r="A700" s="45"/>
      <c r="B700" s="44" t="s">
        <v>367</v>
      </c>
      <c r="C700" s="21" t="s">
        <v>219</v>
      </c>
      <c r="D700" s="82">
        <v>0</v>
      </c>
      <c r="E700" s="82"/>
      <c r="F700" s="82"/>
      <c r="G700" s="82"/>
      <c r="H700" s="82"/>
      <c r="I700" s="139">
        <f t="shared" si="535"/>
        <v>0</v>
      </c>
      <c r="J700" s="80"/>
      <c r="K700" s="80"/>
      <c r="L700" s="80"/>
    </row>
    <row r="701" spans="1:12" ht="14.25" hidden="1" customHeight="1">
      <c r="A701" s="45"/>
      <c r="B701" s="44" t="s">
        <v>220</v>
      </c>
      <c r="C701" s="21" t="s">
        <v>221</v>
      </c>
      <c r="D701" s="82">
        <v>0</v>
      </c>
      <c r="E701" s="82"/>
      <c r="F701" s="82"/>
      <c r="G701" s="82"/>
      <c r="H701" s="82"/>
      <c r="I701" s="139">
        <f t="shared" si="535"/>
        <v>0</v>
      </c>
      <c r="J701" s="80"/>
      <c r="K701" s="80"/>
      <c r="L701" s="80"/>
    </row>
    <row r="702" spans="1:12" ht="18" hidden="1" customHeight="1">
      <c r="A702" s="45"/>
      <c r="B702" s="44" t="s">
        <v>223</v>
      </c>
      <c r="C702" s="21" t="s">
        <v>222</v>
      </c>
      <c r="D702" s="82">
        <v>0</v>
      </c>
      <c r="E702" s="82"/>
      <c r="F702" s="82"/>
      <c r="G702" s="82"/>
      <c r="H702" s="82"/>
      <c r="I702" s="139">
        <f t="shared" si="535"/>
        <v>0</v>
      </c>
      <c r="J702" s="80"/>
      <c r="K702" s="80"/>
      <c r="L702" s="80"/>
    </row>
    <row r="703" spans="1:12" ht="14.25" hidden="1" customHeight="1">
      <c r="A703" s="45"/>
      <c r="B703" s="44" t="s">
        <v>187</v>
      </c>
      <c r="C703" s="99" t="s">
        <v>368</v>
      </c>
      <c r="D703" s="90">
        <v>0</v>
      </c>
      <c r="E703" s="90"/>
      <c r="F703" s="90"/>
      <c r="G703" s="90"/>
      <c r="H703" s="90"/>
      <c r="I703" s="139">
        <f t="shared" si="535"/>
        <v>0</v>
      </c>
      <c r="J703" s="80"/>
      <c r="K703" s="80"/>
      <c r="L703" s="80"/>
    </row>
    <row r="704" spans="1:12" ht="15" customHeight="1">
      <c r="A704" s="45"/>
      <c r="B704" s="44" t="s">
        <v>207</v>
      </c>
      <c r="C704" s="99">
        <v>70</v>
      </c>
      <c r="D704" s="88">
        <f>323</f>
        <v>323</v>
      </c>
      <c r="E704" s="88">
        <f>2+321</f>
        <v>323</v>
      </c>
      <c r="F704" s="88"/>
      <c r="G704" s="88"/>
      <c r="H704" s="88"/>
      <c r="I704" s="139">
        <f t="shared" si="535"/>
        <v>323</v>
      </c>
      <c r="J704" s="88">
        <v>0</v>
      </c>
      <c r="K704" s="88">
        <v>0</v>
      </c>
      <c r="L704" s="88">
        <v>0</v>
      </c>
    </row>
    <row r="705" spans="1:13" ht="0.75" customHeight="1">
      <c r="A705" s="45"/>
      <c r="B705" s="44" t="s">
        <v>208</v>
      </c>
      <c r="C705" s="21" t="s">
        <v>209</v>
      </c>
      <c r="D705" s="82">
        <v>0</v>
      </c>
      <c r="E705" s="82"/>
      <c r="F705" s="82"/>
      <c r="G705" s="82"/>
      <c r="H705" s="82"/>
      <c r="I705" s="139">
        <f t="shared" si="535"/>
        <v>0</v>
      </c>
      <c r="J705" s="80"/>
      <c r="K705" s="80"/>
      <c r="L705" s="80"/>
    </row>
    <row r="706" spans="1:13" ht="21" hidden="1" customHeight="1">
      <c r="A706" s="45"/>
      <c r="B706" s="44" t="s">
        <v>263</v>
      </c>
      <c r="C706" s="21" t="s">
        <v>211</v>
      </c>
      <c r="D706" s="82">
        <v>0</v>
      </c>
      <c r="E706" s="82"/>
      <c r="F706" s="82"/>
      <c r="G706" s="82"/>
      <c r="H706" s="82"/>
      <c r="I706" s="139">
        <f t="shared" si="535"/>
        <v>0</v>
      </c>
      <c r="J706" s="80"/>
      <c r="K706" s="80"/>
      <c r="L706" s="80"/>
    </row>
    <row r="707" spans="1:13" ht="21" hidden="1" customHeight="1">
      <c r="A707" s="45"/>
      <c r="B707" s="44" t="s">
        <v>369</v>
      </c>
      <c r="C707" s="21" t="s">
        <v>213</v>
      </c>
      <c r="D707" s="82">
        <v>0</v>
      </c>
      <c r="E707" s="82"/>
      <c r="F707" s="82"/>
      <c r="G707" s="82"/>
      <c r="H707" s="82"/>
      <c r="I707" s="139">
        <f t="shared" si="535"/>
        <v>0</v>
      </c>
      <c r="J707" s="80"/>
      <c r="K707" s="80"/>
      <c r="L707" s="80"/>
    </row>
    <row r="708" spans="1:13" ht="21" hidden="1" customHeight="1">
      <c r="A708" s="45"/>
      <c r="B708" s="44" t="s">
        <v>214</v>
      </c>
      <c r="C708" s="21" t="s">
        <v>215</v>
      </c>
      <c r="D708" s="82"/>
      <c r="E708" s="82"/>
      <c r="F708" s="82"/>
      <c r="G708" s="82"/>
      <c r="H708" s="82"/>
      <c r="I708" s="139">
        <f t="shared" si="535"/>
        <v>0</v>
      </c>
      <c r="J708" s="80"/>
      <c r="K708" s="80"/>
      <c r="L708" s="80"/>
    </row>
    <row r="709" spans="1:13" ht="21" hidden="1" customHeight="1">
      <c r="A709" s="45"/>
      <c r="B709" s="44" t="s">
        <v>216</v>
      </c>
      <c r="C709" s="21">
        <v>71.03</v>
      </c>
      <c r="D709" s="82"/>
      <c r="E709" s="82"/>
      <c r="F709" s="82"/>
      <c r="G709" s="82"/>
      <c r="H709" s="82"/>
      <c r="I709" s="139">
        <f t="shared" si="535"/>
        <v>0</v>
      </c>
      <c r="J709" s="80"/>
      <c r="K709" s="80"/>
      <c r="L709" s="80"/>
    </row>
    <row r="710" spans="1:13" ht="30" customHeight="1">
      <c r="A710" s="45"/>
      <c r="B710" s="60" t="s">
        <v>565</v>
      </c>
      <c r="C710" s="107" t="s">
        <v>359</v>
      </c>
      <c r="D710" s="92">
        <f t="shared" ref="D710:L711" si="575">D711</f>
        <v>971</v>
      </c>
      <c r="E710" s="92">
        <f t="shared" si="575"/>
        <v>971</v>
      </c>
      <c r="F710" s="92">
        <f t="shared" si="575"/>
        <v>0</v>
      </c>
      <c r="G710" s="92">
        <f t="shared" si="575"/>
        <v>0</v>
      </c>
      <c r="H710" s="92">
        <f t="shared" si="575"/>
        <v>0</v>
      </c>
      <c r="I710" s="139">
        <f t="shared" si="535"/>
        <v>971</v>
      </c>
      <c r="J710" s="92">
        <f t="shared" si="575"/>
        <v>1607</v>
      </c>
      <c r="K710" s="92">
        <f t="shared" si="575"/>
        <v>0</v>
      </c>
      <c r="L710" s="92">
        <f t="shared" si="575"/>
        <v>0</v>
      </c>
      <c r="M710" s="159"/>
    </row>
    <row r="711" spans="1:13" ht="21" customHeight="1">
      <c r="A711" s="45"/>
      <c r="B711" s="44" t="s">
        <v>178</v>
      </c>
      <c r="C711" s="151"/>
      <c r="D711" s="80">
        <f t="shared" si="575"/>
        <v>971</v>
      </c>
      <c r="E711" s="80">
        <f t="shared" si="575"/>
        <v>971</v>
      </c>
      <c r="F711" s="80">
        <f t="shared" si="575"/>
        <v>0</v>
      </c>
      <c r="G711" s="80">
        <f t="shared" si="575"/>
        <v>0</v>
      </c>
      <c r="H711" s="80">
        <f t="shared" si="575"/>
        <v>0</v>
      </c>
      <c r="I711" s="139">
        <f t="shared" si="535"/>
        <v>971</v>
      </c>
      <c r="J711" s="80">
        <f t="shared" si="575"/>
        <v>1607</v>
      </c>
      <c r="K711" s="80">
        <f t="shared" si="575"/>
        <v>0</v>
      </c>
      <c r="L711" s="80">
        <f t="shared" si="575"/>
        <v>0</v>
      </c>
    </row>
    <row r="712" spans="1:13" ht="30" customHeight="1">
      <c r="A712" s="45"/>
      <c r="B712" s="43" t="s">
        <v>486</v>
      </c>
      <c r="C712" s="21">
        <v>58</v>
      </c>
      <c r="D712" s="80">
        <f t="shared" ref="D712:L712" si="576">D713+D714+D715</f>
        <v>971</v>
      </c>
      <c r="E712" s="80">
        <f t="shared" si="576"/>
        <v>971</v>
      </c>
      <c r="F712" s="80">
        <f t="shared" si="576"/>
        <v>0</v>
      </c>
      <c r="G712" s="80">
        <f t="shared" si="576"/>
        <v>0</v>
      </c>
      <c r="H712" s="80">
        <f t="shared" si="576"/>
        <v>0</v>
      </c>
      <c r="I712" s="139">
        <f t="shared" si="535"/>
        <v>971</v>
      </c>
      <c r="J712" s="80">
        <f t="shared" si="576"/>
        <v>1607</v>
      </c>
      <c r="K712" s="80">
        <f t="shared" si="576"/>
        <v>0</v>
      </c>
      <c r="L712" s="80">
        <f t="shared" si="576"/>
        <v>0</v>
      </c>
    </row>
    <row r="713" spans="1:13" ht="15" customHeight="1">
      <c r="A713" s="45"/>
      <c r="B713" s="32" t="s">
        <v>533</v>
      </c>
      <c r="C713" s="21" t="s">
        <v>546</v>
      </c>
      <c r="D713" s="82">
        <v>132</v>
      </c>
      <c r="E713" s="82">
        <v>132</v>
      </c>
      <c r="F713" s="82">
        <v>0</v>
      </c>
      <c r="G713" s="82">
        <v>0</v>
      </c>
      <c r="H713" s="82">
        <v>0</v>
      </c>
      <c r="I713" s="139">
        <f t="shared" si="535"/>
        <v>132</v>
      </c>
      <c r="J713" s="80">
        <v>218</v>
      </c>
      <c r="K713" s="80">
        <f t="shared" ref="K713:L713" si="577">K714+K715+K716</f>
        <v>0</v>
      </c>
      <c r="L713" s="80">
        <f t="shared" si="577"/>
        <v>0</v>
      </c>
    </row>
    <row r="714" spans="1:13" ht="17.25" customHeight="1">
      <c r="A714" s="45"/>
      <c r="B714" s="32" t="s">
        <v>535</v>
      </c>
      <c r="C714" s="21" t="s">
        <v>547</v>
      </c>
      <c r="D714" s="82">
        <v>819</v>
      </c>
      <c r="E714" s="82">
        <v>819</v>
      </c>
      <c r="F714" s="82">
        <v>0</v>
      </c>
      <c r="G714" s="82">
        <v>0</v>
      </c>
      <c r="H714" s="82">
        <v>0</v>
      </c>
      <c r="I714" s="139">
        <f t="shared" si="535"/>
        <v>819</v>
      </c>
      <c r="J714" s="80">
        <v>1356</v>
      </c>
      <c r="K714" s="80">
        <f t="shared" ref="K714:L714" si="578">K715+K716+K717</f>
        <v>0</v>
      </c>
      <c r="L714" s="80">
        <f t="shared" si="578"/>
        <v>0</v>
      </c>
    </row>
    <row r="715" spans="1:13" ht="17.25" customHeight="1">
      <c r="A715" s="45"/>
      <c r="B715" s="32" t="s">
        <v>536</v>
      </c>
      <c r="C715" s="21" t="s">
        <v>548</v>
      </c>
      <c r="D715" s="82">
        <v>20</v>
      </c>
      <c r="E715" s="82">
        <v>20</v>
      </c>
      <c r="F715" s="82">
        <v>0</v>
      </c>
      <c r="G715" s="82">
        <v>0</v>
      </c>
      <c r="H715" s="82">
        <v>0</v>
      </c>
      <c r="I715" s="139">
        <f t="shared" si="535"/>
        <v>20</v>
      </c>
      <c r="J715" s="80">
        <v>33</v>
      </c>
      <c r="K715" s="80">
        <f t="shared" ref="K715:L715" si="579">K716+K717+K718</f>
        <v>0</v>
      </c>
      <c r="L715" s="80">
        <f t="shared" si="579"/>
        <v>0</v>
      </c>
    </row>
    <row r="716" spans="1:13" ht="30" customHeight="1">
      <c r="A716" s="45"/>
      <c r="B716" s="60" t="s">
        <v>569</v>
      </c>
      <c r="C716" s="108" t="s">
        <v>359</v>
      </c>
      <c r="D716" s="93">
        <f t="shared" ref="D716:L717" si="580">D717</f>
        <v>164</v>
      </c>
      <c r="E716" s="93">
        <f t="shared" si="580"/>
        <v>164</v>
      </c>
      <c r="F716" s="93">
        <f t="shared" si="580"/>
        <v>0</v>
      </c>
      <c r="G716" s="93">
        <f t="shared" si="580"/>
        <v>0</v>
      </c>
      <c r="H716" s="93">
        <f t="shared" si="580"/>
        <v>0</v>
      </c>
      <c r="I716" s="139">
        <f t="shared" si="535"/>
        <v>164</v>
      </c>
      <c r="J716" s="93">
        <f t="shared" si="580"/>
        <v>108</v>
      </c>
      <c r="K716" s="93">
        <f t="shared" si="580"/>
        <v>0</v>
      </c>
      <c r="L716" s="93">
        <f t="shared" si="580"/>
        <v>0</v>
      </c>
      <c r="M716" s="159"/>
    </row>
    <row r="717" spans="1:13" ht="21" customHeight="1">
      <c r="A717" s="45"/>
      <c r="B717" s="44" t="s">
        <v>178</v>
      </c>
      <c r="C717" s="151"/>
      <c r="D717" s="80">
        <f t="shared" si="580"/>
        <v>164</v>
      </c>
      <c r="E717" s="80">
        <f t="shared" si="580"/>
        <v>164</v>
      </c>
      <c r="F717" s="80">
        <f t="shared" si="580"/>
        <v>0</v>
      </c>
      <c r="G717" s="80">
        <f t="shared" si="580"/>
        <v>0</v>
      </c>
      <c r="H717" s="80">
        <f t="shared" si="580"/>
        <v>0</v>
      </c>
      <c r="I717" s="139">
        <f t="shared" si="535"/>
        <v>164</v>
      </c>
      <c r="J717" s="80">
        <f t="shared" si="580"/>
        <v>108</v>
      </c>
      <c r="K717" s="80">
        <f t="shared" si="580"/>
        <v>0</v>
      </c>
      <c r="L717" s="80">
        <f t="shared" si="580"/>
        <v>0</v>
      </c>
    </row>
    <row r="718" spans="1:13" ht="27.75" customHeight="1">
      <c r="A718" s="45"/>
      <c r="B718" s="43" t="s">
        <v>486</v>
      </c>
      <c r="C718" s="21">
        <v>58</v>
      </c>
      <c r="D718" s="80">
        <f t="shared" ref="D718:L718" si="581">D719+D720+D721</f>
        <v>164</v>
      </c>
      <c r="E718" s="80">
        <f t="shared" si="581"/>
        <v>164</v>
      </c>
      <c r="F718" s="80">
        <f t="shared" si="581"/>
        <v>0</v>
      </c>
      <c r="G718" s="80">
        <f t="shared" si="581"/>
        <v>0</v>
      </c>
      <c r="H718" s="80">
        <f t="shared" si="581"/>
        <v>0</v>
      </c>
      <c r="I718" s="139">
        <f t="shared" si="535"/>
        <v>164</v>
      </c>
      <c r="J718" s="80">
        <f t="shared" si="581"/>
        <v>108</v>
      </c>
      <c r="K718" s="80">
        <f t="shared" si="581"/>
        <v>0</v>
      </c>
      <c r="L718" s="80">
        <f t="shared" si="581"/>
        <v>0</v>
      </c>
    </row>
    <row r="719" spans="1:13" ht="17.25" customHeight="1">
      <c r="A719" s="45"/>
      <c r="B719" s="32" t="s">
        <v>533</v>
      </c>
      <c r="C719" s="21" t="s">
        <v>566</v>
      </c>
      <c r="D719" s="82"/>
      <c r="E719" s="82"/>
      <c r="F719" s="82"/>
      <c r="G719" s="82"/>
      <c r="H719" s="82"/>
      <c r="I719" s="139">
        <f t="shared" si="535"/>
        <v>0</v>
      </c>
      <c r="J719" s="80"/>
      <c r="K719" s="80"/>
      <c r="L719" s="80"/>
    </row>
    <row r="720" spans="1:13" ht="17.25" customHeight="1">
      <c r="A720" s="45"/>
      <c r="B720" s="32" t="s">
        <v>535</v>
      </c>
      <c r="C720" s="21" t="s">
        <v>567</v>
      </c>
      <c r="D720" s="82">
        <v>131</v>
      </c>
      <c r="E720" s="82">
        <v>131</v>
      </c>
      <c r="F720" s="82"/>
      <c r="G720" s="82"/>
      <c r="H720" s="82"/>
      <c r="I720" s="139">
        <f t="shared" si="535"/>
        <v>131</v>
      </c>
      <c r="J720" s="80">
        <v>91</v>
      </c>
      <c r="K720" s="80"/>
      <c r="L720" s="80"/>
    </row>
    <row r="721" spans="1:12" ht="17.25" customHeight="1">
      <c r="A721" s="45"/>
      <c r="B721" s="32" t="s">
        <v>536</v>
      </c>
      <c r="C721" s="21" t="s">
        <v>568</v>
      </c>
      <c r="D721" s="82">
        <v>33</v>
      </c>
      <c r="E721" s="82">
        <v>33</v>
      </c>
      <c r="F721" s="82"/>
      <c r="G721" s="82"/>
      <c r="H721" s="82"/>
      <c r="I721" s="139">
        <f t="shared" si="535"/>
        <v>33</v>
      </c>
      <c r="J721" s="80">
        <v>17</v>
      </c>
      <c r="K721" s="80"/>
      <c r="L721" s="80"/>
    </row>
    <row r="722" spans="1:12" ht="42" customHeight="1">
      <c r="A722" s="45"/>
      <c r="B722" s="60" t="s">
        <v>734</v>
      </c>
      <c r="C722" s="107"/>
      <c r="D722" s="92">
        <f t="shared" ref="D722:K722" si="582">D723</f>
        <v>145</v>
      </c>
      <c r="E722" s="92">
        <f t="shared" si="582"/>
        <v>145</v>
      </c>
      <c r="F722" s="92">
        <f t="shared" si="582"/>
        <v>0</v>
      </c>
      <c r="G722" s="92">
        <f t="shared" si="582"/>
        <v>0</v>
      </c>
      <c r="H722" s="92">
        <f t="shared" si="582"/>
        <v>0</v>
      </c>
      <c r="I722" s="139">
        <f t="shared" ref="I722:I791" si="583">E722+F722+G722+H722</f>
        <v>145</v>
      </c>
      <c r="J722" s="92">
        <f t="shared" si="582"/>
        <v>2561</v>
      </c>
      <c r="K722" s="92">
        <f t="shared" si="582"/>
        <v>2088</v>
      </c>
      <c r="L722" s="92"/>
    </row>
    <row r="723" spans="1:12" ht="30" customHeight="1">
      <c r="A723" s="45"/>
      <c r="B723" s="43" t="s">
        <v>486</v>
      </c>
      <c r="C723" s="21">
        <v>58</v>
      </c>
      <c r="D723" s="80">
        <f t="shared" ref="D723:L723" si="584">D724+D725+D726</f>
        <v>145</v>
      </c>
      <c r="E723" s="80">
        <f t="shared" si="584"/>
        <v>145</v>
      </c>
      <c r="F723" s="80">
        <f t="shared" si="584"/>
        <v>0</v>
      </c>
      <c r="G723" s="80">
        <f t="shared" si="584"/>
        <v>0</v>
      </c>
      <c r="H723" s="80">
        <f t="shared" si="584"/>
        <v>0</v>
      </c>
      <c r="I723" s="139">
        <f t="shared" si="583"/>
        <v>145</v>
      </c>
      <c r="J723" s="80">
        <f t="shared" si="584"/>
        <v>2561</v>
      </c>
      <c r="K723" s="80">
        <f t="shared" si="584"/>
        <v>2088</v>
      </c>
      <c r="L723" s="80">
        <f t="shared" si="584"/>
        <v>0</v>
      </c>
    </row>
    <row r="724" spans="1:12" ht="17.25" customHeight="1">
      <c r="A724" s="45"/>
      <c r="B724" s="32" t="s">
        <v>533</v>
      </c>
      <c r="C724" s="21" t="s">
        <v>534</v>
      </c>
      <c r="D724" s="82">
        <v>14</v>
      </c>
      <c r="E724" s="82">
        <v>14</v>
      </c>
      <c r="F724" s="82"/>
      <c r="G724" s="82"/>
      <c r="H724" s="82"/>
      <c r="I724" s="139">
        <f t="shared" si="583"/>
        <v>14</v>
      </c>
      <c r="J724" s="80">
        <v>243</v>
      </c>
      <c r="K724" s="80">
        <v>203</v>
      </c>
      <c r="L724" s="80"/>
    </row>
    <row r="725" spans="1:12" ht="15.75" customHeight="1">
      <c r="A725" s="45"/>
      <c r="B725" s="32" t="s">
        <v>535</v>
      </c>
      <c r="C725" s="21" t="s">
        <v>488</v>
      </c>
      <c r="D725" s="82">
        <v>91</v>
      </c>
      <c r="E725" s="82">
        <v>91</v>
      </c>
      <c r="F725" s="82"/>
      <c r="G725" s="82"/>
      <c r="H725" s="82"/>
      <c r="I725" s="139">
        <f t="shared" si="583"/>
        <v>91</v>
      </c>
      <c r="J725" s="80">
        <v>1589</v>
      </c>
      <c r="K725" s="80">
        <v>1325</v>
      </c>
      <c r="L725" s="80"/>
    </row>
    <row r="726" spans="1:12" ht="15" customHeight="1">
      <c r="A726" s="45"/>
      <c r="B726" s="32" t="s">
        <v>536</v>
      </c>
      <c r="C726" s="21" t="s">
        <v>489</v>
      </c>
      <c r="D726" s="82">
        <f>3+37</f>
        <v>40</v>
      </c>
      <c r="E726" s="82">
        <v>40</v>
      </c>
      <c r="F726" s="82"/>
      <c r="G726" s="82"/>
      <c r="H726" s="82"/>
      <c r="I726" s="139">
        <f t="shared" si="583"/>
        <v>40</v>
      </c>
      <c r="J726" s="80">
        <f>38+691</f>
        <v>729</v>
      </c>
      <c r="K726" s="80">
        <f>32+528</f>
        <v>560</v>
      </c>
      <c r="L726" s="80"/>
    </row>
    <row r="727" spans="1:12" ht="43.5" customHeight="1">
      <c r="A727" s="45"/>
      <c r="B727" s="60" t="s">
        <v>735</v>
      </c>
      <c r="C727" s="107"/>
      <c r="D727" s="93">
        <f t="shared" ref="D727:L727" si="585">D728</f>
        <v>177</v>
      </c>
      <c r="E727" s="93">
        <f t="shared" si="585"/>
        <v>177</v>
      </c>
      <c r="F727" s="93">
        <f t="shared" si="585"/>
        <v>0</v>
      </c>
      <c r="G727" s="93">
        <f t="shared" si="585"/>
        <v>0</v>
      </c>
      <c r="H727" s="93">
        <f t="shared" si="585"/>
        <v>0</v>
      </c>
      <c r="I727" s="139">
        <f t="shared" si="583"/>
        <v>177</v>
      </c>
      <c r="J727" s="93">
        <f t="shared" si="585"/>
        <v>2520</v>
      </c>
      <c r="K727" s="93">
        <f t="shared" si="585"/>
        <v>2650</v>
      </c>
      <c r="L727" s="93">
        <f t="shared" si="585"/>
        <v>211</v>
      </c>
    </row>
    <row r="728" spans="1:12" ht="27" customHeight="1">
      <c r="A728" s="45"/>
      <c r="B728" s="43" t="s">
        <v>486</v>
      </c>
      <c r="C728" s="21">
        <v>58</v>
      </c>
      <c r="D728" s="80">
        <f t="shared" ref="D728:L728" si="586">D729+D731+D730</f>
        <v>177</v>
      </c>
      <c r="E728" s="80">
        <f t="shared" si="586"/>
        <v>177</v>
      </c>
      <c r="F728" s="80">
        <f t="shared" si="586"/>
        <v>0</v>
      </c>
      <c r="G728" s="80">
        <f t="shared" si="586"/>
        <v>0</v>
      </c>
      <c r="H728" s="80">
        <f t="shared" si="586"/>
        <v>0</v>
      </c>
      <c r="I728" s="139">
        <f t="shared" si="583"/>
        <v>177</v>
      </c>
      <c r="J728" s="80">
        <f t="shared" si="586"/>
        <v>2520</v>
      </c>
      <c r="K728" s="80">
        <f t="shared" si="586"/>
        <v>2650</v>
      </c>
      <c r="L728" s="80">
        <f t="shared" si="586"/>
        <v>211</v>
      </c>
    </row>
    <row r="729" spans="1:12" ht="18" customHeight="1">
      <c r="A729" s="45"/>
      <c r="B729" s="32" t="s">
        <v>533</v>
      </c>
      <c r="C729" s="21" t="s">
        <v>534</v>
      </c>
      <c r="D729" s="82">
        <v>3</v>
      </c>
      <c r="E729" s="82">
        <v>3</v>
      </c>
      <c r="F729" s="82"/>
      <c r="G729" s="82"/>
      <c r="H729" s="82"/>
      <c r="I729" s="139">
        <f t="shared" si="583"/>
        <v>3</v>
      </c>
      <c r="J729" s="80">
        <v>249</v>
      </c>
      <c r="K729" s="80">
        <v>275</v>
      </c>
      <c r="L729" s="80">
        <v>24</v>
      </c>
    </row>
    <row r="730" spans="1:12" ht="16.5" customHeight="1">
      <c r="A730" s="45"/>
      <c r="B730" s="32" t="s">
        <v>535</v>
      </c>
      <c r="C730" s="21" t="s">
        <v>488</v>
      </c>
      <c r="D730" s="82">
        <v>19</v>
      </c>
      <c r="E730" s="82">
        <v>19</v>
      </c>
      <c r="F730" s="82"/>
      <c r="G730" s="82"/>
      <c r="H730" s="82"/>
      <c r="I730" s="139">
        <f t="shared" si="583"/>
        <v>19</v>
      </c>
      <c r="J730" s="80">
        <v>1626</v>
      </c>
      <c r="K730" s="80">
        <v>1795</v>
      </c>
      <c r="L730" s="80">
        <v>157</v>
      </c>
    </row>
    <row r="731" spans="1:12" ht="13.5" customHeight="1">
      <c r="A731" s="45"/>
      <c r="B731" s="32" t="s">
        <v>536</v>
      </c>
      <c r="C731" s="21" t="s">
        <v>489</v>
      </c>
      <c r="D731" s="82">
        <f>1+154</f>
        <v>155</v>
      </c>
      <c r="E731" s="82">
        <v>155</v>
      </c>
      <c r="F731" s="82"/>
      <c r="G731" s="82"/>
      <c r="H731" s="82"/>
      <c r="I731" s="139">
        <f t="shared" si="583"/>
        <v>155</v>
      </c>
      <c r="J731" s="80">
        <f>39+606</f>
        <v>645</v>
      </c>
      <c r="K731" s="80">
        <f>43+537</f>
        <v>580</v>
      </c>
      <c r="L731" s="80">
        <f>4+26</f>
        <v>30</v>
      </c>
    </row>
    <row r="732" spans="1:12" ht="46.5" customHeight="1">
      <c r="A732" s="45"/>
      <c r="B732" s="60" t="s">
        <v>736</v>
      </c>
      <c r="C732" s="107"/>
      <c r="D732" s="93">
        <f t="shared" ref="D732:L732" si="587">D733</f>
        <v>192</v>
      </c>
      <c r="E732" s="93">
        <f t="shared" si="587"/>
        <v>192</v>
      </c>
      <c r="F732" s="93">
        <f t="shared" si="587"/>
        <v>0</v>
      </c>
      <c r="G732" s="93">
        <f t="shared" si="587"/>
        <v>0</v>
      </c>
      <c r="H732" s="93">
        <f t="shared" si="587"/>
        <v>0</v>
      </c>
      <c r="I732" s="139">
        <f t="shared" si="583"/>
        <v>192</v>
      </c>
      <c r="J732" s="93">
        <f t="shared" si="587"/>
        <v>2185</v>
      </c>
      <c r="K732" s="93">
        <f t="shared" si="587"/>
        <v>2726</v>
      </c>
      <c r="L732" s="93">
        <f t="shared" si="587"/>
        <v>385</v>
      </c>
    </row>
    <row r="733" spans="1:12" ht="27.75" customHeight="1">
      <c r="A733" s="45"/>
      <c r="B733" s="43" t="s">
        <v>486</v>
      </c>
      <c r="C733" s="21">
        <v>58</v>
      </c>
      <c r="D733" s="80">
        <f t="shared" ref="D733:L733" si="588">D734+D735+D736</f>
        <v>192</v>
      </c>
      <c r="E733" s="80">
        <f t="shared" si="588"/>
        <v>192</v>
      </c>
      <c r="F733" s="80">
        <f t="shared" si="588"/>
        <v>0</v>
      </c>
      <c r="G733" s="80">
        <f t="shared" si="588"/>
        <v>0</v>
      </c>
      <c r="H733" s="80">
        <f t="shared" si="588"/>
        <v>0</v>
      </c>
      <c r="I733" s="139">
        <f t="shared" si="583"/>
        <v>192</v>
      </c>
      <c r="J733" s="80">
        <f t="shared" si="588"/>
        <v>2185</v>
      </c>
      <c r="K733" s="80">
        <f t="shared" si="588"/>
        <v>2726</v>
      </c>
      <c r="L733" s="80">
        <f t="shared" si="588"/>
        <v>385</v>
      </c>
    </row>
    <row r="734" spans="1:12" ht="18.75" customHeight="1">
      <c r="A734" s="45"/>
      <c r="B734" s="32" t="s">
        <v>533</v>
      </c>
      <c r="C734" s="21" t="s">
        <v>534</v>
      </c>
      <c r="D734" s="82">
        <v>4</v>
      </c>
      <c r="E734" s="82">
        <v>4</v>
      </c>
      <c r="F734" s="82"/>
      <c r="G734" s="82"/>
      <c r="H734" s="82"/>
      <c r="I734" s="139">
        <f t="shared" si="583"/>
        <v>4</v>
      </c>
      <c r="J734" s="80">
        <v>226</v>
      </c>
      <c r="K734" s="80">
        <v>297</v>
      </c>
      <c r="L734" s="80">
        <v>23</v>
      </c>
    </row>
    <row r="735" spans="1:12" ht="16.5" customHeight="1">
      <c r="A735" s="45"/>
      <c r="B735" s="32" t="s">
        <v>535</v>
      </c>
      <c r="C735" s="21" t="s">
        <v>488</v>
      </c>
      <c r="D735" s="82">
        <v>23</v>
      </c>
      <c r="E735" s="82">
        <v>23</v>
      </c>
      <c r="F735" s="82"/>
      <c r="G735" s="82"/>
      <c r="H735" s="82"/>
      <c r="I735" s="139">
        <f t="shared" si="583"/>
        <v>23</v>
      </c>
      <c r="J735" s="80">
        <v>1478</v>
      </c>
      <c r="K735" s="80">
        <v>1938</v>
      </c>
      <c r="L735" s="80">
        <v>148</v>
      </c>
    </row>
    <row r="736" spans="1:12" ht="12.75" customHeight="1">
      <c r="A736" s="45"/>
      <c r="B736" s="32" t="s">
        <v>536</v>
      </c>
      <c r="C736" s="21" t="s">
        <v>489</v>
      </c>
      <c r="D736" s="82">
        <f>1+164</f>
        <v>165</v>
      </c>
      <c r="E736" s="82">
        <v>165</v>
      </c>
      <c r="F736" s="82"/>
      <c r="G736" s="82"/>
      <c r="H736" s="82"/>
      <c r="I736" s="139">
        <f t="shared" si="583"/>
        <v>165</v>
      </c>
      <c r="J736" s="80">
        <f>35+446</f>
        <v>481</v>
      </c>
      <c r="K736" s="80">
        <f>46+445</f>
        <v>491</v>
      </c>
      <c r="L736" s="80">
        <f>4+210</f>
        <v>214</v>
      </c>
    </row>
    <row r="737" spans="1:12" ht="43.5" customHeight="1">
      <c r="A737" s="45"/>
      <c r="B737" s="60" t="s">
        <v>737</v>
      </c>
      <c r="C737" s="107"/>
      <c r="D737" s="93">
        <f t="shared" ref="D737:L737" si="589">D738</f>
        <v>186</v>
      </c>
      <c r="E737" s="93">
        <f t="shared" si="589"/>
        <v>186</v>
      </c>
      <c r="F737" s="93">
        <f t="shared" si="589"/>
        <v>0</v>
      </c>
      <c r="G737" s="93">
        <f t="shared" si="589"/>
        <v>0</v>
      </c>
      <c r="H737" s="93">
        <f t="shared" si="589"/>
        <v>0</v>
      </c>
      <c r="I737" s="139">
        <f t="shared" si="583"/>
        <v>186</v>
      </c>
      <c r="J737" s="93">
        <f t="shared" si="589"/>
        <v>2141</v>
      </c>
      <c r="K737" s="93">
        <f t="shared" si="589"/>
        <v>3046</v>
      </c>
      <c r="L737" s="93">
        <f t="shared" si="589"/>
        <v>237</v>
      </c>
    </row>
    <row r="738" spans="1:12" ht="30.75" customHeight="1">
      <c r="A738" s="45"/>
      <c r="B738" s="43" t="s">
        <v>486</v>
      </c>
      <c r="C738" s="21">
        <v>58</v>
      </c>
      <c r="D738" s="80">
        <f t="shared" ref="D738:L738" si="590">D739+D740+D741</f>
        <v>186</v>
      </c>
      <c r="E738" s="80">
        <f t="shared" si="590"/>
        <v>186</v>
      </c>
      <c r="F738" s="80">
        <f t="shared" si="590"/>
        <v>0</v>
      </c>
      <c r="G738" s="80">
        <f t="shared" si="590"/>
        <v>0</v>
      </c>
      <c r="H738" s="80">
        <f t="shared" si="590"/>
        <v>0</v>
      </c>
      <c r="I738" s="139">
        <f t="shared" si="583"/>
        <v>186</v>
      </c>
      <c r="J738" s="80">
        <f t="shared" si="590"/>
        <v>2141</v>
      </c>
      <c r="K738" s="80">
        <f t="shared" si="590"/>
        <v>3046</v>
      </c>
      <c r="L738" s="80">
        <f t="shared" si="590"/>
        <v>237</v>
      </c>
    </row>
    <row r="739" spans="1:12" ht="15" customHeight="1">
      <c r="A739" s="45"/>
      <c r="B739" s="32" t="s">
        <v>533</v>
      </c>
      <c r="C739" s="21" t="s">
        <v>534</v>
      </c>
      <c r="D739" s="82">
        <v>3</v>
      </c>
      <c r="E739" s="82">
        <v>3</v>
      </c>
      <c r="F739" s="82"/>
      <c r="G739" s="82"/>
      <c r="H739" s="82"/>
      <c r="I739" s="139">
        <f t="shared" si="583"/>
        <v>3</v>
      </c>
      <c r="J739" s="80">
        <v>237</v>
      </c>
      <c r="K739" s="80">
        <v>285</v>
      </c>
      <c r="L739" s="80">
        <v>25</v>
      </c>
    </row>
    <row r="740" spans="1:12" ht="17.25" customHeight="1">
      <c r="A740" s="45"/>
      <c r="B740" s="32" t="s">
        <v>535</v>
      </c>
      <c r="C740" s="21" t="s">
        <v>488</v>
      </c>
      <c r="D740" s="82">
        <v>19</v>
      </c>
      <c r="E740" s="82">
        <v>19</v>
      </c>
      <c r="F740" s="82"/>
      <c r="G740" s="82"/>
      <c r="H740" s="82"/>
      <c r="I740" s="139">
        <f t="shared" si="583"/>
        <v>19</v>
      </c>
      <c r="J740" s="80">
        <v>1547</v>
      </c>
      <c r="K740" s="80">
        <v>1861</v>
      </c>
      <c r="L740" s="80">
        <v>159</v>
      </c>
    </row>
    <row r="741" spans="1:12" ht="18" customHeight="1">
      <c r="A741" s="45"/>
      <c r="B741" s="32" t="s">
        <v>536</v>
      </c>
      <c r="C741" s="21" t="s">
        <v>489</v>
      </c>
      <c r="D741" s="82">
        <v>164</v>
      </c>
      <c r="E741" s="82">
        <v>164</v>
      </c>
      <c r="F741" s="82"/>
      <c r="G741" s="82"/>
      <c r="H741" s="82"/>
      <c r="I741" s="139">
        <f t="shared" si="583"/>
        <v>164</v>
      </c>
      <c r="J741" s="80">
        <f>36+321</f>
        <v>357</v>
      </c>
      <c r="K741" s="80">
        <f>44+856</f>
        <v>900</v>
      </c>
      <c r="L741" s="80">
        <f>4+49</f>
        <v>53</v>
      </c>
    </row>
    <row r="742" spans="1:12" ht="30" customHeight="1">
      <c r="A742" s="45"/>
      <c r="B742" s="60" t="s">
        <v>803</v>
      </c>
      <c r="C742" s="108"/>
      <c r="D742" s="93">
        <f>D743</f>
        <v>146</v>
      </c>
      <c r="E742" s="93">
        <f t="shared" ref="E742:L743" si="591">E743</f>
        <v>146</v>
      </c>
      <c r="F742" s="93">
        <f t="shared" si="591"/>
        <v>0</v>
      </c>
      <c r="G742" s="93">
        <f t="shared" si="591"/>
        <v>0</v>
      </c>
      <c r="H742" s="93">
        <f t="shared" si="591"/>
        <v>0</v>
      </c>
      <c r="I742" s="93">
        <f t="shared" si="591"/>
        <v>0</v>
      </c>
      <c r="J742" s="93">
        <f t="shared" si="591"/>
        <v>290</v>
      </c>
      <c r="K742" s="93">
        <f t="shared" si="591"/>
        <v>325</v>
      </c>
      <c r="L742" s="93">
        <f t="shared" si="591"/>
        <v>325</v>
      </c>
    </row>
    <row r="743" spans="1:12" ht="21" customHeight="1">
      <c r="A743" s="45"/>
      <c r="B743" s="44" t="s">
        <v>178</v>
      </c>
      <c r="C743" s="21"/>
      <c r="D743" s="82">
        <f>D744</f>
        <v>146</v>
      </c>
      <c r="E743" s="82">
        <f t="shared" si="591"/>
        <v>146</v>
      </c>
      <c r="F743" s="82">
        <f t="shared" si="591"/>
        <v>0</v>
      </c>
      <c r="G743" s="82">
        <f t="shared" si="591"/>
        <v>0</v>
      </c>
      <c r="H743" s="82">
        <f t="shared" si="591"/>
        <v>0</v>
      </c>
      <c r="I743" s="82">
        <f t="shared" si="591"/>
        <v>0</v>
      </c>
      <c r="J743" s="82">
        <f t="shared" si="591"/>
        <v>290</v>
      </c>
      <c r="K743" s="82">
        <f t="shared" si="591"/>
        <v>325</v>
      </c>
      <c r="L743" s="82">
        <f t="shared" si="591"/>
        <v>325</v>
      </c>
    </row>
    <row r="744" spans="1:12" ht="27.75" customHeight="1">
      <c r="A744" s="45"/>
      <c r="B744" s="43" t="s">
        <v>486</v>
      </c>
      <c r="C744" s="21">
        <v>58</v>
      </c>
      <c r="D744" s="82">
        <f>D745+D746+D747</f>
        <v>146</v>
      </c>
      <c r="E744" s="82">
        <f t="shared" ref="E744:L744" si="592">E745+E746+E747</f>
        <v>146</v>
      </c>
      <c r="F744" s="82">
        <f t="shared" si="592"/>
        <v>0</v>
      </c>
      <c r="G744" s="82">
        <f t="shared" si="592"/>
        <v>0</v>
      </c>
      <c r="H744" s="82">
        <f t="shared" si="592"/>
        <v>0</v>
      </c>
      <c r="I744" s="82">
        <f t="shared" si="592"/>
        <v>0</v>
      </c>
      <c r="J744" s="82">
        <f t="shared" si="592"/>
        <v>290</v>
      </c>
      <c r="K744" s="82">
        <f t="shared" si="592"/>
        <v>325</v>
      </c>
      <c r="L744" s="82">
        <f t="shared" si="592"/>
        <v>325</v>
      </c>
    </row>
    <row r="745" spans="1:12" ht="17.25" customHeight="1">
      <c r="A745" s="45"/>
      <c r="B745" s="32" t="s">
        <v>533</v>
      </c>
      <c r="C745" s="21" t="s">
        <v>534</v>
      </c>
      <c r="D745" s="82">
        <v>20</v>
      </c>
      <c r="E745" s="82">
        <v>20</v>
      </c>
      <c r="F745" s="82"/>
      <c r="G745" s="82"/>
      <c r="H745" s="82"/>
      <c r="I745" s="139"/>
      <c r="J745" s="80">
        <v>40</v>
      </c>
      <c r="K745" s="80">
        <v>44</v>
      </c>
      <c r="L745" s="80">
        <v>44</v>
      </c>
    </row>
    <row r="746" spans="1:12" ht="14.25" customHeight="1">
      <c r="A746" s="45"/>
      <c r="B746" s="32" t="s">
        <v>535</v>
      </c>
      <c r="C746" s="21" t="s">
        <v>488</v>
      </c>
      <c r="D746" s="82">
        <v>123</v>
      </c>
      <c r="E746" s="82">
        <v>123</v>
      </c>
      <c r="F746" s="82"/>
      <c r="G746" s="82"/>
      <c r="H746" s="82"/>
      <c r="I746" s="139"/>
      <c r="J746" s="80">
        <v>244</v>
      </c>
      <c r="K746" s="80">
        <v>274</v>
      </c>
      <c r="L746" s="80">
        <v>274</v>
      </c>
    </row>
    <row r="747" spans="1:12" ht="15" customHeight="1">
      <c r="A747" s="45"/>
      <c r="B747" s="32" t="s">
        <v>536</v>
      </c>
      <c r="C747" s="21" t="s">
        <v>489</v>
      </c>
      <c r="D747" s="82">
        <v>3</v>
      </c>
      <c r="E747" s="82">
        <v>3</v>
      </c>
      <c r="F747" s="82"/>
      <c r="G747" s="82"/>
      <c r="H747" s="82"/>
      <c r="I747" s="139"/>
      <c r="J747" s="80">
        <v>6</v>
      </c>
      <c r="K747" s="80">
        <v>7</v>
      </c>
      <c r="L747" s="80">
        <v>7</v>
      </c>
    </row>
    <row r="748" spans="1:12" ht="40.5" customHeight="1">
      <c r="A748" s="258" t="s">
        <v>370</v>
      </c>
      <c r="B748" s="259" t="s">
        <v>507</v>
      </c>
      <c r="C748" s="260" t="s">
        <v>371</v>
      </c>
      <c r="D748" s="88">
        <f t="shared" ref="D748:L752" si="593">D755+D762+D769+D790+D809+D797+D776+D783+D802</f>
        <v>46140</v>
      </c>
      <c r="E748" s="88">
        <f t="shared" ref="E748:F748" si="594">E755+E762+E769+E790+E809+E797+E776+E783+E802</f>
        <v>12400</v>
      </c>
      <c r="F748" s="88">
        <f t="shared" si="594"/>
        <v>11330</v>
      </c>
      <c r="G748" s="88">
        <f t="shared" ref="G748:H748" si="595">G755+G762+G769+G790+G809+G797+G776+G783+G802</f>
        <v>11729</v>
      </c>
      <c r="H748" s="88">
        <f t="shared" si="595"/>
        <v>10681</v>
      </c>
      <c r="I748" s="139">
        <f t="shared" si="583"/>
        <v>46140</v>
      </c>
      <c r="J748" s="88">
        <f t="shared" si="593"/>
        <v>25150</v>
      </c>
      <c r="K748" s="88">
        <f t="shared" si="593"/>
        <v>34000</v>
      </c>
      <c r="L748" s="88">
        <f t="shared" si="593"/>
        <v>44367</v>
      </c>
    </row>
    <row r="749" spans="1:12" ht="14.25">
      <c r="A749" s="258"/>
      <c r="B749" s="261" t="s">
        <v>166</v>
      </c>
      <c r="C749" s="260"/>
      <c r="D749" s="88">
        <f t="shared" si="593"/>
        <v>45940</v>
      </c>
      <c r="E749" s="88">
        <f t="shared" ref="E749:F749" si="596">E756+E763+E770+E791+E810+E798+E777+E784+E803</f>
        <v>12200</v>
      </c>
      <c r="F749" s="88">
        <f t="shared" si="596"/>
        <v>11330</v>
      </c>
      <c r="G749" s="88">
        <f t="shared" ref="G749:H749" si="597">G756+G763+G770+G791+G810+G798+G777+G784+G803</f>
        <v>11729</v>
      </c>
      <c r="H749" s="88">
        <f t="shared" si="597"/>
        <v>10681</v>
      </c>
      <c r="I749" s="139">
        <f t="shared" si="583"/>
        <v>45940</v>
      </c>
      <c r="J749" s="88">
        <f t="shared" si="593"/>
        <v>25150</v>
      </c>
      <c r="K749" s="88">
        <f t="shared" si="593"/>
        <v>34000</v>
      </c>
      <c r="L749" s="88">
        <f t="shared" si="593"/>
        <v>44367</v>
      </c>
    </row>
    <row r="750" spans="1:12" ht="14.25">
      <c r="A750" s="258"/>
      <c r="B750" s="262" t="s">
        <v>167</v>
      </c>
      <c r="C750" s="263">
        <v>1</v>
      </c>
      <c r="D750" s="88">
        <f t="shared" si="593"/>
        <v>45940</v>
      </c>
      <c r="E750" s="88">
        <f t="shared" ref="E750:F750" si="598">E757+E764+E771+E792+E811+E799+E778+E785+E804</f>
        <v>12200</v>
      </c>
      <c r="F750" s="88">
        <f t="shared" si="598"/>
        <v>11330</v>
      </c>
      <c r="G750" s="88">
        <f t="shared" ref="G750:H750" si="599">G757+G764+G771+G792+G811+G799+G778+G785+G804</f>
        <v>11729</v>
      </c>
      <c r="H750" s="88">
        <f t="shared" si="599"/>
        <v>10681</v>
      </c>
      <c r="I750" s="139">
        <f t="shared" si="583"/>
        <v>45940</v>
      </c>
      <c r="J750" s="88">
        <f t="shared" si="593"/>
        <v>25150</v>
      </c>
      <c r="K750" s="88">
        <f t="shared" si="593"/>
        <v>34000</v>
      </c>
      <c r="L750" s="88">
        <f t="shared" si="593"/>
        <v>44367</v>
      </c>
    </row>
    <row r="751" spans="1:12" ht="14.25">
      <c r="A751" s="258"/>
      <c r="B751" s="262" t="s">
        <v>168</v>
      </c>
      <c r="C751" s="263">
        <v>10</v>
      </c>
      <c r="D751" s="88">
        <f t="shared" si="593"/>
        <v>36890</v>
      </c>
      <c r="E751" s="88">
        <f t="shared" ref="E751:F751" si="600">E758+E765+E772+E793+E812+E800+E779+E786+E805</f>
        <v>9930</v>
      </c>
      <c r="F751" s="88">
        <f t="shared" si="600"/>
        <v>9060</v>
      </c>
      <c r="G751" s="88">
        <f t="shared" ref="G751:H751" si="601">G758+G765+G772+G793+G812+G800+G779+G786+G805</f>
        <v>9460</v>
      </c>
      <c r="H751" s="88">
        <f t="shared" si="601"/>
        <v>8440</v>
      </c>
      <c r="I751" s="139">
        <f t="shared" si="583"/>
        <v>36890</v>
      </c>
      <c r="J751" s="88">
        <f t="shared" si="593"/>
        <v>18750</v>
      </c>
      <c r="K751" s="88">
        <f t="shared" si="593"/>
        <v>26750</v>
      </c>
      <c r="L751" s="88">
        <f t="shared" si="593"/>
        <v>35317</v>
      </c>
    </row>
    <row r="752" spans="1:12" ht="14.25">
      <c r="A752" s="258"/>
      <c r="B752" s="262" t="s">
        <v>169</v>
      </c>
      <c r="C752" s="263">
        <v>20</v>
      </c>
      <c r="D752" s="88">
        <f t="shared" si="593"/>
        <v>9050</v>
      </c>
      <c r="E752" s="88">
        <f t="shared" ref="E752:F752" si="602">E759+E766+E773+E794+E813+E801+E780+E787+E806</f>
        <v>2270</v>
      </c>
      <c r="F752" s="88">
        <f t="shared" si="602"/>
        <v>2270</v>
      </c>
      <c r="G752" s="88">
        <f t="shared" ref="G752:H752" si="603">G759+G766+G773+G794+G813+G801+G780+G787+G806</f>
        <v>2269</v>
      </c>
      <c r="H752" s="88">
        <f t="shared" si="603"/>
        <v>2241</v>
      </c>
      <c r="I752" s="139">
        <f t="shared" si="583"/>
        <v>9050</v>
      </c>
      <c r="J752" s="88">
        <f t="shared" si="593"/>
        <v>6400</v>
      </c>
      <c r="K752" s="88">
        <f t="shared" si="593"/>
        <v>7250</v>
      </c>
      <c r="L752" s="88">
        <f t="shared" si="593"/>
        <v>9050</v>
      </c>
    </row>
    <row r="753" spans="1:13" ht="14.25">
      <c r="A753" s="258"/>
      <c r="B753" s="262" t="s">
        <v>178</v>
      </c>
      <c r="C753" s="263"/>
      <c r="D753" s="88">
        <f t="shared" ref="D753:L754" si="604">D760+D767+D774+D795+D814+D788+D807+D781</f>
        <v>200</v>
      </c>
      <c r="E753" s="88">
        <f t="shared" ref="E753:F753" si="605">E760+E767+E774+E795+E814+E788+E807+E781</f>
        <v>200</v>
      </c>
      <c r="F753" s="88">
        <f t="shared" si="605"/>
        <v>0</v>
      </c>
      <c r="G753" s="88">
        <f t="shared" ref="G753:H753" si="606">G760+G767+G774+G795+G814+G788+G807+G781</f>
        <v>0</v>
      </c>
      <c r="H753" s="88">
        <f t="shared" si="606"/>
        <v>0</v>
      </c>
      <c r="I753" s="139">
        <f t="shared" si="583"/>
        <v>200</v>
      </c>
      <c r="J753" s="88">
        <f t="shared" si="604"/>
        <v>0</v>
      </c>
      <c r="K753" s="88">
        <f t="shared" si="604"/>
        <v>0</v>
      </c>
      <c r="L753" s="88">
        <f t="shared" si="604"/>
        <v>0</v>
      </c>
    </row>
    <row r="754" spans="1:13" ht="14.25">
      <c r="A754" s="258"/>
      <c r="B754" s="262" t="s">
        <v>207</v>
      </c>
      <c r="C754" s="263">
        <v>70</v>
      </c>
      <c r="D754" s="88">
        <f t="shared" si="604"/>
        <v>200</v>
      </c>
      <c r="E754" s="88">
        <f t="shared" ref="E754:F754" si="607">E761+E768+E775+E796+E815+E789+E808+E782</f>
        <v>200</v>
      </c>
      <c r="F754" s="88">
        <f t="shared" si="607"/>
        <v>0</v>
      </c>
      <c r="G754" s="88">
        <f t="shared" ref="G754:H754" si="608">G761+G768+G775+G796+G815+G789+G808+G782</f>
        <v>0</v>
      </c>
      <c r="H754" s="88">
        <f t="shared" si="608"/>
        <v>0</v>
      </c>
      <c r="I754" s="139">
        <f t="shared" si="583"/>
        <v>200</v>
      </c>
      <c r="J754" s="88">
        <f t="shared" si="604"/>
        <v>0</v>
      </c>
      <c r="K754" s="88">
        <f t="shared" si="604"/>
        <v>0</v>
      </c>
      <c r="L754" s="88">
        <f t="shared" si="604"/>
        <v>0</v>
      </c>
    </row>
    <row r="755" spans="1:13" ht="28.5">
      <c r="A755" s="45" t="s">
        <v>372</v>
      </c>
      <c r="B755" s="61" t="s">
        <v>373</v>
      </c>
      <c r="C755" s="99" t="s">
        <v>374</v>
      </c>
      <c r="D755" s="88">
        <f t="shared" ref="D755:L755" si="609">D756+D760</f>
        <v>12050</v>
      </c>
      <c r="E755" s="88">
        <f t="shared" ref="E755:F755" si="610">E756+E760</f>
        <v>3060</v>
      </c>
      <c r="F755" s="88">
        <f t="shared" si="610"/>
        <v>3060</v>
      </c>
      <c r="G755" s="88">
        <f t="shared" ref="G755:H755" si="611">G756+G760</f>
        <v>3060</v>
      </c>
      <c r="H755" s="88">
        <f t="shared" si="611"/>
        <v>2870</v>
      </c>
      <c r="I755" s="139">
        <f t="shared" si="583"/>
        <v>12050</v>
      </c>
      <c r="J755" s="88">
        <f t="shared" si="609"/>
        <v>6000</v>
      </c>
      <c r="K755" s="88">
        <f t="shared" si="609"/>
        <v>8850</v>
      </c>
      <c r="L755" s="88">
        <f t="shared" si="609"/>
        <v>10477</v>
      </c>
      <c r="M755" s="159"/>
    </row>
    <row r="756" spans="1:13" ht="14.25">
      <c r="A756" s="45"/>
      <c r="B756" s="35" t="s">
        <v>166</v>
      </c>
      <c r="C756" s="21"/>
      <c r="D756" s="88">
        <f t="shared" ref="D756:L756" si="612">D757</f>
        <v>12050</v>
      </c>
      <c r="E756" s="88">
        <f t="shared" si="612"/>
        <v>3060</v>
      </c>
      <c r="F756" s="88">
        <f t="shared" si="612"/>
        <v>3060</v>
      </c>
      <c r="G756" s="88">
        <f t="shared" si="612"/>
        <v>3060</v>
      </c>
      <c r="H756" s="88">
        <f t="shared" si="612"/>
        <v>2870</v>
      </c>
      <c r="I756" s="139">
        <f t="shared" si="583"/>
        <v>12050</v>
      </c>
      <c r="J756" s="88">
        <f t="shared" si="612"/>
        <v>6000</v>
      </c>
      <c r="K756" s="88">
        <f t="shared" si="612"/>
        <v>8850</v>
      </c>
      <c r="L756" s="88">
        <f t="shared" si="612"/>
        <v>10477</v>
      </c>
    </row>
    <row r="757" spans="1:13" ht="15">
      <c r="A757" s="45"/>
      <c r="B757" s="44" t="s">
        <v>167</v>
      </c>
      <c r="C757" s="21">
        <v>1</v>
      </c>
      <c r="D757" s="83">
        <f t="shared" ref="D757:L757" si="613">D758+D759</f>
        <v>12050</v>
      </c>
      <c r="E757" s="83">
        <f t="shared" ref="E757:F757" si="614">E758+E759</f>
        <v>3060</v>
      </c>
      <c r="F757" s="83">
        <f t="shared" si="614"/>
        <v>3060</v>
      </c>
      <c r="G757" s="83">
        <f t="shared" ref="G757:H757" si="615">G758+G759</f>
        <v>3060</v>
      </c>
      <c r="H757" s="83">
        <f t="shared" si="615"/>
        <v>2870</v>
      </c>
      <c r="I757" s="139">
        <f t="shared" si="583"/>
        <v>12050</v>
      </c>
      <c r="J757" s="83">
        <f t="shared" si="613"/>
        <v>6000</v>
      </c>
      <c r="K757" s="83">
        <f t="shared" si="613"/>
        <v>8850</v>
      </c>
      <c r="L757" s="83">
        <f t="shared" si="613"/>
        <v>10477</v>
      </c>
    </row>
    <row r="758" spans="1:13" ht="15">
      <c r="A758" s="45"/>
      <c r="B758" s="44" t="s">
        <v>168</v>
      </c>
      <c r="C758" s="21">
        <v>10</v>
      </c>
      <c r="D758" s="82">
        <v>10200</v>
      </c>
      <c r="E758" s="82">
        <v>2600</v>
      </c>
      <c r="F758" s="82">
        <v>2600</v>
      </c>
      <c r="G758" s="82">
        <v>2600</v>
      </c>
      <c r="H758" s="82">
        <v>2400</v>
      </c>
      <c r="I758" s="139">
        <f t="shared" si="583"/>
        <v>10200</v>
      </c>
      <c r="J758" s="80">
        <v>5000</v>
      </c>
      <c r="K758" s="80">
        <v>7000</v>
      </c>
      <c r="L758" s="80">
        <f>10200-1573</f>
        <v>8627</v>
      </c>
    </row>
    <row r="759" spans="1:13" ht="12.75" customHeight="1">
      <c r="A759" s="45"/>
      <c r="B759" s="44" t="s">
        <v>169</v>
      </c>
      <c r="C759" s="21">
        <v>20</v>
      </c>
      <c r="D759" s="82">
        <v>1850</v>
      </c>
      <c r="E759" s="82">
        <v>460</v>
      </c>
      <c r="F759" s="82">
        <v>460</v>
      </c>
      <c r="G759" s="82">
        <v>460</v>
      </c>
      <c r="H759" s="82">
        <v>470</v>
      </c>
      <c r="I759" s="139">
        <f t="shared" si="583"/>
        <v>1850</v>
      </c>
      <c r="J759" s="80">
        <v>1000</v>
      </c>
      <c r="K759" s="80">
        <v>1850</v>
      </c>
      <c r="L759" s="80">
        <v>1850</v>
      </c>
    </row>
    <row r="760" spans="1:13" ht="15" hidden="1" customHeight="1">
      <c r="A760" s="45"/>
      <c r="B760" s="37" t="s">
        <v>178</v>
      </c>
      <c r="C760" s="21"/>
      <c r="D760" s="83">
        <f t="shared" ref="D760:L760" si="616">D761</f>
        <v>0</v>
      </c>
      <c r="E760" s="83">
        <f t="shared" si="616"/>
        <v>0</v>
      </c>
      <c r="F760" s="83">
        <f t="shared" si="616"/>
        <v>0</v>
      </c>
      <c r="G760" s="83">
        <f t="shared" si="616"/>
        <v>0</v>
      </c>
      <c r="H760" s="83">
        <f t="shared" si="616"/>
        <v>0</v>
      </c>
      <c r="I760" s="139">
        <f t="shared" si="583"/>
        <v>0</v>
      </c>
      <c r="J760" s="83">
        <f t="shared" si="616"/>
        <v>0</v>
      </c>
      <c r="K760" s="83">
        <f t="shared" si="616"/>
        <v>0</v>
      </c>
      <c r="L760" s="83">
        <f t="shared" si="616"/>
        <v>0</v>
      </c>
    </row>
    <row r="761" spans="1:13" ht="12" hidden="1" customHeight="1">
      <c r="A761" s="45"/>
      <c r="B761" s="44" t="s">
        <v>207</v>
      </c>
      <c r="C761" s="21">
        <v>70</v>
      </c>
      <c r="D761" s="82">
        <v>0</v>
      </c>
      <c r="E761" s="82"/>
      <c r="F761" s="82"/>
      <c r="G761" s="82"/>
      <c r="H761" s="82"/>
      <c r="I761" s="139">
        <f t="shared" si="583"/>
        <v>0</v>
      </c>
      <c r="J761" s="80"/>
      <c r="K761" s="80"/>
      <c r="L761" s="80"/>
    </row>
    <row r="762" spans="1:13" ht="28.5" customHeight="1">
      <c r="A762" s="45" t="s">
        <v>375</v>
      </c>
      <c r="B762" s="61" t="s">
        <v>376</v>
      </c>
      <c r="C762" s="99" t="s">
        <v>377</v>
      </c>
      <c r="D762" s="88">
        <f t="shared" ref="D762:L762" si="617">D763+D767</f>
        <v>6521</v>
      </c>
      <c r="E762" s="88">
        <f t="shared" ref="E762:F762" si="618">E763+E767</f>
        <v>2121</v>
      </c>
      <c r="F762" s="88">
        <f t="shared" si="618"/>
        <v>1250</v>
      </c>
      <c r="G762" s="88">
        <f t="shared" ref="G762:H762" si="619">G763+G767</f>
        <v>1650</v>
      </c>
      <c r="H762" s="88">
        <f t="shared" si="619"/>
        <v>1500</v>
      </c>
      <c r="I762" s="139">
        <f t="shared" si="583"/>
        <v>6521</v>
      </c>
      <c r="J762" s="88">
        <f t="shared" si="617"/>
        <v>3500</v>
      </c>
      <c r="K762" s="88">
        <f t="shared" si="617"/>
        <v>4000</v>
      </c>
      <c r="L762" s="88">
        <f t="shared" si="617"/>
        <v>6450</v>
      </c>
    </row>
    <row r="763" spans="1:13" ht="14.25">
      <c r="A763" s="45"/>
      <c r="B763" s="35" t="s">
        <v>166</v>
      </c>
      <c r="C763" s="21"/>
      <c r="D763" s="88">
        <f t="shared" ref="D763:L763" si="620">D764</f>
        <v>6450</v>
      </c>
      <c r="E763" s="88">
        <f t="shared" si="620"/>
        <v>2050</v>
      </c>
      <c r="F763" s="88">
        <f t="shared" si="620"/>
        <v>1250</v>
      </c>
      <c r="G763" s="88">
        <f t="shared" si="620"/>
        <v>1650</v>
      </c>
      <c r="H763" s="88">
        <f t="shared" si="620"/>
        <v>1500</v>
      </c>
      <c r="I763" s="139">
        <f t="shared" si="583"/>
        <v>6450</v>
      </c>
      <c r="J763" s="88">
        <f t="shared" si="620"/>
        <v>3500</v>
      </c>
      <c r="K763" s="88">
        <f t="shared" si="620"/>
        <v>4000</v>
      </c>
      <c r="L763" s="88">
        <f t="shared" si="620"/>
        <v>6450</v>
      </c>
    </row>
    <row r="764" spans="1:13" ht="15">
      <c r="A764" s="45"/>
      <c r="B764" s="44" t="s">
        <v>167</v>
      </c>
      <c r="C764" s="21">
        <v>1</v>
      </c>
      <c r="D764" s="83">
        <f t="shared" ref="D764:L764" si="621">D765+D766</f>
        <v>6450</v>
      </c>
      <c r="E764" s="83">
        <f t="shared" ref="E764:F764" si="622">E765+E766</f>
        <v>2050</v>
      </c>
      <c r="F764" s="83">
        <f t="shared" si="622"/>
        <v>1250</v>
      </c>
      <c r="G764" s="83">
        <f t="shared" ref="G764:H764" si="623">G765+G766</f>
        <v>1650</v>
      </c>
      <c r="H764" s="83">
        <f t="shared" si="623"/>
        <v>1500</v>
      </c>
      <c r="I764" s="139">
        <f t="shared" si="583"/>
        <v>6450</v>
      </c>
      <c r="J764" s="83">
        <f t="shared" si="621"/>
        <v>3500</v>
      </c>
      <c r="K764" s="83">
        <f t="shared" si="621"/>
        <v>4000</v>
      </c>
      <c r="L764" s="83">
        <f t="shared" si="621"/>
        <v>6450</v>
      </c>
    </row>
    <row r="765" spans="1:13" ht="15">
      <c r="A765" s="45"/>
      <c r="B765" s="44" t="s">
        <v>168</v>
      </c>
      <c r="C765" s="21">
        <v>10</v>
      </c>
      <c r="D765" s="82">
        <v>5050</v>
      </c>
      <c r="E765" s="82">
        <v>1700</v>
      </c>
      <c r="F765" s="82">
        <v>900</v>
      </c>
      <c r="G765" s="82">
        <v>1300</v>
      </c>
      <c r="H765" s="82">
        <f>5050-3900</f>
        <v>1150</v>
      </c>
      <c r="I765" s="139">
        <f t="shared" si="583"/>
        <v>5050</v>
      </c>
      <c r="J765" s="80">
        <v>2500</v>
      </c>
      <c r="K765" s="80">
        <v>3000</v>
      </c>
      <c r="L765" s="80">
        <v>5050</v>
      </c>
    </row>
    <row r="766" spans="1:13" ht="14.25" customHeight="1">
      <c r="A766" s="45"/>
      <c r="B766" s="44" t="s">
        <v>169</v>
      </c>
      <c r="C766" s="21">
        <v>20</v>
      </c>
      <c r="D766" s="82">
        <f>1300+100</f>
        <v>1400</v>
      </c>
      <c r="E766" s="82">
        <v>350</v>
      </c>
      <c r="F766" s="82">
        <v>350</v>
      </c>
      <c r="G766" s="82">
        <v>350</v>
      </c>
      <c r="H766" s="82">
        <v>350</v>
      </c>
      <c r="I766" s="139">
        <f t="shared" si="583"/>
        <v>1400</v>
      </c>
      <c r="J766" s="80">
        <v>1000</v>
      </c>
      <c r="K766" s="80">
        <v>1000</v>
      </c>
      <c r="L766" s="80">
        <v>1400</v>
      </c>
    </row>
    <row r="767" spans="1:13" ht="17.25" customHeight="1">
      <c r="A767" s="45"/>
      <c r="B767" s="37" t="s">
        <v>178</v>
      </c>
      <c r="C767" s="21"/>
      <c r="D767" s="83">
        <f t="shared" ref="D767:L767" si="624">D768</f>
        <v>71</v>
      </c>
      <c r="E767" s="83">
        <f t="shared" si="624"/>
        <v>71</v>
      </c>
      <c r="F767" s="83">
        <f t="shared" si="624"/>
        <v>0</v>
      </c>
      <c r="G767" s="83">
        <f t="shared" si="624"/>
        <v>0</v>
      </c>
      <c r="H767" s="83">
        <f t="shared" si="624"/>
        <v>0</v>
      </c>
      <c r="I767" s="139">
        <f t="shared" si="583"/>
        <v>71</v>
      </c>
      <c r="J767" s="83">
        <f t="shared" si="624"/>
        <v>0</v>
      </c>
      <c r="K767" s="83">
        <f t="shared" si="624"/>
        <v>0</v>
      </c>
      <c r="L767" s="83">
        <f t="shared" si="624"/>
        <v>0</v>
      </c>
    </row>
    <row r="768" spans="1:13" ht="18" customHeight="1">
      <c r="A768" s="45"/>
      <c r="B768" s="44" t="s">
        <v>207</v>
      </c>
      <c r="C768" s="21">
        <v>70</v>
      </c>
      <c r="D768" s="82">
        <v>71</v>
      </c>
      <c r="E768" s="82">
        <v>71</v>
      </c>
      <c r="F768" s="82"/>
      <c r="G768" s="82"/>
      <c r="H768" s="82"/>
      <c r="I768" s="139">
        <f t="shared" si="583"/>
        <v>71</v>
      </c>
      <c r="J768" s="80"/>
      <c r="K768" s="80"/>
      <c r="L768" s="80"/>
    </row>
    <row r="769" spans="1:13" ht="28.5">
      <c r="A769" s="45" t="s">
        <v>378</v>
      </c>
      <c r="B769" s="61" t="s">
        <v>379</v>
      </c>
      <c r="C769" s="99" t="s">
        <v>380</v>
      </c>
      <c r="D769" s="88">
        <f t="shared" ref="D769:L769" si="625">D770+D774</f>
        <v>13048</v>
      </c>
      <c r="E769" s="88">
        <f t="shared" ref="E769:F769" si="626">E770+E774</f>
        <v>3368</v>
      </c>
      <c r="F769" s="88">
        <f t="shared" si="626"/>
        <v>3300</v>
      </c>
      <c r="G769" s="88">
        <f t="shared" ref="G769:H769" si="627">G770+G774</f>
        <v>3300</v>
      </c>
      <c r="H769" s="88">
        <f t="shared" si="627"/>
        <v>3080</v>
      </c>
      <c r="I769" s="139">
        <f t="shared" si="583"/>
        <v>13048</v>
      </c>
      <c r="J769" s="88">
        <f t="shared" si="625"/>
        <v>7000</v>
      </c>
      <c r="K769" s="88">
        <f t="shared" si="625"/>
        <v>9000</v>
      </c>
      <c r="L769" s="88">
        <f t="shared" si="625"/>
        <v>12980</v>
      </c>
    </row>
    <row r="770" spans="1:13" ht="14.25">
      <c r="A770" s="45"/>
      <c r="B770" s="35" t="s">
        <v>166</v>
      </c>
      <c r="C770" s="21"/>
      <c r="D770" s="88">
        <f t="shared" ref="D770:L770" si="628">D771</f>
        <v>12980</v>
      </c>
      <c r="E770" s="88">
        <f t="shared" si="628"/>
        <v>3300</v>
      </c>
      <c r="F770" s="88">
        <f t="shared" si="628"/>
        <v>3300</v>
      </c>
      <c r="G770" s="88">
        <f t="shared" si="628"/>
        <v>3300</v>
      </c>
      <c r="H770" s="88">
        <f t="shared" si="628"/>
        <v>3080</v>
      </c>
      <c r="I770" s="139">
        <f t="shared" si="583"/>
        <v>12980</v>
      </c>
      <c r="J770" s="88">
        <f t="shared" si="628"/>
        <v>7000</v>
      </c>
      <c r="K770" s="88">
        <f t="shared" si="628"/>
        <v>9000</v>
      </c>
      <c r="L770" s="88">
        <f t="shared" si="628"/>
        <v>12980</v>
      </c>
    </row>
    <row r="771" spans="1:13" ht="15">
      <c r="A771" s="45"/>
      <c r="B771" s="44" t="s">
        <v>167</v>
      </c>
      <c r="C771" s="21">
        <v>1</v>
      </c>
      <c r="D771" s="83">
        <f t="shared" ref="D771:L771" si="629">D772+D773</f>
        <v>12980</v>
      </c>
      <c r="E771" s="83">
        <f t="shared" ref="E771:F771" si="630">E772+E773</f>
        <v>3300</v>
      </c>
      <c r="F771" s="83">
        <f t="shared" si="630"/>
        <v>3300</v>
      </c>
      <c r="G771" s="83">
        <f t="shared" ref="G771:H771" si="631">G772+G773</f>
        <v>3300</v>
      </c>
      <c r="H771" s="83">
        <f t="shared" si="631"/>
        <v>3080</v>
      </c>
      <c r="I771" s="139">
        <f t="shared" si="583"/>
        <v>12980</v>
      </c>
      <c r="J771" s="83">
        <f t="shared" si="629"/>
        <v>7000</v>
      </c>
      <c r="K771" s="83">
        <f t="shared" si="629"/>
        <v>9000</v>
      </c>
      <c r="L771" s="83">
        <f t="shared" si="629"/>
        <v>12980</v>
      </c>
    </row>
    <row r="772" spans="1:13" ht="15">
      <c r="A772" s="45"/>
      <c r="B772" s="44" t="s">
        <v>168</v>
      </c>
      <c r="C772" s="21">
        <v>10</v>
      </c>
      <c r="D772" s="82">
        <v>10180</v>
      </c>
      <c r="E772" s="82">
        <v>2600</v>
      </c>
      <c r="F772" s="82">
        <v>2600</v>
      </c>
      <c r="G772" s="82">
        <v>2600</v>
      </c>
      <c r="H772" s="82">
        <f>10180-7800</f>
        <v>2380</v>
      </c>
      <c r="I772" s="139">
        <f t="shared" si="583"/>
        <v>10180</v>
      </c>
      <c r="J772" s="80">
        <v>5000</v>
      </c>
      <c r="K772" s="80">
        <v>7000</v>
      </c>
      <c r="L772" s="80">
        <v>10180</v>
      </c>
    </row>
    <row r="773" spans="1:13" ht="15">
      <c r="A773" s="45"/>
      <c r="B773" s="44" t="s">
        <v>169</v>
      </c>
      <c r="C773" s="21">
        <v>20</v>
      </c>
      <c r="D773" s="82">
        <f>2600+200</f>
        <v>2800</v>
      </c>
      <c r="E773" s="82">
        <v>700</v>
      </c>
      <c r="F773" s="82">
        <v>700</v>
      </c>
      <c r="G773" s="82">
        <v>700</v>
      </c>
      <c r="H773" s="82">
        <v>700</v>
      </c>
      <c r="I773" s="139">
        <f t="shared" si="583"/>
        <v>2800</v>
      </c>
      <c r="J773" s="80">
        <v>2000</v>
      </c>
      <c r="K773" s="80">
        <v>2000</v>
      </c>
      <c r="L773" s="80">
        <v>2800</v>
      </c>
    </row>
    <row r="774" spans="1:13" ht="17.25" customHeight="1">
      <c r="A774" s="45"/>
      <c r="B774" s="37" t="s">
        <v>178</v>
      </c>
      <c r="C774" s="21"/>
      <c r="D774" s="83">
        <f t="shared" ref="D774:L774" si="632">D775</f>
        <v>68</v>
      </c>
      <c r="E774" s="83">
        <f t="shared" si="632"/>
        <v>68</v>
      </c>
      <c r="F774" s="83">
        <f t="shared" si="632"/>
        <v>0</v>
      </c>
      <c r="G774" s="83">
        <f t="shared" si="632"/>
        <v>0</v>
      </c>
      <c r="H774" s="83">
        <f t="shared" si="632"/>
        <v>0</v>
      </c>
      <c r="I774" s="139">
        <f t="shared" si="583"/>
        <v>68</v>
      </c>
      <c r="J774" s="83">
        <f t="shared" si="632"/>
        <v>0</v>
      </c>
      <c r="K774" s="83">
        <f t="shared" si="632"/>
        <v>0</v>
      </c>
      <c r="L774" s="83">
        <f t="shared" si="632"/>
        <v>0</v>
      </c>
    </row>
    <row r="775" spans="1:13" ht="18.75" customHeight="1">
      <c r="A775" s="45"/>
      <c r="B775" s="44" t="s">
        <v>207</v>
      </c>
      <c r="C775" s="21">
        <v>70</v>
      </c>
      <c r="D775" s="82">
        <v>68</v>
      </c>
      <c r="E775" s="82">
        <v>68</v>
      </c>
      <c r="F775" s="82"/>
      <c r="G775" s="82"/>
      <c r="H775" s="82"/>
      <c r="I775" s="139">
        <f t="shared" si="583"/>
        <v>68</v>
      </c>
      <c r="J775" s="80"/>
      <c r="K775" s="80"/>
      <c r="L775" s="80"/>
    </row>
    <row r="776" spans="1:13" ht="27.75" customHeight="1">
      <c r="A776" s="45" t="s">
        <v>476</v>
      </c>
      <c r="B776" s="61" t="s">
        <v>381</v>
      </c>
      <c r="C776" s="99" t="s">
        <v>380</v>
      </c>
      <c r="D776" s="88">
        <f t="shared" ref="D776:L776" si="633">D777+D781</f>
        <v>734</v>
      </c>
      <c r="E776" s="88">
        <f t="shared" ref="E776:F776" si="634">E777+E781</f>
        <v>214</v>
      </c>
      <c r="F776" s="88">
        <f t="shared" si="634"/>
        <v>190</v>
      </c>
      <c r="G776" s="88">
        <f t="shared" ref="G776:H776" si="635">G777+G781</f>
        <v>190</v>
      </c>
      <c r="H776" s="88">
        <f t="shared" si="635"/>
        <v>140</v>
      </c>
      <c r="I776" s="139">
        <f t="shared" si="583"/>
        <v>734</v>
      </c>
      <c r="J776" s="88">
        <f t="shared" si="633"/>
        <v>710</v>
      </c>
      <c r="K776" s="88">
        <f t="shared" si="633"/>
        <v>710</v>
      </c>
      <c r="L776" s="88">
        <f t="shared" si="633"/>
        <v>710</v>
      </c>
      <c r="M776" s="159"/>
    </row>
    <row r="777" spans="1:13" ht="13.5" customHeight="1">
      <c r="A777" s="45"/>
      <c r="B777" s="35" t="s">
        <v>166</v>
      </c>
      <c r="C777" s="21"/>
      <c r="D777" s="83">
        <f t="shared" ref="D777:L777" si="636">D778</f>
        <v>710</v>
      </c>
      <c r="E777" s="83">
        <f t="shared" si="636"/>
        <v>190</v>
      </c>
      <c r="F777" s="83">
        <f t="shared" si="636"/>
        <v>190</v>
      </c>
      <c r="G777" s="83">
        <f t="shared" si="636"/>
        <v>190</v>
      </c>
      <c r="H777" s="83">
        <f t="shared" si="636"/>
        <v>140</v>
      </c>
      <c r="I777" s="139">
        <f t="shared" si="583"/>
        <v>710</v>
      </c>
      <c r="J777" s="83">
        <f t="shared" si="636"/>
        <v>710</v>
      </c>
      <c r="K777" s="83">
        <f t="shared" si="636"/>
        <v>710</v>
      </c>
      <c r="L777" s="83">
        <f t="shared" si="636"/>
        <v>710</v>
      </c>
    </row>
    <row r="778" spans="1:13" ht="13.5" customHeight="1">
      <c r="A778" s="45"/>
      <c r="B778" s="44" t="s">
        <v>167</v>
      </c>
      <c r="C778" s="21">
        <v>1</v>
      </c>
      <c r="D778" s="83">
        <f t="shared" ref="D778:L778" si="637">D779+D780</f>
        <v>710</v>
      </c>
      <c r="E778" s="83">
        <f t="shared" ref="E778:F778" si="638">E779+E780</f>
        <v>190</v>
      </c>
      <c r="F778" s="83">
        <f t="shared" si="638"/>
        <v>190</v>
      </c>
      <c r="G778" s="83">
        <f t="shared" ref="G778:H778" si="639">G779+G780</f>
        <v>190</v>
      </c>
      <c r="H778" s="83">
        <f t="shared" si="639"/>
        <v>140</v>
      </c>
      <c r="I778" s="139">
        <f t="shared" si="583"/>
        <v>710</v>
      </c>
      <c r="J778" s="83">
        <f t="shared" si="637"/>
        <v>710</v>
      </c>
      <c r="K778" s="83">
        <f t="shared" si="637"/>
        <v>710</v>
      </c>
      <c r="L778" s="83">
        <f t="shared" si="637"/>
        <v>710</v>
      </c>
    </row>
    <row r="779" spans="1:13" ht="13.5" customHeight="1">
      <c r="A779" s="45"/>
      <c r="B779" s="44" t="s">
        <v>168</v>
      </c>
      <c r="C779" s="21">
        <v>10</v>
      </c>
      <c r="D779" s="82">
        <v>550</v>
      </c>
      <c r="E779" s="82">
        <v>150</v>
      </c>
      <c r="F779" s="82">
        <v>150</v>
      </c>
      <c r="G779" s="82">
        <v>150</v>
      </c>
      <c r="H779" s="82">
        <v>100</v>
      </c>
      <c r="I779" s="139">
        <f t="shared" si="583"/>
        <v>550</v>
      </c>
      <c r="J779" s="80">
        <v>550</v>
      </c>
      <c r="K779" s="80">
        <v>550</v>
      </c>
      <c r="L779" s="80">
        <v>550</v>
      </c>
    </row>
    <row r="780" spans="1:13" ht="13.5" customHeight="1">
      <c r="A780" s="45"/>
      <c r="B780" s="44" t="s">
        <v>169</v>
      </c>
      <c r="C780" s="21">
        <v>20</v>
      </c>
      <c r="D780" s="82">
        <f>150+10</f>
        <v>160</v>
      </c>
      <c r="E780" s="82">
        <v>40</v>
      </c>
      <c r="F780" s="82">
        <v>40</v>
      </c>
      <c r="G780" s="82">
        <v>40</v>
      </c>
      <c r="H780" s="82">
        <v>40</v>
      </c>
      <c r="I780" s="139">
        <f t="shared" si="583"/>
        <v>160</v>
      </c>
      <c r="J780" s="80">
        <v>160</v>
      </c>
      <c r="K780" s="80">
        <v>160</v>
      </c>
      <c r="L780" s="80">
        <v>160</v>
      </c>
    </row>
    <row r="781" spans="1:13" ht="13.5" customHeight="1">
      <c r="A781" s="45"/>
      <c r="B781" s="37" t="s">
        <v>178</v>
      </c>
      <c r="C781" s="21"/>
      <c r="D781" s="83">
        <f t="shared" ref="D781:L781" si="640">D782</f>
        <v>24</v>
      </c>
      <c r="E781" s="83">
        <f t="shared" si="640"/>
        <v>24</v>
      </c>
      <c r="F781" s="83">
        <f t="shared" si="640"/>
        <v>0</v>
      </c>
      <c r="G781" s="83">
        <f t="shared" si="640"/>
        <v>0</v>
      </c>
      <c r="H781" s="83">
        <f t="shared" si="640"/>
        <v>0</v>
      </c>
      <c r="I781" s="139">
        <f t="shared" si="583"/>
        <v>24</v>
      </c>
      <c r="J781" s="83">
        <f t="shared" si="640"/>
        <v>0</v>
      </c>
      <c r="K781" s="83">
        <f t="shared" si="640"/>
        <v>0</v>
      </c>
      <c r="L781" s="83">
        <f t="shared" si="640"/>
        <v>0</v>
      </c>
    </row>
    <row r="782" spans="1:13" ht="13.5" customHeight="1">
      <c r="A782" s="45"/>
      <c r="B782" s="44" t="s">
        <v>207</v>
      </c>
      <c r="C782" s="21">
        <v>70</v>
      </c>
      <c r="D782" s="82">
        <v>24</v>
      </c>
      <c r="E782" s="82">
        <v>24</v>
      </c>
      <c r="F782" s="82"/>
      <c r="G782" s="82"/>
      <c r="H782" s="82"/>
      <c r="I782" s="139">
        <f t="shared" si="583"/>
        <v>24</v>
      </c>
      <c r="J782" s="80"/>
      <c r="K782" s="80"/>
      <c r="L782" s="80"/>
    </row>
    <row r="783" spans="1:13" ht="39.75" customHeight="1">
      <c r="A783" s="45" t="s">
        <v>388</v>
      </c>
      <c r="B783" s="61" t="s">
        <v>382</v>
      </c>
      <c r="C783" s="99" t="s">
        <v>380</v>
      </c>
      <c r="D783" s="88">
        <f t="shared" ref="D783:L783" si="641">D784+D788</f>
        <v>4350</v>
      </c>
      <c r="E783" s="88">
        <f t="shared" ref="E783:F783" si="642">E784+E788</f>
        <v>1220</v>
      </c>
      <c r="F783" s="88">
        <f t="shared" si="642"/>
        <v>1120</v>
      </c>
      <c r="G783" s="88">
        <f t="shared" ref="G783:H783" si="643">G784+G788</f>
        <v>1120</v>
      </c>
      <c r="H783" s="88">
        <f t="shared" si="643"/>
        <v>890</v>
      </c>
      <c r="I783" s="139">
        <f t="shared" si="583"/>
        <v>4350</v>
      </c>
      <c r="J783" s="88">
        <f t="shared" si="641"/>
        <v>2850</v>
      </c>
      <c r="K783" s="88">
        <f t="shared" si="641"/>
        <v>4350</v>
      </c>
      <c r="L783" s="88">
        <f t="shared" si="641"/>
        <v>4350</v>
      </c>
      <c r="M783" s="159"/>
    </row>
    <row r="784" spans="1:13" ht="13.5" customHeight="1">
      <c r="A784" s="45"/>
      <c r="B784" s="35" t="s">
        <v>166</v>
      </c>
      <c r="C784" s="21"/>
      <c r="D784" s="83">
        <f t="shared" ref="D784:L784" si="644">D785</f>
        <v>4350</v>
      </c>
      <c r="E784" s="83">
        <f t="shared" si="644"/>
        <v>1220</v>
      </c>
      <c r="F784" s="83">
        <f t="shared" si="644"/>
        <v>1120</v>
      </c>
      <c r="G784" s="83">
        <f t="shared" si="644"/>
        <v>1120</v>
      </c>
      <c r="H784" s="83">
        <f t="shared" si="644"/>
        <v>890</v>
      </c>
      <c r="I784" s="139">
        <f t="shared" si="583"/>
        <v>4350</v>
      </c>
      <c r="J784" s="83">
        <f t="shared" si="644"/>
        <v>2850</v>
      </c>
      <c r="K784" s="83">
        <f t="shared" si="644"/>
        <v>4350</v>
      </c>
      <c r="L784" s="83">
        <f t="shared" si="644"/>
        <v>4350</v>
      </c>
    </row>
    <row r="785" spans="1:13" ht="13.5" customHeight="1">
      <c r="A785" s="45"/>
      <c r="B785" s="44" t="s">
        <v>167</v>
      </c>
      <c r="C785" s="21">
        <v>1</v>
      </c>
      <c r="D785" s="83">
        <f t="shared" ref="D785:L785" si="645">D786+D787</f>
        <v>4350</v>
      </c>
      <c r="E785" s="83">
        <f t="shared" ref="E785:F785" si="646">E786+E787</f>
        <v>1220</v>
      </c>
      <c r="F785" s="83">
        <f t="shared" si="646"/>
        <v>1120</v>
      </c>
      <c r="G785" s="83">
        <f t="shared" ref="G785:H785" si="647">G786+G787</f>
        <v>1120</v>
      </c>
      <c r="H785" s="83">
        <f t="shared" si="647"/>
        <v>890</v>
      </c>
      <c r="I785" s="139">
        <f t="shared" si="583"/>
        <v>4350</v>
      </c>
      <c r="J785" s="83">
        <f t="shared" si="645"/>
        <v>2850</v>
      </c>
      <c r="K785" s="83">
        <f t="shared" si="645"/>
        <v>4350</v>
      </c>
      <c r="L785" s="83">
        <f t="shared" si="645"/>
        <v>4350</v>
      </c>
    </row>
    <row r="786" spans="1:13" ht="13.5" customHeight="1">
      <c r="A786" s="45"/>
      <c r="B786" s="44" t="s">
        <v>168</v>
      </c>
      <c r="C786" s="21">
        <v>10</v>
      </c>
      <c r="D786" s="82">
        <v>3500</v>
      </c>
      <c r="E786" s="82">
        <v>1000</v>
      </c>
      <c r="F786" s="82">
        <v>900</v>
      </c>
      <c r="G786" s="82">
        <v>900</v>
      </c>
      <c r="H786" s="82">
        <v>700</v>
      </c>
      <c r="I786" s="139">
        <f t="shared" si="583"/>
        <v>3500</v>
      </c>
      <c r="J786" s="80">
        <v>2000</v>
      </c>
      <c r="K786" s="80">
        <v>3500</v>
      </c>
      <c r="L786" s="80">
        <v>3500</v>
      </c>
    </row>
    <row r="787" spans="1:13" ht="13.5" customHeight="1">
      <c r="A787" s="45"/>
      <c r="B787" s="44" t="s">
        <v>169</v>
      </c>
      <c r="C787" s="21">
        <v>20</v>
      </c>
      <c r="D787" s="82">
        <f>750+100</f>
        <v>850</v>
      </c>
      <c r="E787" s="82">
        <v>220</v>
      </c>
      <c r="F787" s="82">
        <v>220</v>
      </c>
      <c r="G787" s="82">
        <v>220</v>
      </c>
      <c r="H787" s="82">
        <v>190</v>
      </c>
      <c r="I787" s="139">
        <f t="shared" si="583"/>
        <v>850</v>
      </c>
      <c r="J787" s="80">
        <v>850</v>
      </c>
      <c r="K787" s="80">
        <v>850</v>
      </c>
      <c r="L787" s="80">
        <v>850</v>
      </c>
    </row>
    <row r="788" spans="1:13" ht="12.75" hidden="1" customHeight="1">
      <c r="A788" s="45"/>
      <c r="B788" s="37" t="s">
        <v>178</v>
      </c>
      <c r="C788" s="21"/>
      <c r="D788" s="83">
        <f t="shared" ref="D788:L788" si="648">D789</f>
        <v>0</v>
      </c>
      <c r="E788" s="83">
        <f t="shared" si="648"/>
        <v>0</v>
      </c>
      <c r="F788" s="83">
        <f t="shared" si="648"/>
        <v>0</v>
      </c>
      <c r="G788" s="83">
        <f t="shared" si="648"/>
        <v>0</v>
      </c>
      <c r="H788" s="83">
        <f t="shared" si="648"/>
        <v>0</v>
      </c>
      <c r="I788" s="139">
        <f t="shared" si="583"/>
        <v>0</v>
      </c>
      <c r="J788" s="83">
        <f t="shared" si="648"/>
        <v>0</v>
      </c>
      <c r="K788" s="83">
        <f t="shared" si="648"/>
        <v>0</v>
      </c>
      <c r="L788" s="83">
        <f t="shared" si="648"/>
        <v>0</v>
      </c>
    </row>
    <row r="789" spans="1:13" ht="14.25" hidden="1" customHeight="1">
      <c r="A789" s="45"/>
      <c r="B789" s="44" t="s">
        <v>207</v>
      </c>
      <c r="C789" s="21">
        <v>70</v>
      </c>
      <c r="D789" s="82"/>
      <c r="E789" s="82"/>
      <c r="F789" s="82"/>
      <c r="G789" s="82"/>
      <c r="H789" s="82"/>
      <c r="I789" s="139">
        <f t="shared" si="583"/>
        <v>0</v>
      </c>
      <c r="J789" s="80"/>
      <c r="K789" s="80"/>
      <c r="L789" s="80"/>
    </row>
    <row r="790" spans="1:13" ht="30" customHeight="1">
      <c r="A790" s="45" t="s">
        <v>477</v>
      </c>
      <c r="B790" s="61" t="s">
        <v>383</v>
      </c>
      <c r="C790" s="21" t="s">
        <v>384</v>
      </c>
      <c r="D790" s="88">
        <f t="shared" ref="D790:L790" si="649">D791+D795</f>
        <v>5900</v>
      </c>
      <c r="E790" s="88">
        <f t="shared" ref="E790:F790" si="650">E791+E795</f>
        <v>1475</v>
      </c>
      <c r="F790" s="88">
        <f t="shared" si="650"/>
        <v>1475</v>
      </c>
      <c r="G790" s="88">
        <f t="shared" ref="G790:H790" si="651">G791+G795</f>
        <v>1474</v>
      </c>
      <c r="H790" s="88">
        <f t="shared" si="651"/>
        <v>1476</v>
      </c>
      <c r="I790" s="139">
        <f t="shared" si="583"/>
        <v>5900</v>
      </c>
      <c r="J790" s="88">
        <f t="shared" si="649"/>
        <v>2500</v>
      </c>
      <c r="K790" s="88">
        <f t="shared" si="649"/>
        <v>4500</v>
      </c>
      <c r="L790" s="88">
        <f t="shared" si="649"/>
        <v>5900</v>
      </c>
      <c r="M790" s="159"/>
    </row>
    <row r="791" spans="1:13" ht="14.25">
      <c r="A791" s="45"/>
      <c r="B791" s="35" t="s">
        <v>166</v>
      </c>
      <c r="C791" s="21"/>
      <c r="D791" s="88">
        <f t="shared" ref="D791:L791" si="652">D792</f>
        <v>5900</v>
      </c>
      <c r="E791" s="88">
        <f t="shared" si="652"/>
        <v>1475</v>
      </c>
      <c r="F791" s="88">
        <f t="shared" si="652"/>
        <v>1475</v>
      </c>
      <c r="G791" s="88">
        <f t="shared" si="652"/>
        <v>1474</v>
      </c>
      <c r="H791" s="88">
        <f t="shared" si="652"/>
        <v>1476</v>
      </c>
      <c r="I791" s="139">
        <f t="shared" si="583"/>
        <v>5900</v>
      </c>
      <c r="J791" s="88">
        <f t="shared" si="652"/>
        <v>2500</v>
      </c>
      <c r="K791" s="88">
        <f t="shared" si="652"/>
        <v>4500</v>
      </c>
      <c r="L791" s="88">
        <f t="shared" si="652"/>
        <v>5900</v>
      </c>
    </row>
    <row r="792" spans="1:13" ht="15">
      <c r="A792" s="45"/>
      <c r="B792" s="44" t="s">
        <v>167</v>
      </c>
      <c r="C792" s="21">
        <v>1</v>
      </c>
      <c r="D792" s="83">
        <f t="shared" ref="D792:L792" si="653">D793+D794</f>
        <v>5900</v>
      </c>
      <c r="E792" s="83">
        <f t="shared" ref="E792:F792" si="654">E793+E794</f>
        <v>1475</v>
      </c>
      <c r="F792" s="83">
        <f t="shared" si="654"/>
        <v>1475</v>
      </c>
      <c r="G792" s="83">
        <f t="shared" ref="G792:H792" si="655">G793+G794</f>
        <v>1474</v>
      </c>
      <c r="H792" s="83">
        <f t="shared" si="655"/>
        <v>1476</v>
      </c>
      <c r="I792" s="139">
        <f t="shared" ref="I792:I855" si="656">E792+F792+G792+H792</f>
        <v>5900</v>
      </c>
      <c r="J792" s="83">
        <f t="shared" si="653"/>
        <v>2500</v>
      </c>
      <c r="K792" s="83">
        <f t="shared" si="653"/>
        <v>4500</v>
      </c>
      <c r="L792" s="83">
        <f t="shared" si="653"/>
        <v>5900</v>
      </c>
    </row>
    <row r="793" spans="1:13" ht="15">
      <c r="A793" s="45"/>
      <c r="B793" s="44" t="s">
        <v>168</v>
      </c>
      <c r="C793" s="21">
        <v>10</v>
      </c>
      <c r="D793" s="82">
        <v>4800</v>
      </c>
      <c r="E793" s="82">
        <v>1200</v>
      </c>
      <c r="F793" s="82">
        <v>1200</v>
      </c>
      <c r="G793" s="82">
        <v>1200</v>
      </c>
      <c r="H793" s="82">
        <v>1200</v>
      </c>
      <c r="I793" s="139">
        <f t="shared" si="656"/>
        <v>4800</v>
      </c>
      <c r="J793" s="80">
        <v>2000</v>
      </c>
      <c r="K793" s="80">
        <f>4000</f>
        <v>4000</v>
      </c>
      <c r="L793" s="80">
        <v>4800</v>
      </c>
    </row>
    <row r="794" spans="1:13" ht="12" customHeight="1">
      <c r="A794" s="45"/>
      <c r="B794" s="44" t="s">
        <v>169</v>
      </c>
      <c r="C794" s="21">
        <v>20</v>
      </c>
      <c r="D794" s="82">
        <f>950+150</f>
        <v>1100</v>
      </c>
      <c r="E794" s="82">
        <v>275</v>
      </c>
      <c r="F794" s="82">
        <v>275</v>
      </c>
      <c r="G794" s="82">
        <f>275-1</f>
        <v>274</v>
      </c>
      <c r="H794" s="82">
        <f>275+1</f>
        <v>276</v>
      </c>
      <c r="I794" s="139">
        <f t="shared" si="656"/>
        <v>1100</v>
      </c>
      <c r="J794" s="80">
        <v>500</v>
      </c>
      <c r="K794" s="80">
        <v>500</v>
      </c>
      <c r="L794" s="80">
        <v>1100</v>
      </c>
    </row>
    <row r="795" spans="1:13" ht="0.75" customHeight="1">
      <c r="A795" s="45"/>
      <c r="B795" s="37" t="s">
        <v>178</v>
      </c>
      <c r="C795" s="21"/>
      <c r="D795" s="83">
        <f t="shared" ref="D795:L795" si="657">D796</f>
        <v>0</v>
      </c>
      <c r="E795" s="83">
        <f t="shared" si="657"/>
        <v>0</v>
      </c>
      <c r="F795" s="83">
        <f t="shared" si="657"/>
        <v>0</v>
      </c>
      <c r="G795" s="83">
        <f t="shared" si="657"/>
        <v>0</v>
      </c>
      <c r="H795" s="83">
        <f t="shared" si="657"/>
        <v>0</v>
      </c>
      <c r="I795" s="139">
        <f t="shared" si="656"/>
        <v>0</v>
      </c>
      <c r="J795" s="83">
        <f t="shared" si="657"/>
        <v>0</v>
      </c>
      <c r="K795" s="83">
        <f t="shared" si="657"/>
        <v>0</v>
      </c>
      <c r="L795" s="83">
        <f t="shared" si="657"/>
        <v>0</v>
      </c>
    </row>
    <row r="796" spans="1:13" ht="18.75" hidden="1" customHeight="1">
      <c r="A796" s="45"/>
      <c r="B796" s="44" t="s">
        <v>207</v>
      </c>
      <c r="C796" s="21">
        <v>70</v>
      </c>
      <c r="D796" s="82"/>
      <c r="E796" s="82"/>
      <c r="F796" s="82"/>
      <c r="G796" s="82"/>
      <c r="H796" s="82"/>
      <c r="I796" s="139">
        <f t="shared" si="656"/>
        <v>0</v>
      </c>
      <c r="J796" s="80"/>
      <c r="K796" s="80"/>
      <c r="L796" s="80"/>
    </row>
    <row r="797" spans="1:13" ht="0.75" hidden="1" customHeight="1">
      <c r="A797" s="45" t="s">
        <v>477</v>
      </c>
      <c r="B797" s="37" t="s">
        <v>385</v>
      </c>
      <c r="C797" s="21" t="s">
        <v>386</v>
      </c>
      <c r="D797" s="90">
        <f t="shared" ref="D797:D798" si="658">D798</f>
        <v>0</v>
      </c>
      <c r="E797" s="90"/>
      <c r="F797" s="90"/>
      <c r="G797" s="90"/>
      <c r="H797" s="90"/>
      <c r="I797" s="139">
        <f t="shared" si="656"/>
        <v>0</v>
      </c>
      <c r="J797" s="80"/>
      <c r="K797" s="80"/>
      <c r="L797" s="80"/>
    </row>
    <row r="798" spans="1:13" ht="12.75" hidden="1" customHeight="1">
      <c r="A798" s="45"/>
      <c r="B798" s="35" t="s">
        <v>166</v>
      </c>
      <c r="C798" s="21"/>
      <c r="D798" s="90">
        <f t="shared" si="658"/>
        <v>0</v>
      </c>
      <c r="E798" s="90"/>
      <c r="F798" s="90"/>
      <c r="G798" s="90"/>
      <c r="H798" s="90"/>
      <c r="I798" s="139">
        <f t="shared" si="656"/>
        <v>0</v>
      </c>
      <c r="J798" s="80"/>
      <c r="K798" s="80"/>
      <c r="L798" s="80"/>
    </row>
    <row r="799" spans="1:13" ht="12.75" hidden="1" customHeight="1">
      <c r="A799" s="45"/>
      <c r="B799" s="44" t="s">
        <v>167</v>
      </c>
      <c r="C799" s="21">
        <v>1</v>
      </c>
      <c r="D799" s="82">
        <f>D800+D801</f>
        <v>0</v>
      </c>
      <c r="E799" s="82"/>
      <c r="F799" s="82"/>
      <c r="G799" s="82"/>
      <c r="H799" s="82"/>
      <c r="I799" s="139">
        <f t="shared" si="656"/>
        <v>0</v>
      </c>
      <c r="J799" s="80"/>
      <c r="K799" s="80"/>
      <c r="L799" s="80"/>
    </row>
    <row r="800" spans="1:13" ht="12.75" hidden="1" customHeight="1">
      <c r="A800" s="45"/>
      <c r="B800" s="44" t="s">
        <v>168</v>
      </c>
      <c r="C800" s="21">
        <v>10</v>
      </c>
      <c r="D800" s="82"/>
      <c r="E800" s="82"/>
      <c r="F800" s="82"/>
      <c r="G800" s="82"/>
      <c r="H800" s="82"/>
      <c r="I800" s="139">
        <f t="shared" si="656"/>
        <v>0</v>
      </c>
      <c r="J800" s="80"/>
      <c r="K800" s="80"/>
      <c r="L800" s="80"/>
    </row>
    <row r="801" spans="1:13" ht="9" hidden="1" customHeight="1">
      <c r="A801" s="45"/>
      <c r="B801" s="44" t="s">
        <v>169</v>
      </c>
      <c r="C801" s="21">
        <v>20</v>
      </c>
      <c r="D801" s="82"/>
      <c r="E801" s="82"/>
      <c r="F801" s="82"/>
      <c r="G801" s="82"/>
      <c r="H801" s="82"/>
      <c r="I801" s="139">
        <f t="shared" si="656"/>
        <v>0</v>
      </c>
      <c r="J801" s="80"/>
      <c r="K801" s="80"/>
      <c r="L801" s="80"/>
    </row>
    <row r="802" spans="1:13" ht="28.5" customHeight="1">
      <c r="A802" s="45" t="s">
        <v>478</v>
      </c>
      <c r="B802" s="61" t="s">
        <v>387</v>
      </c>
      <c r="C802" s="21" t="s">
        <v>386</v>
      </c>
      <c r="D802" s="88">
        <f t="shared" ref="D802:L802" si="659">D803+D807</f>
        <v>2167</v>
      </c>
      <c r="E802" s="88">
        <f t="shared" ref="E802:F802" si="660">E803+E807</f>
        <v>582</v>
      </c>
      <c r="F802" s="88">
        <f t="shared" si="660"/>
        <v>565</v>
      </c>
      <c r="G802" s="88">
        <f t="shared" ref="G802:H802" si="661">G803+G807</f>
        <v>565</v>
      </c>
      <c r="H802" s="88">
        <f t="shared" si="661"/>
        <v>455</v>
      </c>
      <c r="I802" s="139">
        <f t="shared" si="656"/>
        <v>2167</v>
      </c>
      <c r="J802" s="88">
        <f t="shared" si="659"/>
        <v>1500</v>
      </c>
      <c r="K802" s="88">
        <f t="shared" si="659"/>
        <v>1500</v>
      </c>
      <c r="L802" s="88">
        <f t="shared" si="659"/>
        <v>2130</v>
      </c>
      <c r="M802" s="159"/>
    </row>
    <row r="803" spans="1:13" ht="12.75" customHeight="1">
      <c r="A803" s="45"/>
      <c r="B803" s="35" t="s">
        <v>166</v>
      </c>
      <c r="C803" s="21"/>
      <c r="D803" s="83">
        <f t="shared" ref="D803:L803" si="662">D804</f>
        <v>2130</v>
      </c>
      <c r="E803" s="83">
        <f t="shared" si="662"/>
        <v>545</v>
      </c>
      <c r="F803" s="83">
        <f t="shared" si="662"/>
        <v>565</v>
      </c>
      <c r="G803" s="83">
        <f t="shared" si="662"/>
        <v>565</v>
      </c>
      <c r="H803" s="83">
        <f t="shared" si="662"/>
        <v>455</v>
      </c>
      <c r="I803" s="139">
        <f t="shared" si="656"/>
        <v>2130</v>
      </c>
      <c r="J803" s="83">
        <f t="shared" si="662"/>
        <v>1500</v>
      </c>
      <c r="K803" s="83">
        <f t="shared" si="662"/>
        <v>1500</v>
      </c>
      <c r="L803" s="83">
        <f t="shared" si="662"/>
        <v>2130</v>
      </c>
    </row>
    <row r="804" spans="1:13" ht="12.75" customHeight="1">
      <c r="A804" s="45"/>
      <c r="B804" s="44" t="s">
        <v>167</v>
      </c>
      <c r="C804" s="21">
        <v>1</v>
      </c>
      <c r="D804" s="83">
        <f t="shared" ref="D804:L804" si="663">D805+D806</f>
        <v>2130</v>
      </c>
      <c r="E804" s="83">
        <f t="shared" ref="E804:F804" si="664">E805+E806</f>
        <v>545</v>
      </c>
      <c r="F804" s="83">
        <f t="shared" si="664"/>
        <v>565</v>
      </c>
      <c r="G804" s="83">
        <f t="shared" ref="G804:H804" si="665">G805+G806</f>
        <v>565</v>
      </c>
      <c r="H804" s="83">
        <f t="shared" si="665"/>
        <v>455</v>
      </c>
      <c r="I804" s="139">
        <f t="shared" si="656"/>
        <v>2130</v>
      </c>
      <c r="J804" s="83">
        <f t="shared" si="663"/>
        <v>1500</v>
      </c>
      <c r="K804" s="83">
        <f t="shared" si="663"/>
        <v>1500</v>
      </c>
      <c r="L804" s="83">
        <f t="shared" si="663"/>
        <v>2130</v>
      </c>
    </row>
    <row r="805" spans="1:13" ht="12.75" customHeight="1">
      <c r="A805" s="45"/>
      <c r="B805" s="44" t="s">
        <v>168</v>
      </c>
      <c r="C805" s="21">
        <v>10</v>
      </c>
      <c r="D805" s="82">
        <v>1630</v>
      </c>
      <c r="E805" s="82">
        <v>420</v>
      </c>
      <c r="F805" s="82">
        <v>440</v>
      </c>
      <c r="G805" s="82">
        <v>440</v>
      </c>
      <c r="H805" s="82">
        <v>330</v>
      </c>
      <c r="I805" s="139">
        <f t="shared" si="656"/>
        <v>1630</v>
      </c>
      <c r="J805" s="80">
        <v>1000</v>
      </c>
      <c r="K805" s="80">
        <v>1000</v>
      </c>
      <c r="L805" s="80">
        <v>1630</v>
      </c>
    </row>
    <row r="806" spans="1:13" ht="16.5" customHeight="1">
      <c r="A806" s="45"/>
      <c r="B806" s="44" t="s">
        <v>169</v>
      </c>
      <c r="C806" s="21">
        <v>20</v>
      </c>
      <c r="D806" s="82">
        <f>475+25</f>
        <v>500</v>
      </c>
      <c r="E806" s="82">
        <v>125</v>
      </c>
      <c r="F806" s="82">
        <v>125</v>
      </c>
      <c r="G806" s="82">
        <v>125</v>
      </c>
      <c r="H806" s="82">
        <v>125</v>
      </c>
      <c r="I806" s="139">
        <f t="shared" si="656"/>
        <v>500</v>
      </c>
      <c r="J806" s="80">
        <v>500</v>
      </c>
      <c r="K806" s="80">
        <v>500</v>
      </c>
      <c r="L806" s="80">
        <v>500</v>
      </c>
    </row>
    <row r="807" spans="1:13" ht="13.5" customHeight="1">
      <c r="A807" s="45"/>
      <c r="B807" s="37" t="s">
        <v>178</v>
      </c>
      <c r="C807" s="21"/>
      <c r="D807" s="83">
        <f t="shared" ref="D807:L807" si="666">D808</f>
        <v>37</v>
      </c>
      <c r="E807" s="83">
        <f t="shared" si="666"/>
        <v>37</v>
      </c>
      <c r="F807" s="83">
        <f t="shared" si="666"/>
        <v>0</v>
      </c>
      <c r="G807" s="83">
        <f t="shared" si="666"/>
        <v>0</v>
      </c>
      <c r="H807" s="83">
        <f t="shared" si="666"/>
        <v>0</v>
      </c>
      <c r="I807" s="139">
        <f t="shared" si="656"/>
        <v>37</v>
      </c>
      <c r="J807" s="83">
        <f t="shared" si="666"/>
        <v>0</v>
      </c>
      <c r="K807" s="83">
        <f t="shared" si="666"/>
        <v>0</v>
      </c>
      <c r="L807" s="83">
        <f t="shared" si="666"/>
        <v>0</v>
      </c>
    </row>
    <row r="808" spans="1:13" ht="16.5" customHeight="1">
      <c r="A808" s="45"/>
      <c r="B808" s="44" t="s">
        <v>207</v>
      </c>
      <c r="C808" s="21"/>
      <c r="D808" s="82">
        <v>37</v>
      </c>
      <c r="E808" s="82">
        <v>37</v>
      </c>
      <c r="F808" s="82"/>
      <c r="G808" s="82"/>
      <c r="H808" s="82"/>
      <c r="I808" s="139">
        <f t="shared" si="656"/>
        <v>37</v>
      </c>
      <c r="J808" s="80"/>
      <c r="K808" s="80"/>
      <c r="L808" s="80">
        <v>0</v>
      </c>
    </row>
    <row r="809" spans="1:13" ht="16.5" customHeight="1">
      <c r="A809" s="45" t="s">
        <v>479</v>
      </c>
      <c r="B809" s="42" t="s">
        <v>389</v>
      </c>
      <c r="C809" s="21" t="s">
        <v>371</v>
      </c>
      <c r="D809" s="88">
        <f t="shared" ref="D809:L809" si="667">D810+D814</f>
        <v>1370</v>
      </c>
      <c r="E809" s="88">
        <f t="shared" ref="E809:F809" si="668">E810+E814</f>
        <v>360</v>
      </c>
      <c r="F809" s="88">
        <f t="shared" si="668"/>
        <v>370</v>
      </c>
      <c r="G809" s="88">
        <f t="shared" ref="G809:H809" si="669">G810+G814</f>
        <v>370</v>
      </c>
      <c r="H809" s="88">
        <f t="shared" si="669"/>
        <v>270</v>
      </c>
      <c r="I809" s="139">
        <f t="shared" si="656"/>
        <v>1370</v>
      </c>
      <c r="J809" s="88">
        <f t="shared" si="667"/>
        <v>1090</v>
      </c>
      <c r="K809" s="88">
        <f t="shared" si="667"/>
        <v>1090</v>
      </c>
      <c r="L809" s="88">
        <f t="shared" si="667"/>
        <v>1370</v>
      </c>
    </row>
    <row r="810" spans="1:13" ht="12.75" customHeight="1">
      <c r="A810" s="45"/>
      <c r="B810" s="35" t="s">
        <v>166</v>
      </c>
      <c r="C810" s="21"/>
      <c r="D810" s="88">
        <f t="shared" ref="D810:L810" si="670">D811</f>
        <v>1370</v>
      </c>
      <c r="E810" s="88">
        <f t="shared" si="670"/>
        <v>360</v>
      </c>
      <c r="F810" s="88">
        <f t="shared" si="670"/>
        <v>370</v>
      </c>
      <c r="G810" s="88">
        <f t="shared" si="670"/>
        <v>370</v>
      </c>
      <c r="H810" s="88">
        <f t="shared" si="670"/>
        <v>270</v>
      </c>
      <c r="I810" s="139">
        <f t="shared" si="656"/>
        <v>1370</v>
      </c>
      <c r="J810" s="88">
        <f t="shared" si="670"/>
        <v>1090</v>
      </c>
      <c r="K810" s="88">
        <f t="shared" si="670"/>
        <v>1090</v>
      </c>
      <c r="L810" s="88">
        <f t="shared" si="670"/>
        <v>1370</v>
      </c>
    </row>
    <row r="811" spans="1:13" ht="12.75" customHeight="1">
      <c r="A811" s="45"/>
      <c r="B811" s="44" t="s">
        <v>167</v>
      </c>
      <c r="C811" s="21">
        <v>1</v>
      </c>
      <c r="D811" s="83">
        <f t="shared" ref="D811:L811" si="671">D812+D813</f>
        <v>1370</v>
      </c>
      <c r="E811" s="83">
        <f t="shared" ref="E811:F811" si="672">E812+E813</f>
        <v>360</v>
      </c>
      <c r="F811" s="83">
        <f t="shared" si="672"/>
        <v>370</v>
      </c>
      <c r="G811" s="83">
        <f t="shared" ref="G811:H811" si="673">G812+G813</f>
        <v>370</v>
      </c>
      <c r="H811" s="83">
        <f t="shared" si="673"/>
        <v>270</v>
      </c>
      <c r="I811" s="139">
        <f t="shared" si="656"/>
        <v>1370</v>
      </c>
      <c r="J811" s="83">
        <f t="shared" si="671"/>
        <v>1090</v>
      </c>
      <c r="K811" s="83">
        <f t="shared" si="671"/>
        <v>1090</v>
      </c>
      <c r="L811" s="83">
        <f t="shared" si="671"/>
        <v>1370</v>
      </c>
    </row>
    <row r="812" spans="1:13" ht="12.75" customHeight="1">
      <c r="A812" s="45"/>
      <c r="B812" s="44" t="s">
        <v>168</v>
      </c>
      <c r="C812" s="21">
        <v>10</v>
      </c>
      <c r="D812" s="82">
        <v>980</v>
      </c>
      <c r="E812" s="82">
        <v>260</v>
      </c>
      <c r="F812" s="82">
        <v>270</v>
      </c>
      <c r="G812" s="82">
        <v>270</v>
      </c>
      <c r="H812" s="82">
        <v>180</v>
      </c>
      <c r="I812" s="139">
        <f t="shared" si="656"/>
        <v>980</v>
      </c>
      <c r="J812" s="80">
        <v>700</v>
      </c>
      <c r="K812" s="80">
        <v>700</v>
      </c>
      <c r="L812" s="80">
        <v>980</v>
      </c>
    </row>
    <row r="813" spans="1:13" ht="12.75" customHeight="1">
      <c r="A813" s="45"/>
      <c r="B813" s="44" t="s">
        <v>169</v>
      </c>
      <c r="C813" s="21">
        <v>20</v>
      </c>
      <c r="D813" s="82">
        <f>350+40</f>
        <v>390</v>
      </c>
      <c r="E813" s="82">
        <v>100</v>
      </c>
      <c r="F813" s="82">
        <v>100</v>
      </c>
      <c r="G813" s="82">
        <v>100</v>
      </c>
      <c r="H813" s="82">
        <v>90</v>
      </c>
      <c r="I813" s="139">
        <f t="shared" si="656"/>
        <v>390</v>
      </c>
      <c r="J813" s="80">
        <v>390</v>
      </c>
      <c r="K813" s="80">
        <v>390</v>
      </c>
      <c r="L813" s="80">
        <v>390</v>
      </c>
    </row>
    <row r="814" spans="1:13" ht="12.75" hidden="1" customHeight="1">
      <c r="A814" s="45"/>
      <c r="B814" s="37" t="s">
        <v>178</v>
      </c>
      <c r="C814" s="21"/>
      <c r="D814" s="88">
        <f t="shared" ref="D814:L814" si="674">D815</f>
        <v>0</v>
      </c>
      <c r="E814" s="88">
        <f t="shared" si="674"/>
        <v>0</v>
      </c>
      <c r="F814" s="88">
        <f t="shared" si="674"/>
        <v>0</v>
      </c>
      <c r="G814" s="88">
        <f t="shared" si="674"/>
        <v>0</v>
      </c>
      <c r="H814" s="88">
        <f t="shared" si="674"/>
        <v>0</v>
      </c>
      <c r="I814" s="139">
        <f t="shared" si="656"/>
        <v>0</v>
      </c>
      <c r="J814" s="88">
        <f t="shared" si="674"/>
        <v>0</v>
      </c>
      <c r="K814" s="88">
        <f t="shared" si="674"/>
        <v>0</v>
      </c>
      <c r="L814" s="88">
        <f t="shared" si="674"/>
        <v>0</v>
      </c>
    </row>
    <row r="815" spans="1:13" ht="12.75" hidden="1" customHeight="1">
      <c r="A815" s="45"/>
      <c r="B815" s="44" t="s">
        <v>207</v>
      </c>
      <c r="C815" s="21">
        <v>70</v>
      </c>
      <c r="D815" s="82"/>
      <c r="E815" s="82"/>
      <c r="F815" s="82"/>
      <c r="G815" s="82"/>
      <c r="H815" s="82"/>
      <c r="I815" s="139">
        <f t="shared" si="656"/>
        <v>0</v>
      </c>
      <c r="J815" s="80"/>
      <c r="K815" s="80"/>
      <c r="L815" s="80"/>
    </row>
    <row r="816" spans="1:13" ht="31.5" customHeight="1">
      <c r="A816" s="45" t="s">
        <v>390</v>
      </c>
      <c r="B816" s="42" t="s">
        <v>391</v>
      </c>
      <c r="C816" s="21" t="s">
        <v>392</v>
      </c>
      <c r="D816" s="88">
        <f t="shared" ref="D816:L819" si="675">D823+D831+D840+D849+D857</f>
        <v>13217</v>
      </c>
      <c r="E816" s="88">
        <f t="shared" ref="E816:F816" si="676">E823+E831+E840+E849+E857</f>
        <v>4274</v>
      </c>
      <c r="F816" s="88">
        <f t="shared" si="676"/>
        <v>3103</v>
      </c>
      <c r="G816" s="88">
        <f t="shared" ref="G816:H816" si="677">G823+G831+G840+G849+G857</f>
        <v>3093</v>
      </c>
      <c r="H816" s="88">
        <f t="shared" si="677"/>
        <v>2747</v>
      </c>
      <c r="I816" s="139">
        <f t="shared" si="656"/>
        <v>13217</v>
      </c>
      <c r="J816" s="88">
        <f t="shared" si="675"/>
        <v>11695</v>
      </c>
      <c r="K816" s="88">
        <f t="shared" si="675"/>
        <v>11695</v>
      </c>
      <c r="L816" s="88">
        <f t="shared" si="675"/>
        <v>11795</v>
      </c>
    </row>
    <row r="817" spans="1:13" ht="14.25">
      <c r="A817" s="45"/>
      <c r="B817" s="35" t="s">
        <v>166</v>
      </c>
      <c r="C817" s="21"/>
      <c r="D817" s="88">
        <f t="shared" si="675"/>
        <v>11965</v>
      </c>
      <c r="E817" s="88">
        <f t="shared" ref="E817:F817" si="678">E824+E832+E841+E850+E858</f>
        <v>3022</v>
      </c>
      <c r="F817" s="88">
        <f t="shared" si="678"/>
        <v>3103</v>
      </c>
      <c r="G817" s="88">
        <f t="shared" ref="G817:H817" si="679">G824+G832+G841+G850+G858</f>
        <v>3093</v>
      </c>
      <c r="H817" s="88">
        <f t="shared" si="679"/>
        <v>2747</v>
      </c>
      <c r="I817" s="139">
        <f t="shared" si="656"/>
        <v>11965</v>
      </c>
      <c r="J817" s="88">
        <f t="shared" si="675"/>
        <v>11695</v>
      </c>
      <c r="K817" s="88">
        <f t="shared" si="675"/>
        <v>11695</v>
      </c>
      <c r="L817" s="88">
        <f t="shared" si="675"/>
        <v>11795</v>
      </c>
    </row>
    <row r="818" spans="1:13" ht="14.25">
      <c r="A818" s="45"/>
      <c r="B818" s="37" t="s">
        <v>167</v>
      </c>
      <c r="C818" s="99">
        <v>1</v>
      </c>
      <c r="D818" s="88">
        <f t="shared" si="675"/>
        <v>11965</v>
      </c>
      <c r="E818" s="88">
        <f t="shared" ref="E818:F818" si="680">E825+E833+E842+E851+E859</f>
        <v>3022</v>
      </c>
      <c r="F818" s="88">
        <f t="shared" si="680"/>
        <v>3103</v>
      </c>
      <c r="G818" s="88">
        <f t="shared" ref="G818:H818" si="681">G825+G833+G842+G851+G859</f>
        <v>3093</v>
      </c>
      <c r="H818" s="88">
        <f t="shared" si="681"/>
        <v>2747</v>
      </c>
      <c r="I818" s="139">
        <f t="shared" si="656"/>
        <v>11965</v>
      </c>
      <c r="J818" s="88">
        <f t="shared" si="675"/>
        <v>11695</v>
      </c>
      <c r="K818" s="88">
        <f t="shared" si="675"/>
        <v>11695</v>
      </c>
      <c r="L818" s="88">
        <f t="shared" si="675"/>
        <v>11795</v>
      </c>
    </row>
    <row r="819" spans="1:13" ht="14.25">
      <c r="A819" s="45"/>
      <c r="B819" s="37" t="s">
        <v>269</v>
      </c>
      <c r="C819" s="99" t="s">
        <v>317</v>
      </c>
      <c r="D819" s="88">
        <f t="shared" si="675"/>
        <v>11965</v>
      </c>
      <c r="E819" s="88">
        <f t="shared" ref="E819:F819" si="682">E826+E834+E843+E852+E860</f>
        <v>3022</v>
      </c>
      <c r="F819" s="88">
        <f t="shared" si="682"/>
        <v>3103</v>
      </c>
      <c r="G819" s="88">
        <f t="shared" ref="G819:H819" si="683">G826+G834+G843+G852+G860</f>
        <v>3093</v>
      </c>
      <c r="H819" s="88">
        <f t="shared" si="683"/>
        <v>2747</v>
      </c>
      <c r="I819" s="139">
        <f t="shared" si="656"/>
        <v>11965</v>
      </c>
      <c r="J819" s="88">
        <f t="shared" si="675"/>
        <v>11695</v>
      </c>
      <c r="K819" s="88">
        <f t="shared" si="675"/>
        <v>11695</v>
      </c>
      <c r="L819" s="88">
        <f t="shared" si="675"/>
        <v>11795</v>
      </c>
    </row>
    <row r="820" spans="1:13" ht="14.25">
      <c r="A820" s="45"/>
      <c r="B820" s="37" t="s">
        <v>572</v>
      </c>
      <c r="C820" s="99">
        <v>85.01</v>
      </c>
      <c r="D820" s="88">
        <f t="shared" ref="D820:L820" si="684">D837</f>
        <v>0</v>
      </c>
      <c r="E820" s="88">
        <f t="shared" ref="E820:F820" si="685">E837</f>
        <v>0</v>
      </c>
      <c r="F820" s="88">
        <f t="shared" si="685"/>
        <v>0</v>
      </c>
      <c r="G820" s="88">
        <f t="shared" ref="G820:H820" si="686">G837</f>
        <v>0</v>
      </c>
      <c r="H820" s="88">
        <f t="shared" si="686"/>
        <v>0</v>
      </c>
      <c r="I820" s="139">
        <f t="shared" si="656"/>
        <v>0</v>
      </c>
      <c r="J820" s="88">
        <f t="shared" si="684"/>
        <v>0</v>
      </c>
      <c r="K820" s="88">
        <f t="shared" si="684"/>
        <v>0</v>
      </c>
      <c r="L820" s="88">
        <f t="shared" si="684"/>
        <v>0</v>
      </c>
    </row>
    <row r="821" spans="1:13" ht="14.25">
      <c r="A821" s="45"/>
      <c r="B821" s="37" t="s">
        <v>178</v>
      </c>
      <c r="C821" s="21"/>
      <c r="D821" s="88">
        <f t="shared" ref="D821:L821" si="687">D829+D838+D847+D855+D863</f>
        <v>1252</v>
      </c>
      <c r="E821" s="88">
        <f t="shared" ref="E821:F821" si="688">E829+E838+E847+E855+E863</f>
        <v>1252</v>
      </c>
      <c r="F821" s="88">
        <f t="shared" si="688"/>
        <v>0</v>
      </c>
      <c r="G821" s="88">
        <f t="shared" ref="G821:H821" si="689">G829+G838+G847+G855+G863</f>
        <v>0</v>
      </c>
      <c r="H821" s="88">
        <f t="shared" si="689"/>
        <v>0</v>
      </c>
      <c r="I821" s="139">
        <f t="shared" si="656"/>
        <v>1252</v>
      </c>
      <c r="J821" s="88">
        <f t="shared" si="687"/>
        <v>0</v>
      </c>
      <c r="K821" s="88">
        <f t="shared" si="687"/>
        <v>0</v>
      </c>
      <c r="L821" s="88">
        <f t="shared" si="687"/>
        <v>0</v>
      </c>
    </row>
    <row r="822" spans="1:13" ht="14.25">
      <c r="A822" s="45"/>
      <c r="B822" s="37" t="s">
        <v>184</v>
      </c>
      <c r="C822" s="99">
        <v>51</v>
      </c>
      <c r="D822" s="83">
        <f t="shared" ref="D822:L822" si="690">D830+D839+D848+D855+D863</f>
        <v>1252</v>
      </c>
      <c r="E822" s="83">
        <f t="shared" ref="E822:F822" si="691">E830+E839+E848+E855+E863</f>
        <v>1252</v>
      </c>
      <c r="F822" s="83">
        <f t="shared" si="691"/>
        <v>0</v>
      </c>
      <c r="G822" s="83">
        <f t="shared" ref="G822:H822" si="692">G830+G839+G848+G855+G863</f>
        <v>0</v>
      </c>
      <c r="H822" s="83">
        <f t="shared" si="692"/>
        <v>0</v>
      </c>
      <c r="I822" s="139">
        <f t="shared" si="656"/>
        <v>1252</v>
      </c>
      <c r="J822" s="83">
        <f t="shared" si="690"/>
        <v>0</v>
      </c>
      <c r="K822" s="83">
        <f t="shared" si="690"/>
        <v>0</v>
      </c>
      <c r="L822" s="83">
        <f t="shared" si="690"/>
        <v>0</v>
      </c>
    </row>
    <row r="823" spans="1:13" ht="25.5" customHeight="1">
      <c r="A823" s="45" t="s">
        <v>393</v>
      </c>
      <c r="B823" s="61" t="s">
        <v>319</v>
      </c>
      <c r="C823" s="21" t="s">
        <v>394</v>
      </c>
      <c r="D823" s="88">
        <f t="shared" ref="D823:L823" si="693">D824+D829</f>
        <v>1715</v>
      </c>
      <c r="E823" s="88">
        <f t="shared" ref="E823:F823" si="694">E824+E829</f>
        <v>465</v>
      </c>
      <c r="F823" s="88">
        <f t="shared" si="694"/>
        <v>430</v>
      </c>
      <c r="G823" s="88">
        <f t="shared" ref="G823:H823" si="695">G824+G829</f>
        <v>420</v>
      </c>
      <c r="H823" s="88">
        <f t="shared" si="695"/>
        <v>400</v>
      </c>
      <c r="I823" s="139">
        <f t="shared" si="656"/>
        <v>1715</v>
      </c>
      <c r="J823" s="88">
        <f t="shared" si="693"/>
        <v>1700</v>
      </c>
      <c r="K823" s="88">
        <f t="shared" si="693"/>
        <v>1700</v>
      </c>
      <c r="L823" s="88">
        <f t="shared" si="693"/>
        <v>1700</v>
      </c>
      <c r="M823" s="159"/>
    </row>
    <row r="824" spans="1:13" ht="14.25">
      <c r="A824" s="45"/>
      <c r="B824" s="35" t="s">
        <v>166</v>
      </c>
      <c r="C824" s="21"/>
      <c r="D824" s="88">
        <f t="shared" ref="D824:L825" si="696">D825</f>
        <v>1680</v>
      </c>
      <c r="E824" s="88">
        <f t="shared" si="696"/>
        <v>430</v>
      </c>
      <c r="F824" s="88">
        <f t="shared" si="696"/>
        <v>430</v>
      </c>
      <c r="G824" s="88">
        <f t="shared" si="696"/>
        <v>420</v>
      </c>
      <c r="H824" s="88">
        <f t="shared" si="696"/>
        <v>400</v>
      </c>
      <c r="I824" s="139">
        <f t="shared" si="656"/>
        <v>1680</v>
      </c>
      <c r="J824" s="88">
        <f t="shared" si="696"/>
        <v>1700</v>
      </c>
      <c r="K824" s="88">
        <f t="shared" si="696"/>
        <v>1700</v>
      </c>
      <c r="L824" s="88">
        <f t="shared" si="696"/>
        <v>1700</v>
      </c>
    </row>
    <row r="825" spans="1:13" ht="15">
      <c r="A825" s="45"/>
      <c r="B825" s="44" t="s">
        <v>167</v>
      </c>
      <c r="C825" s="21">
        <v>1</v>
      </c>
      <c r="D825" s="83">
        <f t="shared" si="696"/>
        <v>1680</v>
      </c>
      <c r="E825" s="83">
        <f t="shared" si="696"/>
        <v>430</v>
      </c>
      <c r="F825" s="83">
        <f t="shared" si="696"/>
        <v>430</v>
      </c>
      <c r="G825" s="83">
        <f t="shared" si="696"/>
        <v>420</v>
      </c>
      <c r="H825" s="83">
        <f t="shared" si="696"/>
        <v>400</v>
      </c>
      <c r="I825" s="139">
        <f t="shared" si="656"/>
        <v>1680</v>
      </c>
      <c r="J825" s="83">
        <f t="shared" si="696"/>
        <v>1700</v>
      </c>
      <c r="K825" s="83">
        <f t="shared" si="696"/>
        <v>1700</v>
      </c>
      <c r="L825" s="83">
        <f t="shared" si="696"/>
        <v>1700</v>
      </c>
    </row>
    <row r="826" spans="1:13" ht="15">
      <c r="A826" s="45"/>
      <c r="B826" s="44" t="s">
        <v>269</v>
      </c>
      <c r="C826" s="21" t="s">
        <v>317</v>
      </c>
      <c r="D826" s="83">
        <f t="shared" ref="D826:L826" si="697">D827+D828</f>
        <v>1680</v>
      </c>
      <c r="E826" s="83">
        <f t="shared" ref="E826:F826" si="698">E827+E828</f>
        <v>430</v>
      </c>
      <c r="F826" s="83">
        <f t="shared" si="698"/>
        <v>430</v>
      </c>
      <c r="G826" s="83">
        <f t="shared" ref="G826:H826" si="699">G827+G828</f>
        <v>420</v>
      </c>
      <c r="H826" s="83">
        <f t="shared" si="699"/>
        <v>400</v>
      </c>
      <c r="I826" s="139">
        <f t="shared" si="656"/>
        <v>1680</v>
      </c>
      <c r="J826" s="83">
        <f t="shared" si="697"/>
        <v>1700</v>
      </c>
      <c r="K826" s="83">
        <f t="shared" si="697"/>
        <v>1700</v>
      </c>
      <c r="L826" s="83">
        <f t="shared" si="697"/>
        <v>1700</v>
      </c>
    </row>
    <row r="827" spans="1:13" ht="12.75" customHeight="1">
      <c r="A827" s="45"/>
      <c r="B827" s="44" t="s">
        <v>168</v>
      </c>
      <c r="C827" s="21">
        <v>10</v>
      </c>
      <c r="D827" s="82">
        <v>1480</v>
      </c>
      <c r="E827" s="82">
        <v>380</v>
      </c>
      <c r="F827" s="82">
        <v>380</v>
      </c>
      <c r="G827" s="82">
        <v>370</v>
      </c>
      <c r="H827" s="82">
        <v>350</v>
      </c>
      <c r="I827" s="139">
        <f t="shared" si="656"/>
        <v>1480</v>
      </c>
      <c r="J827" s="80">
        <v>1500</v>
      </c>
      <c r="K827" s="80">
        <v>1500</v>
      </c>
      <c r="L827" s="80">
        <v>1500</v>
      </c>
    </row>
    <row r="828" spans="1:13" ht="14.25" customHeight="1">
      <c r="A828" s="45"/>
      <c r="B828" s="44" t="s">
        <v>169</v>
      </c>
      <c r="C828" s="21">
        <v>20</v>
      </c>
      <c r="D828" s="82">
        <f>200</f>
        <v>200</v>
      </c>
      <c r="E828" s="82">
        <v>50</v>
      </c>
      <c r="F828" s="82">
        <v>50</v>
      </c>
      <c r="G828" s="82">
        <v>50</v>
      </c>
      <c r="H828" s="82">
        <v>50</v>
      </c>
      <c r="I828" s="139">
        <f t="shared" si="656"/>
        <v>200</v>
      </c>
      <c r="J828" s="80">
        <v>200</v>
      </c>
      <c r="K828" s="80">
        <v>200</v>
      </c>
      <c r="L828" s="80">
        <v>200</v>
      </c>
    </row>
    <row r="829" spans="1:13" ht="17.25" customHeight="1">
      <c r="A829" s="45"/>
      <c r="B829" s="37" t="s">
        <v>178</v>
      </c>
      <c r="C829" s="21"/>
      <c r="D829" s="83">
        <f>D830</f>
        <v>35</v>
      </c>
      <c r="E829" s="83">
        <f t="shared" ref="E829:H829" si="700">E830</f>
        <v>35</v>
      </c>
      <c r="F829" s="83">
        <f t="shared" si="700"/>
        <v>0</v>
      </c>
      <c r="G829" s="83">
        <f t="shared" si="700"/>
        <v>0</v>
      </c>
      <c r="H829" s="83">
        <f t="shared" si="700"/>
        <v>0</v>
      </c>
      <c r="I829" s="217">
        <f t="shared" si="656"/>
        <v>35</v>
      </c>
      <c r="J829" s="83"/>
      <c r="K829" s="83"/>
      <c r="L829" s="83"/>
    </row>
    <row r="830" spans="1:13" ht="23.25" customHeight="1">
      <c r="A830" s="45"/>
      <c r="B830" s="44" t="s">
        <v>184</v>
      </c>
      <c r="C830" s="21" t="s">
        <v>185</v>
      </c>
      <c r="D830" s="82">
        <v>35</v>
      </c>
      <c r="E830" s="82">
        <v>35</v>
      </c>
      <c r="F830" s="82"/>
      <c r="G830" s="82"/>
      <c r="H830" s="82"/>
      <c r="I830" s="139">
        <f t="shared" si="656"/>
        <v>35</v>
      </c>
      <c r="J830" s="80"/>
      <c r="K830" s="80"/>
      <c r="L830" s="80"/>
    </row>
    <row r="831" spans="1:13" ht="27" customHeight="1">
      <c r="A831" s="45" t="s">
        <v>395</v>
      </c>
      <c r="B831" s="61" t="s">
        <v>321</v>
      </c>
      <c r="C831" s="21" t="s">
        <v>396</v>
      </c>
      <c r="D831" s="88">
        <f t="shared" ref="D831:L831" si="701">D832+D838</f>
        <v>3645</v>
      </c>
      <c r="E831" s="88">
        <f t="shared" ref="E831:F831" si="702">E832+E838</f>
        <v>1775</v>
      </c>
      <c r="F831" s="88">
        <f t="shared" si="702"/>
        <v>630</v>
      </c>
      <c r="G831" s="88">
        <f t="shared" ref="G831:H831" si="703">G832+G838</f>
        <v>630</v>
      </c>
      <c r="H831" s="88">
        <f t="shared" si="703"/>
        <v>610</v>
      </c>
      <c r="I831" s="139">
        <f t="shared" si="656"/>
        <v>3645</v>
      </c>
      <c r="J831" s="88">
        <f t="shared" si="701"/>
        <v>2210</v>
      </c>
      <c r="K831" s="88">
        <f t="shared" si="701"/>
        <v>2210</v>
      </c>
      <c r="L831" s="88">
        <f t="shared" si="701"/>
        <v>2310</v>
      </c>
      <c r="M831" s="159"/>
    </row>
    <row r="832" spans="1:13" ht="14.25">
      <c r="A832" s="45"/>
      <c r="B832" s="35" t="s">
        <v>166</v>
      </c>
      <c r="C832" s="21"/>
      <c r="D832" s="88">
        <f t="shared" ref="D832:L832" si="704">D833</f>
        <v>2500</v>
      </c>
      <c r="E832" s="88">
        <f t="shared" si="704"/>
        <v>630</v>
      </c>
      <c r="F832" s="88">
        <f t="shared" si="704"/>
        <v>630</v>
      </c>
      <c r="G832" s="88">
        <f t="shared" si="704"/>
        <v>630</v>
      </c>
      <c r="H832" s="88">
        <f t="shared" si="704"/>
        <v>610</v>
      </c>
      <c r="I832" s="139">
        <f t="shared" si="656"/>
        <v>2500</v>
      </c>
      <c r="J832" s="88">
        <f t="shared" si="704"/>
        <v>2210</v>
      </c>
      <c r="K832" s="88">
        <f t="shared" si="704"/>
        <v>2210</v>
      </c>
      <c r="L832" s="88">
        <f t="shared" si="704"/>
        <v>2310</v>
      </c>
    </row>
    <row r="833" spans="1:12" ht="15">
      <c r="A833" s="45"/>
      <c r="B833" s="44" t="s">
        <v>167</v>
      </c>
      <c r="C833" s="21">
        <v>1</v>
      </c>
      <c r="D833" s="83">
        <f t="shared" ref="D833:L833" si="705">D834+D837</f>
        <v>2500</v>
      </c>
      <c r="E833" s="83">
        <f t="shared" ref="E833:F833" si="706">E834+E837</f>
        <v>630</v>
      </c>
      <c r="F833" s="83">
        <f t="shared" si="706"/>
        <v>630</v>
      </c>
      <c r="G833" s="83">
        <f t="shared" ref="G833:H833" si="707">G834+G837</f>
        <v>630</v>
      </c>
      <c r="H833" s="83">
        <f t="shared" si="707"/>
        <v>610</v>
      </c>
      <c r="I833" s="139">
        <f t="shared" si="656"/>
        <v>2500</v>
      </c>
      <c r="J833" s="83">
        <f t="shared" si="705"/>
        <v>2210</v>
      </c>
      <c r="K833" s="83">
        <f t="shared" si="705"/>
        <v>2210</v>
      </c>
      <c r="L833" s="83">
        <f t="shared" si="705"/>
        <v>2310</v>
      </c>
    </row>
    <row r="834" spans="1:12" ht="15" customHeight="1">
      <c r="A834" s="45"/>
      <c r="B834" s="44" t="s">
        <v>269</v>
      </c>
      <c r="C834" s="21" t="s">
        <v>317</v>
      </c>
      <c r="D834" s="83">
        <f t="shared" ref="D834:L834" si="708">D835+D836</f>
        <v>2500</v>
      </c>
      <c r="E834" s="83">
        <f t="shared" ref="E834:F834" si="709">E835+E836</f>
        <v>630</v>
      </c>
      <c r="F834" s="83">
        <f t="shared" si="709"/>
        <v>630</v>
      </c>
      <c r="G834" s="83">
        <f t="shared" ref="G834:H834" si="710">G835+G836</f>
        <v>630</v>
      </c>
      <c r="H834" s="83">
        <f t="shared" si="710"/>
        <v>610</v>
      </c>
      <c r="I834" s="139">
        <f t="shared" si="656"/>
        <v>2500</v>
      </c>
      <c r="J834" s="83">
        <f t="shared" si="708"/>
        <v>2210</v>
      </c>
      <c r="K834" s="83">
        <f t="shared" si="708"/>
        <v>2210</v>
      </c>
      <c r="L834" s="83">
        <f t="shared" si="708"/>
        <v>2310</v>
      </c>
    </row>
    <row r="835" spans="1:12" ht="13.5" customHeight="1">
      <c r="A835" s="45"/>
      <c r="B835" s="44" t="s">
        <v>168</v>
      </c>
      <c r="C835" s="21">
        <v>10</v>
      </c>
      <c r="D835" s="82">
        <v>1550</v>
      </c>
      <c r="E835" s="82">
        <v>390</v>
      </c>
      <c r="F835" s="82">
        <v>390</v>
      </c>
      <c r="G835" s="82">
        <v>390</v>
      </c>
      <c r="H835" s="82">
        <v>380</v>
      </c>
      <c r="I835" s="139">
        <f t="shared" si="656"/>
        <v>1550</v>
      </c>
      <c r="J835" s="80">
        <v>1500</v>
      </c>
      <c r="K835" s="80">
        <v>1500</v>
      </c>
      <c r="L835" s="80">
        <v>1600</v>
      </c>
    </row>
    <row r="836" spans="1:12" ht="12.75" customHeight="1">
      <c r="A836" s="45"/>
      <c r="B836" s="44" t="s">
        <v>169</v>
      </c>
      <c r="C836" s="21">
        <v>20</v>
      </c>
      <c r="D836" s="82">
        <f>850+100</f>
        <v>950</v>
      </c>
      <c r="E836" s="82">
        <v>240</v>
      </c>
      <c r="F836" s="82">
        <v>240</v>
      </c>
      <c r="G836" s="82">
        <v>240</v>
      </c>
      <c r="H836" s="82">
        <v>230</v>
      </c>
      <c r="I836" s="139">
        <f t="shared" si="656"/>
        <v>950</v>
      </c>
      <c r="J836" s="80">
        <v>710</v>
      </c>
      <c r="K836" s="80">
        <v>710</v>
      </c>
      <c r="L836" s="80">
        <v>710</v>
      </c>
    </row>
    <row r="837" spans="1:12" ht="12.75" hidden="1" customHeight="1">
      <c r="A837" s="45"/>
      <c r="B837" s="37" t="s">
        <v>572</v>
      </c>
      <c r="C837" s="99">
        <v>85.01</v>
      </c>
      <c r="D837" s="82"/>
      <c r="E837" s="82"/>
      <c r="F837" s="82"/>
      <c r="G837" s="82"/>
      <c r="H837" s="82"/>
      <c r="I837" s="139">
        <f t="shared" si="656"/>
        <v>0</v>
      </c>
      <c r="J837" s="80"/>
      <c r="K837" s="80"/>
      <c r="L837" s="80"/>
    </row>
    <row r="838" spans="1:12" ht="15.75" customHeight="1">
      <c r="A838" s="45"/>
      <c r="B838" s="37" t="s">
        <v>178</v>
      </c>
      <c r="C838" s="21"/>
      <c r="D838" s="88">
        <f t="shared" ref="D838:L838" si="711">D839</f>
        <v>1145</v>
      </c>
      <c r="E838" s="88">
        <f t="shared" si="711"/>
        <v>1145</v>
      </c>
      <c r="F838" s="88">
        <f t="shared" si="711"/>
        <v>0</v>
      </c>
      <c r="G838" s="88">
        <f t="shared" si="711"/>
        <v>0</v>
      </c>
      <c r="H838" s="88">
        <f t="shared" si="711"/>
        <v>0</v>
      </c>
      <c r="I838" s="139">
        <f t="shared" si="656"/>
        <v>1145</v>
      </c>
      <c r="J838" s="88">
        <f t="shared" si="711"/>
        <v>0</v>
      </c>
      <c r="K838" s="88">
        <f t="shared" si="711"/>
        <v>0</v>
      </c>
      <c r="L838" s="88">
        <f t="shared" si="711"/>
        <v>0</v>
      </c>
    </row>
    <row r="839" spans="1:12" ht="15">
      <c r="A839" s="45"/>
      <c r="B839" s="44" t="s">
        <v>184</v>
      </c>
      <c r="C839" s="21" t="s">
        <v>185</v>
      </c>
      <c r="D839" s="82">
        <v>1145</v>
      </c>
      <c r="E839" s="82">
        <v>1145</v>
      </c>
      <c r="F839" s="82"/>
      <c r="G839" s="82"/>
      <c r="H839" s="82"/>
      <c r="I839" s="139">
        <f t="shared" si="656"/>
        <v>1145</v>
      </c>
      <c r="J839" s="80">
        <v>0</v>
      </c>
      <c r="K839" s="80"/>
      <c r="L839" s="80"/>
    </row>
    <row r="840" spans="1:12" ht="28.5">
      <c r="A840" s="45" t="s">
        <v>397</v>
      </c>
      <c r="B840" s="61" t="s">
        <v>398</v>
      </c>
      <c r="C840" s="21" t="s">
        <v>399</v>
      </c>
      <c r="D840" s="88">
        <f t="shared" ref="D840:L840" si="712">D841+D847</f>
        <v>4125</v>
      </c>
      <c r="E840" s="88">
        <f t="shared" ref="E840:F840" si="713">E841+E847</f>
        <v>1032</v>
      </c>
      <c r="F840" s="88">
        <f t="shared" si="713"/>
        <v>1083</v>
      </c>
      <c r="G840" s="88">
        <f t="shared" ref="G840:H840" si="714">G841+G847</f>
        <v>1083</v>
      </c>
      <c r="H840" s="88">
        <f t="shared" si="714"/>
        <v>927</v>
      </c>
      <c r="I840" s="139">
        <f t="shared" si="656"/>
        <v>4125</v>
      </c>
      <c r="J840" s="88">
        <f t="shared" si="712"/>
        <v>4125</v>
      </c>
      <c r="K840" s="88">
        <f t="shared" si="712"/>
        <v>4125</v>
      </c>
      <c r="L840" s="88">
        <f t="shared" si="712"/>
        <v>4125</v>
      </c>
    </row>
    <row r="841" spans="1:12" ht="14.25">
      <c r="A841" s="45"/>
      <c r="B841" s="35" t="s">
        <v>166</v>
      </c>
      <c r="C841" s="21"/>
      <c r="D841" s="88">
        <f t="shared" ref="D841:L842" si="715">D842</f>
        <v>4125</v>
      </c>
      <c r="E841" s="88">
        <f t="shared" si="715"/>
        <v>1032</v>
      </c>
      <c r="F841" s="88">
        <f t="shared" si="715"/>
        <v>1083</v>
      </c>
      <c r="G841" s="88">
        <f t="shared" si="715"/>
        <v>1083</v>
      </c>
      <c r="H841" s="88">
        <f t="shared" si="715"/>
        <v>927</v>
      </c>
      <c r="I841" s="139">
        <f t="shared" si="656"/>
        <v>4125</v>
      </c>
      <c r="J841" s="88">
        <f t="shared" si="715"/>
        <v>4125</v>
      </c>
      <c r="K841" s="88">
        <f t="shared" si="715"/>
        <v>4125</v>
      </c>
      <c r="L841" s="88">
        <f t="shared" si="715"/>
        <v>4125</v>
      </c>
    </row>
    <row r="842" spans="1:12" ht="15">
      <c r="A842" s="45"/>
      <c r="B842" s="44" t="s">
        <v>167</v>
      </c>
      <c r="C842" s="21">
        <v>1</v>
      </c>
      <c r="D842" s="83">
        <f t="shared" si="715"/>
        <v>4125</v>
      </c>
      <c r="E842" s="83">
        <f t="shared" si="715"/>
        <v>1032</v>
      </c>
      <c r="F842" s="83">
        <f t="shared" si="715"/>
        <v>1083</v>
      </c>
      <c r="G842" s="83">
        <f t="shared" si="715"/>
        <v>1083</v>
      </c>
      <c r="H842" s="83">
        <f t="shared" si="715"/>
        <v>927</v>
      </c>
      <c r="I842" s="139">
        <f t="shared" si="656"/>
        <v>4125</v>
      </c>
      <c r="J842" s="83">
        <f t="shared" si="715"/>
        <v>4125</v>
      </c>
      <c r="K842" s="83">
        <f t="shared" si="715"/>
        <v>4125</v>
      </c>
      <c r="L842" s="83">
        <f t="shared" si="715"/>
        <v>4125</v>
      </c>
    </row>
    <row r="843" spans="1:12" ht="15">
      <c r="A843" s="45"/>
      <c r="B843" s="44" t="s">
        <v>269</v>
      </c>
      <c r="C843" s="21" t="s">
        <v>317</v>
      </c>
      <c r="D843" s="83">
        <f t="shared" ref="D843:L843" si="716">D844+D845+D846</f>
        <v>4125</v>
      </c>
      <c r="E843" s="83">
        <f t="shared" ref="E843:F843" si="717">E844+E845+E846</f>
        <v>1032</v>
      </c>
      <c r="F843" s="83">
        <f t="shared" si="717"/>
        <v>1083</v>
      </c>
      <c r="G843" s="83">
        <f t="shared" ref="G843:H843" si="718">G844+G845+G846</f>
        <v>1083</v>
      </c>
      <c r="H843" s="83">
        <f t="shared" si="718"/>
        <v>927</v>
      </c>
      <c r="I843" s="139">
        <f t="shared" si="656"/>
        <v>4125</v>
      </c>
      <c r="J843" s="83">
        <f t="shared" si="716"/>
        <v>4125</v>
      </c>
      <c r="K843" s="83">
        <f t="shared" si="716"/>
        <v>4125</v>
      </c>
      <c r="L843" s="83">
        <f t="shared" si="716"/>
        <v>4125</v>
      </c>
    </row>
    <row r="844" spans="1:12" ht="15.75" customHeight="1">
      <c r="A844" s="45"/>
      <c r="B844" s="44" t="s">
        <v>168</v>
      </c>
      <c r="C844" s="21">
        <v>10</v>
      </c>
      <c r="D844" s="82">
        <v>3400</v>
      </c>
      <c r="E844" s="82">
        <v>850</v>
      </c>
      <c r="F844" s="82">
        <v>900</v>
      </c>
      <c r="G844" s="82">
        <v>900</v>
      </c>
      <c r="H844" s="82">
        <v>750</v>
      </c>
      <c r="I844" s="139">
        <f t="shared" si="656"/>
        <v>3400</v>
      </c>
      <c r="J844" s="80">
        <v>3400</v>
      </c>
      <c r="K844" s="80">
        <v>3400</v>
      </c>
      <c r="L844" s="80">
        <v>3400</v>
      </c>
    </row>
    <row r="845" spans="1:12" ht="15" customHeight="1">
      <c r="A845" s="45"/>
      <c r="B845" s="44" t="s">
        <v>169</v>
      </c>
      <c r="C845" s="21">
        <v>20</v>
      </c>
      <c r="D845" s="82">
        <f>650+25</f>
        <v>675</v>
      </c>
      <c r="E845" s="82">
        <v>170</v>
      </c>
      <c r="F845" s="82">
        <v>170</v>
      </c>
      <c r="G845" s="82">
        <v>170</v>
      </c>
      <c r="H845" s="82">
        <v>165</v>
      </c>
      <c r="I845" s="139">
        <f t="shared" si="656"/>
        <v>675</v>
      </c>
      <c r="J845" s="80">
        <v>675</v>
      </c>
      <c r="K845" s="80">
        <v>675</v>
      </c>
      <c r="L845" s="80">
        <v>675</v>
      </c>
    </row>
    <row r="846" spans="1:12" ht="15" customHeight="1">
      <c r="A846" s="45"/>
      <c r="B846" s="44" t="s">
        <v>493</v>
      </c>
      <c r="C846" s="21">
        <v>59</v>
      </c>
      <c r="D846" s="82">
        <v>50</v>
      </c>
      <c r="E846" s="82">
        <v>12</v>
      </c>
      <c r="F846" s="82">
        <v>13</v>
      </c>
      <c r="G846" s="82">
        <v>13</v>
      </c>
      <c r="H846" s="82">
        <v>12</v>
      </c>
      <c r="I846" s="139">
        <f t="shared" si="656"/>
        <v>50</v>
      </c>
      <c r="J846" s="80">
        <v>50</v>
      </c>
      <c r="K846" s="80">
        <v>50</v>
      </c>
      <c r="L846" s="80">
        <v>50</v>
      </c>
    </row>
    <row r="847" spans="1:12" ht="12" hidden="1" customHeight="1">
      <c r="A847" s="45"/>
      <c r="B847" s="37" t="s">
        <v>178</v>
      </c>
      <c r="C847" s="21"/>
      <c r="D847" s="88">
        <f t="shared" ref="D847:L847" si="719">D848</f>
        <v>0</v>
      </c>
      <c r="E847" s="88"/>
      <c r="F847" s="88"/>
      <c r="G847" s="88"/>
      <c r="H847" s="88"/>
      <c r="I847" s="139">
        <f t="shared" si="656"/>
        <v>0</v>
      </c>
      <c r="J847" s="88">
        <f t="shared" si="719"/>
        <v>0</v>
      </c>
      <c r="K847" s="88">
        <f t="shared" si="719"/>
        <v>0</v>
      </c>
      <c r="L847" s="88">
        <f t="shared" si="719"/>
        <v>0</v>
      </c>
    </row>
    <row r="848" spans="1:12" ht="15" hidden="1" customHeight="1">
      <c r="A848" s="45"/>
      <c r="B848" s="44" t="s">
        <v>184</v>
      </c>
      <c r="C848" s="21">
        <v>51</v>
      </c>
      <c r="D848" s="82"/>
      <c r="E848" s="82"/>
      <c r="F848" s="82"/>
      <c r="G848" s="82"/>
      <c r="H848" s="82"/>
      <c r="I848" s="139">
        <f t="shared" si="656"/>
        <v>0</v>
      </c>
      <c r="J848" s="80"/>
      <c r="K848" s="80"/>
      <c r="L848" s="80"/>
    </row>
    <row r="849" spans="1:12" ht="33" customHeight="1">
      <c r="A849" s="45" t="s">
        <v>400</v>
      </c>
      <c r="B849" s="61" t="s">
        <v>401</v>
      </c>
      <c r="C849" s="21" t="s">
        <v>399</v>
      </c>
      <c r="D849" s="88">
        <f t="shared" ref="D849:L849" si="720">D850+D855</f>
        <v>1872</v>
      </c>
      <c r="E849" s="88">
        <f t="shared" ref="E849:F849" si="721">E850+E855</f>
        <v>532</v>
      </c>
      <c r="F849" s="88">
        <f t="shared" si="721"/>
        <v>470</v>
      </c>
      <c r="G849" s="88">
        <f t="shared" ref="G849:H849" si="722">G850+G855</f>
        <v>470</v>
      </c>
      <c r="H849" s="88">
        <f t="shared" si="722"/>
        <v>400</v>
      </c>
      <c r="I849" s="139">
        <f t="shared" si="656"/>
        <v>1872</v>
      </c>
      <c r="J849" s="88">
        <f t="shared" si="720"/>
        <v>1800</v>
      </c>
      <c r="K849" s="88">
        <f t="shared" si="720"/>
        <v>1800</v>
      </c>
      <c r="L849" s="88">
        <f t="shared" si="720"/>
        <v>1800</v>
      </c>
    </row>
    <row r="850" spans="1:12" ht="15" customHeight="1">
      <c r="A850" s="45"/>
      <c r="B850" s="35" t="s">
        <v>166</v>
      </c>
      <c r="C850" s="21"/>
      <c r="D850" s="83">
        <f t="shared" ref="D850:L851" si="723">D851</f>
        <v>1800</v>
      </c>
      <c r="E850" s="83">
        <f t="shared" si="723"/>
        <v>460</v>
      </c>
      <c r="F850" s="83">
        <f t="shared" si="723"/>
        <v>470</v>
      </c>
      <c r="G850" s="83">
        <f t="shared" si="723"/>
        <v>470</v>
      </c>
      <c r="H850" s="83">
        <f t="shared" si="723"/>
        <v>400</v>
      </c>
      <c r="I850" s="139">
        <f t="shared" si="656"/>
        <v>1800</v>
      </c>
      <c r="J850" s="83">
        <f t="shared" si="723"/>
        <v>1800</v>
      </c>
      <c r="K850" s="83">
        <f t="shared" si="723"/>
        <v>1800</v>
      </c>
      <c r="L850" s="83">
        <f t="shared" si="723"/>
        <v>1800</v>
      </c>
    </row>
    <row r="851" spans="1:12" ht="15" customHeight="1">
      <c r="A851" s="45"/>
      <c r="B851" s="44" t="s">
        <v>167</v>
      </c>
      <c r="C851" s="21">
        <v>1</v>
      </c>
      <c r="D851" s="83">
        <f t="shared" si="723"/>
        <v>1800</v>
      </c>
      <c r="E851" s="83">
        <f t="shared" si="723"/>
        <v>460</v>
      </c>
      <c r="F851" s="83">
        <f t="shared" si="723"/>
        <v>470</v>
      </c>
      <c r="G851" s="83">
        <f t="shared" si="723"/>
        <v>470</v>
      </c>
      <c r="H851" s="83">
        <f t="shared" si="723"/>
        <v>400</v>
      </c>
      <c r="I851" s="139">
        <f t="shared" si="656"/>
        <v>1800</v>
      </c>
      <c r="J851" s="83">
        <f t="shared" si="723"/>
        <v>1800</v>
      </c>
      <c r="K851" s="83">
        <f t="shared" si="723"/>
        <v>1800</v>
      </c>
      <c r="L851" s="83">
        <f t="shared" si="723"/>
        <v>1800</v>
      </c>
    </row>
    <row r="852" spans="1:12" ht="15" customHeight="1">
      <c r="A852" s="45"/>
      <c r="B852" s="44" t="s">
        <v>269</v>
      </c>
      <c r="C852" s="21" t="s">
        <v>317</v>
      </c>
      <c r="D852" s="83">
        <f t="shared" ref="D852:L852" si="724">D853+D854</f>
        <v>1800</v>
      </c>
      <c r="E852" s="83">
        <f t="shared" ref="E852:F852" si="725">E853+E854</f>
        <v>460</v>
      </c>
      <c r="F852" s="83">
        <f t="shared" si="725"/>
        <v>470</v>
      </c>
      <c r="G852" s="83">
        <f t="shared" ref="G852:H852" si="726">G853+G854</f>
        <v>470</v>
      </c>
      <c r="H852" s="83">
        <f t="shared" si="726"/>
        <v>400</v>
      </c>
      <c r="I852" s="139">
        <f t="shared" si="656"/>
        <v>1800</v>
      </c>
      <c r="J852" s="83">
        <f t="shared" si="724"/>
        <v>1800</v>
      </c>
      <c r="K852" s="83">
        <f t="shared" si="724"/>
        <v>1800</v>
      </c>
      <c r="L852" s="83">
        <f t="shared" si="724"/>
        <v>1800</v>
      </c>
    </row>
    <row r="853" spans="1:12" ht="15" customHeight="1">
      <c r="A853" s="45"/>
      <c r="B853" s="44" t="s">
        <v>168</v>
      </c>
      <c r="C853" s="21">
        <v>10</v>
      </c>
      <c r="D853" s="82">
        <v>1400</v>
      </c>
      <c r="E853" s="82">
        <v>350</v>
      </c>
      <c r="F853" s="82">
        <v>370</v>
      </c>
      <c r="G853" s="82">
        <v>370</v>
      </c>
      <c r="H853" s="82">
        <v>310</v>
      </c>
      <c r="I853" s="139">
        <f t="shared" si="656"/>
        <v>1400</v>
      </c>
      <c r="J853" s="80">
        <v>1400</v>
      </c>
      <c r="K853" s="80">
        <v>1400</v>
      </c>
      <c r="L853" s="80">
        <v>1400</v>
      </c>
    </row>
    <row r="854" spans="1:12" ht="15" customHeight="1">
      <c r="A854" s="45"/>
      <c r="B854" s="44" t="s">
        <v>169</v>
      </c>
      <c r="C854" s="21">
        <v>20</v>
      </c>
      <c r="D854" s="82">
        <v>400</v>
      </c>
      <c r="E854" s="82">
        <v>110</v>
      </c>
      <c r="F854" s="82">
        <v>100</v>
      </c>
      <c r="G854" s="82">
        <v>100</v>
      </c>
      <c r="H854" s="82">
        <v>90</v>
      </c>
      <c r="I854" s="139">
        <f t="shared" si="656"/>
        <v>400</v>
      </c>
      <c r="J854" s="80">
        <v>400</v>
      </c>
      <c r="K854" s="80">
        <v>400</v>
      </c>
      <c r="L854" s="80">
        <v>400</v>
      </c>
    </row>
    <row r="855" spans="1:12" ht="15" customHeight="1">
      <c r="A855" s="45"/>
      <c r="B855" s="37" t="s">
        <v>178</v>
      </c>
      <c r="C855" s="21"/>
      <c r="D855" s="88">
        <f t="shared" ref="D855:L855" si="727">D856</f>
        <v>72</v>
      </c>
      <c r="E855" s="88">
        <f t="shared" si="727"/>
        <v>72</v>
      </c>
      <c r="F855" s="88">
        <f t="shared" si="727"/>
        <v>0</v>
      </c>
      <c r="G855" s="88">
        <f t="shared" si="727"/>
        <v>0</v>
      </c>
      <c r="H855" s="88">
        <f t="shared" si="727"/>
        <v>0</v>
      </c>
      <c r="I855" s="139">
        <f t="shared" si="656"/>
        <v>72</v>
      </c>
      <c r="J855" s="88">
        <f t="shared" si="727"/>
        <v>0</v>
      </c>
      <c r="K855" s="88">
        <f t="shared" si="727"/>
        <v>0</v>
      </c>
      <c r="L855" s="88">
        <f t="shared" si="727"/>
        <v>0</v>
      </c>
    </row>
    <row r="856" spans="1:12" ht="15" customHeight="1">
      <c r="A856" s="45"/>
      <c r="B856" s="44" t="s">
        <v>184</v>
      </c>
      <c r="C856" s="21" t="s">
        <v>185</v>
      </c>
      <c r="D856" s="82">
        <v>72</v>
      </c>
      <c r="E856" s="82">
        <v>72</v>
      </c>
      <c r="F856" s="82"/>
      <c r="G856" s="82"/>
      <c r="H856" s="82"/>
      <c r="I856" s="139">
        <f t="shared" ref="I856:I919" si="728">E856+F856+G856+H856</f>
        <v>72</v>
      </c>
      <c r="J856" s="80"/>
      <c r="K856" s="80"/>
      <c r="L856" s="80"/>
    </row>
    <row r="857" spans="1:12" ht="28.5" customHeight="1">
      <c r="A857" s="45" t="s">
        <v>402</v>
      </c>
      <c r="B857" s="61" t="s">
        <v>403</v>
      </c>
      <c r="C857" s="21" t="s">
        <v>399</v>
      </c>
      <c r="D857" s="88">
        <f t="shared" ref="D857:L857" si="729">D858+D863</f>
        <v>1860</v>
      </c>
      <c r="E857" s="88">
        <f t="shared" ref="E857:F857" si="730">E858+E863</f>
        <v>470</v>
      </c>
      <c r="F857" s="88">
        <f t="shared" si="730"/>
        <v>490</v>
      </c>
      <c r="G857" s="88">
        <f t="shared" ref="G857:H857" si="731">G858+G863</f>
        <v>490</v>
      </c>
      <c r="H857" s="88">
        <f t="shared" si="731"/>
        <v>410</v>
      </c>
      <c r="I857" s="139">
        <f t="shared" si="728"/>
        <v>1860</v>
      </c>
      <c r="J857" s="88">
        <f t="shared" si="729"/>
        <v>1860</v>
      </c>
      <c r="K857" s="88">
        <f t="shared" si="729"/>
        <v>1860</v>
      </c>
      <c r="L857" s="88">
        <f t="shared" si="729"/>
        <v>1860</v>
      </c>
    </row>
    <row r="858" spans="1:12" ht="15" customHeight="1">
      <c r="A858" s="45"/>
      <c r="B858" s="35" t="s">
        <v>166</v>
      </c>
      <c r="C858" s="21"/>
      <c r="D858" s="88">
        <f t="shared" ref="D858:L859" si="732">D859</f>
        <v>1860</v>
      </c>
      <c r="E858" s="88">
        <f t="shared" si="732"/>
        <v>470</v>
      </c>
      <c r="F858" s="88">
        <f t="shared" si="732"/>
        <v>490</v>
      </c>
      <c r="G858" s="88">
        <f t="shared" si="732"/>
        <v>490</v>
      </c>
      <c r="H858" s="88">
        <f t="shared" si="732"/>
        <v>410</v>
      </c>
      <c r="I858" s="139">
        <f t="shared" si="728"/>
        <v>1860</v>
      </c>
      <c r="J858" s="88">
        <f t="shared" si="732"/>
        <v>1860</v>
      </c>
      <c r="K858" s="88">
        <f t="shared" si="732"/>
        <v>1860</v>
      </c>
      <c r="L858" s="88">
        <f t="shared" si="732"/>
        <v>1860</v>
      </c>
    </row>
    <row r="859" spans="1:12" ht="15" customHeight="1">
      <c r="A859" s="45"/>
      <c r="B859" s="44" t="s">
        <v>167</v>
      </c>
      <c r="C859" s="21">
        <v>1</v>
      </c>
      <c r="D859" s="83">
        <f t="shared" si="732"/>
        <v>1860</v>
      </c>
      <c r="E859" s="83">
        <f t="shared" si="732"/>
        <v>470</v>
      </c>
      <c r="F859" s="83">
        <f t="shared" si="732"/>
        <v>490</v>
      </c>
      <c r="G859" s="83">
        <f t="shared" si="732"/>
        <v>490</v>
      </c>
      <c r="H859" s="83">
        <f t="shared" si="732"/>
        <v>410</v>
      </c>
      <c r="I859" s="139">
        <f t="shared" si="728"/>
        <v>1860</v>
      </c>
      <c r="J859" s="83">
        <f t="shared" si="732"/>
        <v>1860</v>
      </c>
      <c r="K859" s="83">
        <f t="shared" si="732"/>
        <v>1860</v>
      </c>
      <c r="L859" s="83">
        <f t="shared" si="732"/>
        <v>1860</v>
      </c>
    </row>
    <row r="860" spans="1:12" ht="15" customHeight="1">
      <c r="A860" s="45"/>
      <c r="B860" s="44" t="s">
        <v>269</v>
      </c>
      <c r="C860" s="21" t="s">
        <v>317</v>
      </c>
      <c r="D860" s="83">
        <f t="shared" ref="D860:L860" si="733">D861+D862</f>
        <v>1860</v>
      </c>
      <c r="E860" s="83">
        <f t="shared" ref="E860:F860" si="734">E861+E862</f>
        <v>470</v>
      </c>
      <c r="F860" s="83">
        <f t="shared" si="734"/>
        <v>490</v>
      </c>
      <c r="G860" s="83">
        <f t="shared" ref="G860:H860" si="735">G861+G862</f>
        <v>490</v>
      </c>
      <c r="H860" s="83">
        <f t="shared" si="735"/>
        <v>410</v>
      </c>
      <c r="I860" s="139">
        <f t="shared" si="728"/>
        <v>1860</v>
      </c>
      <c r="J860" s="83">
        <f t="shared" si="733"/>
        <v>1860</v>
      </c>
      <c r="K860" s="83">
        <f t="shared" si="733"/>
        <v>1860</v>
      </c>
      <c r="L860" s="83">
        <f t="shared" si="733"/>
        <v>1860</v>
      </c>
    </row>
    <row r="861" spans="1:12" ht="15" customHeight="1">
      <c r="A861" s="45"/>
      <c r="B861" s="44" t="s">
        <v>168</v>
      </c>
      <c r="C861" s="21">
        <v>10</v>
      </c>
      <c r="D861" s="82">
        <v>1310</v>
      </c>
      <c r="E861" s="82">
        <v>350</v>
      </c>
      <c r="F861" s="82">
        <v>350</v>
      </c>
      <c r="G861" s="82">
        <v>350</v>
      </c>
      <c r="H861" s="82">
        <v>260</v>
      </c>
      <c r="I861" s="139">
        <f t="shared" si="728"/>
        <v>1310</v>
      </c>
      <c r="J861" s="80">
        <v>1310</v>
      </c>
      <c r="K861" s="80">
        <v>1310</v>
      </c>
      <c r="L861" s="80">
        <v>1310</v>
      </c>
    </row>
    <row r="862" spans="1:12" ht="14.25" customHeight="1">
      <c r="A862" s="45"/>
      <c r="B862" s="44" t="s">
        <v>169</v>
      </c>
      <c r="C862" s="21">
        <v>20</v>
      </c>
      <c r="D862" s="82">
        <v>550</v>
      </c>
      <c r="E862" s="82">
        <v>120</v>
      </c>
      <c r="F862" s="82">
        <v>140</v>
      </c>
      <c r="G862" s="82">
        <v>140</v>
      </c>
      <c r="H862" s="82">
        <v>150</v>
      </c>
      <c r="I862" s="139">
        <f t="shared" si="728"/>
        <v>550</v>
      </c>
      <c r="J862" s="80">
        <v>550</v>
      </c>
      <c r="K862" s="80">
        <v>550</v>
      </c>
      <c r="L862" s="80">
        <v>550</v>
      </c>
    </row>
    <row r="863" spans="1:12" ht="15" hidden="1" customHeight="1">
      <c r="A863" s="45"/>
      <c r="B863" s="37" t="s">
        <v>178</v>
      </c>
      <c r="C863" s="21"/>
      <c r="D863" s="83">
        <f t="shared" ref="D863:L863" si="736">D864</f>
        <v>0</v>
      </c>
      <c r="E863" s="83">
        <f t="shared" si="736"/>
        <v>0</v>
      </c>
      <c r="F863" s="83">
        <f t="shared" si="736"/>
        <v>0</v>
      </c>
      <c r="G863" s="83">
        <f t="shared" si="736"/>
        <v>0</v>
      </c>
      <c r="H863" s="83">
        <f t="shared" si="736"/>
        <v>0</v>
      </c>
      <c r="I863" s="139">
        <f t="shared" si="728"/>
        <v>0</v>
      </c>
      <c r="J863" s="83">
        <f t="shared" si="736"/>
        <v>0</v>
      </c>
      <c r="K863" s="83">
        <f t="shared" si="736"/>
        <v>0</v>
      </c>
      <c r="L863" s="83">
        <f t="shared" si="736"/>
        <v>0</v>
      </c>
    </row>
    <row r="864" spans="1:12" ht="15" hidden="1" customHeight="1">
      <c r="A864" s="45"/>
      <c r="B864" s="44" t="s">
        <v>184</v>
      </c>
      <c r="C864" s="21" t="s">
        <v>185</v>
      </c>
      <c r="D864" s="82">
        <v>0</v>
      </c>
      <c r="E864" s="82"/>
      <c r="F864" s="82"/>
      <c r="G864" s="82"/>
      <c r="H864" s="82"/>
      <c r="I864" s="139">
        <f t="shared" si="728"/>
        <v>0</v>
      </c>
      <c r="J864" s="80"/>
      <c r="K864" s="80"/>
      <c r="L864" s="80"/>
    </row>
    <row r="865" spans="1:12" ht="14.25">
      <c r="A865" s="45" t="s">
        <v>404</v>
      </c>
      <c r="B865" s="37" t="s">
        <v>405</v>
      </c>
      <c r="C865" s="21" t="s">
        <v>406</v>
      </c>
      <c r="D865" s="88">
        <f t="shared" ref="D865:L867" si="737">D866</f>
        <v>570</v>
      </c>
      <c r="E865" s="88">
        <f t="shared" si="737"/>
        <v>100</v>
      </c>
      <c r="F865" s="88">
        <f t="shared" si="737"/>
        <v>250</v>
      </c>
      <c r="G865" s="88">
        <f t="shared" si="737"/>
        <v>150</v>
      </c>
      <c r="H865" s="88">
        <f t="shared" si="737"/>
        <v>70</v>
      </c>
      <c r="I865" s="139">
        <f t="shared" si="728"/>
        <v>570</v>
      </c>
      <c r="J865" s="88">
        <f t="shared" si="737"/>
        <v>570</v>
      </c>
      <c r="K865" s="88">
        <f t="shared" si="737"/>
        <v>570</v>
      </c>
      <c r="L865" s="88">
        <f t="shared" si="737"/>
        <v>570</v>
      </c>
    </row>
    <row r="866" spans="1:12" ht="14.25">
      <c r="A866" s="45"/>
      <c r="B866" s="35" t="s">
        <v>166</v>
      </c>
      <c r="C866" s="21"/>
      <c r="D866" s="88">
        <f t="shared" si="737"/>
        <v>570</v>
      </c>
      <c r="E866" s="88">
        <f t="shared" si="737"/>
        <v>100</v>
      </c>
      <c r="F866" s="88">
        <f t="shared" si="737"/>
        <v>250</v>
      </c>
      <c r="G866" s="88">
        <f t="shared" si="737"/>
        <v>150</v>
      </c>
      <c r="H866" s="88">
        <f t="shared" si="737"/>
        <v>70</v>
      </c>
      <c r="I866" s="139">
        <f t="shared" si="728"/>
        <v>570</v>
      </c>
      <c r="J866" s="88">
        <f t="shared" si="737"/>
        <v>570</v>
      </c>
      <c r="K866" s="88">
        <f t="shared" si="737"/>
        <v>570</v>
      </c>
      <c r="L866" s="88">
        <f t="shared" si="737"/>
        <v>570</v>
      </c>
    </row>
    <row r="867" spans="1:12" ht="15">
      <c r="A867" s="45"/>
      <c r="B867" s="44" t="s">
        <v>167</v>
      </c>
      <c r="C867" s="21">
        <v>1</v>
      </c>
      <c r="D867" s="83">
        <f t="shared" si="737"/>
        <v>570</v>
      </c>
      <c r="E867" s="83">
        <f t="shared" si="737"/>
        <v>100</v>
      </c>
      <c r="F867" s="83">
        <f t="shared" si="737"/>
        <v>250</v>
      </c>
      <c r="G867" s="83">
        <f t="shared" si="737"/>
        <v>150</v>
      </c>
      <c r="H867" s="83">
        <f t="shared" si="737"/>
        <v>70</v>
      </c>
      <c r="I867" s="139">
        <f t="shared" si="728"/>
        <v>570</v>
      </c>
      <c r="J867" s="83">
        <f t="shared" si="737"/>
        <v>570</v>
      </c>
      <c r="K867" s="83">
        <f t="shared" si="737"/>
        <v>570</v>
      </c>
      <c r="L867" s="83">
        <f t="shared" si="737"/>
        <v>570</v>
      </c>
    </row>
    <row r="868" spans="1:12" ht="12" customHeight="1">
      <c r="A868" s="45"/>
      <c r="B868" s="44" t="s">
        <v>278</v>
      </c>
      <c r="C868" s="21" t="s">
        <v>290</v>
      </c>
      <c r="D868" s="82">
        <f>450+120</f>
        <v>570</v>
      </c>
      <c r="E868" s="82">
        <v>100</v>
      </c>
      <c r="F868" s="82">
        <v>250</v>
      </c>
      <c r="G868" s="82">
        <v>150</v>
      </c>
      <c r="H868" s="82">
        <v>70</v>
      </c>
      <c r="I868" s="139">
        <f t="shared" si="728"/>
        <v>570</v>
      </c>
      <c r="J868" s="80">
        <v>570</v>
      </c>
      <c r="K868" s="80">
        <v>570</v>
      </c>
      <c r="L868" s="80">
        <v>570</v>
      </c>
    </row>
    <row r="869" spans="1:12" ht="27.75" customHeight="1">
      <c r="A869" s="52" t="s">
        <v>8</v>
      </c>
      <c r="B869" s="68" t="s">
        <v>520</v>
      </c>
      <c r="C869" s="105">
        <v>69.02</v>
      </c>
      <c r="D869" s="91">
        <f t="shared" ref="D869:L871" si="738">D879+D911</f>
        <v>2981</v>
      </c>
      <c r="E869" s="91">
        <f t="shared" ref="E869:F869" si="739">E879+E911</f>
        <v>844</v>
      </c>
      <c r="F869" s="91">
        <f t="shared" si="739"/>
        <v>957</v>
      </c>
      <c r="G869" s="91">
        <f t="shared" ref="G869:H869" si="740">G879+G911</f>
        <v>620</v>
      </c>
      <c r="H869" s="91">
        <f t="shared" si="740"/>
        <v>560</v>
      </c>
      <c r="I869" s="139">
        <f t="shared" si="728"/>
        <v>2981</v>
      </c>
      <c r="J869" s="91">
        <f t="shared" si="738"/>
        <v>2370</v>
      </c>
      <c r="K869" s="91">
        <f t="shared" si="738"/>
        <v>2370</v>
      </c>
      <c r="L869" s="91">
        <f t="shared" si="738"/>
        <v>2370</v>
      </c>
    </row>
    <row r="870" spans="1:12" ht="18" customHeight="1">
      <c r="A870" s="45"/>
      <c r="B870" s="35" t="s">
        <v>166</v>
      </c>
      <c r="C870" s="99"/>
      <c r="D870" s="91">
        <f t="shared" si="738"/>
        <v>2657</v>
      </c>
      <c r="E870" s="91">
        <f t="shared" ref="E870:F870" si="741">E880+E912</f>
        <v>520</v>
      </c>
      <c r="F870" s="91">
        <f t="shared" si="741"/>
        <v>957</v>
      </c>
      <c r="G870" s="91">
        <f t="shared" ref="G870:H870" si="742">G880+G912</f>
        <v>620</v>
      </c>
      <c r="H870" s="91">
        <f t="shared" si="742"/>
        <v>560</v>
      </c>
      <c r="I870" s="139">
        <f t="shared" si="728"/>
        <v>2657</v>
      </c>
      <c r="J870" s="91">
        <f t="shared" si="738"/>
        <v>2370</v>
      </c>
      <c r="K870" s="91">
        <f t="shared" si="738"/>
        <v>2370</v>
      </c>
      <c r="L870" s="91">
        <f t="shared" si="738"/>
        <v>2370</v>
      </c>
    </row>
    <row r="871" spans="1:12" ht="15">
      <c r="A871" s="45"/>
      <c r="B871" s="44" t="s">
        <v>167</v>
      </c>
      <c r="C871" s="21">
        <v>1</v>
      </c>
      <c r="D871" s="83">
        <f t="shared" si="738"/>
        <v>2657</v>
      </c>
      <c r="E871" s="83">
        <f t="shared" ref="E871:F871" si="743">E881+E913</f>
        <v>520</v>
      </c>
      <c r="F871" s="83">
        <f t="shared" si="743"/>
        <v>957</v>
      </c>
      <c r="G871" s="83">
        <f t="shared" ref="G871:H871" si="744">G881+G913</f>
        <v>620</v>
      </c>
      <c r="H871" s="83">
        <f t="shared" si="744"/>
        <v>560</v>
      </c>
      <c r="I871" s="139">
        <f t="shared" si="728"/>
        <v>2657</v>
      </c>
      <c r="J871" s="83">
        <f t="shared" si="738"/>
        <v>2370</v>
      </c>
      <c r="K871" s="83">
        <f t="shared" si="738"/>
        <v>2370</v>
      </c>
      <c r="L871" s="83">
        <f t="shared" si="738"/>
        <v>2370</v>
      </c>
    </row>
    <row r="872" spans="1:12" ht="15">
      <c r="A872" s="45"/>
      <c r="B872" s="44" t="s">
        <v>168</v>
      </c>
      <c r="C872" s="21">
        <v>10</v>
      </c>
      <c r="D872" s="83">
        <f t="shared" ref="D872:L872" si="745">D882</f>
        <v>1470</v>
      </c>
      <c r="E872" s="83">
        <f t="shared" ref="E872:F872" si="746">E882</f>
        <v>370</v>
      </c>
      <c r="F872" s="83">
        <f t="shared" si="746"/>
        <v>370</v>
      </c>
      <c r="G872" s="83">
        <f t="shared" ref="G872:H872" si="747">G882</f>
        <v>370</v>
      </c>
      <c r="H872" s="83">
        <f t="shared" si="747"/>
        <v>360</v>
      </c>
      <c r="I872" s="139">
        <f t="shared" si="728"/>
        <v>1470</v>
      </c>
      <c r="J872" s="83">
        <f t="shared" si="745"/>
        <v>1470</v>
      </c>
      <c r="K872" s="83">
        <f t="shared" si="745"/>
        <v>1470</v>
      </c>
      <c r="L872" s="83">
        <f t="shared" si="745"/>
        <v>1470</v>
      </c>
    </row>
    <row r="873" spans="1:12" ht="15">
      <c r="A873" s="45"/>
      <c r="B873" s="44" t="s">
        <v>169</v>
      </c>
      <c r="C873" s="21">
        <v>20</v>
      </c>
      <c r="D873" s="83">
        <f t="shared" ref="D873:L874" si="748">D883+D914</f>
        <v>1187</v>
      </c>
      <c r="E873" s="83">
        <f t="shared" ref="E873:F873" si="749">E883+E914</f>
        <v>150</v>
      </c>
      <c r="F873" s="83">
        <f t="shared" si="749"/>
        <v>587</v>
      </c>
      <c r="G873" s="83">
        <f t="shared" ref="G873:H873" si="750">G883+G914</f>
        <v>250</v>
      </c>
      <c r="H873" s="83">
        <f t="shared" si="750"/>
        <v>200</v>
      </c>
      <c r="I873" s="139">
        <f t="shared" si="728"/>
        <v>1187</v>
      </c>
      <c r="J873" s="83">
        <f t="shared" si="748"/>
        <v>900</v>
      </c>
      <c r="K873" s="83">
        <f t="shared" si="748"/>
        <v>900</v>
      </c>
      <c r="L873" s="83">
        <f t="shared" si="748"/>
        <v>900</v>
      </c>
    </row>
    <row r="874" spans="1:12" ht="12" customHeight="1">
      <c r="A874" s="45"/>
      <c r="B874" s="37" t="s">
        <v>178</v>
      </c>
      <c r="C874" s="21"/>
      <c r="D874" s="88">
        <f t="shared" ref="D874:H874" si="751">D884+D915</f>
        <v>324</v>
      </c>
      <c r="E874" s="88">
        <f t="shared" si="751"/>
        <v>324</v>
      </c>
      <c r="F874" s="88">
        <f t="shared" si="751"/>
        <v>0</v>
      </c>
      <c r="G874" s="88">
        <f t="shared" si="751"/>
        <v>0</v>
      </c>
      <c r="H874" s="88">
        <f t="shared" si="751"/>
        <v>0</v>
      </c>
      <c r="I874" s="139">
        <f t="shared" si="728"/>
        <v>324</v>
      </c>
      <c r="J874" s="88">
        <f t="shared" si="748"/>
        <v>0</v>
      </c>
      <c r="K874" s="88">
        <f t="shared" si="748"/>
        <v>0</v>
      </c>
      <c r="L874" s="88">
        <f t="shared" si="748"/>
        <v>0</v>
      </c>
    </row>
    <row r="875" spans="1:12" ht="14.25" hidden="1">
      <c r="A875" s="45"/>
      <c r="B875" s="37"/>
      <c r="C875" s="21"/>
      <c r="D875" s="88"/>
      <c r="E875" s="88"/>
      <c r="F875" s="88"/>
      <c r="G875" s="88"/>
      <c r="H875" s="88"/>
      <c r="I875" s="139">
        <f t="shared" si="728"/>
        <v>0</v>
      </c>
      <c r="J875" s="88"/>
      <c r="K875" s="88"/>
      <c r="L875" s="88"/>
    </row>
    <row r="876" spans="1:12" ht="0.75" customHeight="1">
      <c r="A876" s="45"/>
      <c r="B876" s="37" t="s">
        <v>187</v>
      </c>
      <c r="C876" s="21">
        <v>56</v>
      </c>
      <c r="D876" s="83">
        <f t="shared" ref="D876:L876" si="752">D885+D916</f>
        <v>0</v>
      </c>
      <c r="E876" s="83">
        <f t="shared" ref="E876:F876" si="753">E885+E916</f>
        <v>0</v>
      </c>
      <c r="F876" s="83">
        <f t="shared" si="753"/>
        <v>0</v>
      </c>
      <c r="G876" s="83">
        <f t="shared" ref="G876:H876" si="754">G885+G916</f>
        <v>0</v>
      </c>
      <c r="H876" s="83">
        <f t="shared" si="754"/>
        <v>0</v>
      </c>
      <c r="I876" s="139">
        <f t="shared" si="728"/>
        <v>0</v>
      </c>
      <c r="J876" s="83">
        <f t="shared" si="752"/>
        <v>0</v>
      </c>
      <c r="K876" s="83">
        <f t="shared" si="752"/>
        <v>0</v>
      </c>
      <c r="L876" s="83">
        <f t="shared" si="752"/>
        <v>0</v>
      </c>
    </row>
    <row r="877" spans="1:12" ht="22.5" hidden="1" customHeight="1">
      <c r="A877" s="45"/>
      <c r="B877" s="37" t="s">
        <v>187</v>
      </c>
      <c r="C877" s="21">
        <v>58</v>
      </c>
      <c r="D877" s="83">
        <f t="shared" ref="D877:L878" si="755">D886</f>
        <v>0</v>
      </c>
      <c r="E877" s="83">
        <f t="shared" ref="E877:F877" si="756">E886</f>
        <v>0</v>
      </c>
      <c r="F877" s="83">
        <f t="shared" si="756"/>
        <v>0</v>
      </c>
      <c r="G877" s="83">
        <f t="shared" ref="G877:H877" si="757">G886</f>
        <v>0</v>
      </c>
      <c r="H877" s="83">
        <f t="shared" si="757"/>
        <v>0</v>
      </c>
      <c r="I877" s="139">
        <f t="shared" si="728"/>
        <v>0</v>
      </c>
      <c r="J877" s="83">
        <f>J886</f>
        <v>0</v>
      </c>
      <c r="K877" s="83">
        <f>K886</f>
        <v>0</v>
      </c>
      <c r="L877" s="83">
        <f>L886</f>
        <v>0</v>
      </c>
    </row>
    <row r="878" spans="1:12" ht="15.75" customHeight="1">
      <c r="A878" s="45"/>
      <c r="B878" s="44" t="s">
        <v>207</v>
      </c>
      <c r="C878" s="21">
        <v>70</v>
      </c>
      <c r="D878" s="83">
        <f t="shared" si="755"/>
        <v>324</v>
      </c>
      <c r="E878" s="83">
        <f t="shared" ref="E878:F878" si="758">E887</f>
        <v>324</v>
      </c>
      <c r="F878" s="83">
        <f t="shared" si="758"/>
        <v>0</v>
      </c>
      <c r="G878" s="83">
        <f t="shared" ref="G878:H878" si="759">G887</f>
        <v>0</v>
      </c>
      <c r="H878" s="83">
        <f t="shared" si="759"/>
        <v>0</v>
      </c>
      <c r="I878" s="139">
        <f t="shared" si="728"/>
        <v>324</v>
      </c>
      <c r="J878" s="83">
        <f t="shared" si="755"/>
        <v>0</v>
      </c>
      <c r="K878" s="83">
        <f t="shared" si="755"/>
        <v>0</v>
      </c>
      <c r="L878" s="83">
        <f t="shared" si="755"/>
        <v>0</v>
      </c>
    </row>
    <row r="879" spans="1:12" ht="28.5">
      <c r="A879" s="52">
        <v>1</v>
      </c>
      <c r="B879" s="54" t="s">
        <v>508</v>
      </c>
      <c r="C879" s="105">
        <v>70.02</v>
      </c>
      <c r="D879" s="88">
        <f t="shared" ref="D879:L879" si="760">D888+D895+D901+D905</f>
        <v>2594</v>
      </c>
      <c r="E879" s="88">
        <f t="shared" ref="E879:F879" si="761">E888+E895+E901+E905</f>
        <v>844</v>
      </c>
      <c r="F879" s="88">
        <f t="shared" si="761"/>
        <v>570</v>
      </c>
      <c r="G879" s="88">
        <f t="shared" ref="G879:H879" si="762">G888+G895+G901+G905</f>
        <v>620</v>
      </c>
      <c r="H879" s="88">
        <f t="shared" si="762"/>
        <v>560</v>
      </c>
      <c r="I879" s="139">
        <f t="shared" si="728"/>
        <v>2594</v>
      </c>
      <c r="J879" s="88">
        <f t="shared" si="760"/>
        <v>2270</v>
      </c>
      <c r="K879" s="88">
        <f t="shared" si="760"/>
        <v>2270</v>
      </c>
      <c r="L879" s="88">
        <f t="shared" si="760"/>
        <v>2270</v>
      </c>
    </row>
    <row r="880" spans="1:12" ht="14.25">
      <c r="A880" s="45"/>
      <c r="B880" s="35" t="s">
        <v>166</v>
      </c>
      <c r="C880" s="99"/>
      <c r="D880" s="88">
        <f t="shared" ref="D880:L881" si="763">D889+D906</f>
        <v>2270</v>
      </c>
      <c r="E880" s="88">
        <f t="shared" ref="E880:F880" si="764">E889+E906</f>
        <v>520</v>
      </c>
      <c r="F880" s="88">
        <f t="shared" si="764"/>
        <v>570</v>
      </c>
      <c r="G880" s="88">
        <f t="shared" ref="G880:H880" si="765">G889+G906</f>
        <v>620</v>
      </c>
      <c r="H880" s="88">
        <f t="shared" si="765"/>
        <v>560</v>
      </c>
      <c r="I880" s="139">
        <f t="shared" si="728"/>
        <v>2270</v>
      </c>
      <c r="J880" s="88">
        <f t="shared" si="763"/>
        <v>2270</v>
      </c>
      <c r="K880" s="88">
        <f t="shared" si="763"/>
        <v>2270</v>
      </c>
      <c r="L880" s="88">
        <f t="shared" si="763"/>
        <v>2270</v>
      </c>
    </row>
    <row r="881" spans="1:13" ht="15">
      <c r="A881" s="45"/>
      <c r="B881" s="44" t="s">
        <v>167</v>
      </c>
      <c r="C881" s="99">
        <v>1</v>
      </c>
      <c r="D881" s="88">
        <f t="shared" si="763"/>
        <v>2270</v>
      </c>
      <c r="E881" s="88">
        <f t="shared" ref="E881:F881" si="766">E890+E907</f>
        <v>520</v>
      </c>
      <c r="F881" s="88">
        <f t="shared" si="766"/>
        <v>570</v>
      </c>
      <c r="G881" s="88">
        <f t="shared" ref="G881:H881" si="767">G890+G907</f>
        <v>620</v>
      </c>
      <c r="H881" s="88">
        <f t="shared" si="767"/>
        <v>560</v>
      </c>
      <c r="I881" s="139">
        <f t="shared" si="728"/>
        <v>2270</v>
      </c>
      <c r="J881" s="88">
        <f t="shared" si="763"/>
        <v>2270</v>
      </c>
      <c r="K881" s="88">
        <f t="shared" si="763"/>
        <v>2270</v>
      </c>
      <c r="L881" s="88">
        <f t="shared" si="763"/>
        <v>2270</v>
      </c>
    </row>
    <row r="882" spans="1:13" ht="15">
      <c r="A882" s="45"/>
      <c r="B882" s="44" t="s">
        <v>168</v>
      </c>
      <c r="C882" s="99">
        <v>10</v>
      </c>
      <c r="D882" s="88">
        <f t="shared" ref="D882:L882" si="768">D891</f>
        <v>1470</v>
      </c>
      <c r="E882" s="88">
        <f t="shared" ref="E882:F882" si="769">E891</f>
        <v>370</v>
      </c>
      <c r="F882" s="88">
        <f t="shared" si="769"/>
        <v>370</v>
      </c>
      <c r="G882" s="88">
        <f t="shared" ref="G882:H882" si="770">G891</f>
        <v>370</v>
      </c>
      <c r="H882" s="88">
        <f t="shared" si="770"/>
        <v>360</v>
      </c>
      <c r="I882" s="139">
        <f t="shared" si="728"/>
        <v>1470</v>
      </c>
      <c r="J882" s="88">
        <f t="shared" si="768"/>
        <v>1470</v>
      </c>
      <c r="K882" s="88">
        <f t="shared" si="768"/>
        <v>1470</v>
      </c>
      <c r="L882" s="88">
        <f t="shared" si="768"/>
        <v>1470</v>
      </c>
    </row>
    <row r="883" spans="1:13" ht="15">
      <c r="A883" s="45"/>
      <c r="B883" s="44" t="s">
        <v>169</v>
      </c>
      <c r="C883" s="99">
        <v>20</v>
      </c>
      <c r="D883" s="88">
        <f t="shared" ref="D883:L883" si="771">D892+D908</f>
        <v>800</v>
      </c>
      <c r="E883" s="88">
        <f t="shared" ref="E883:F883" si="772">E892+E908</f>
        <v>150</v>
      </c>
      <c r="F883" s="88">
        <f t="shared" si="772"/>
        <v>200</v>
      </c>
      <c r="G883" s="88">
        <f t="shared" ref="G883:H883" si="773">G892+G908</f>
        <v>250</v>
      </c>
      <c r="H883" s="88">
        <f t="shared" si="773"/>
        <v>200</v>
      </c>
      <c r="I883" s="139">
        <f t="shared" si="728"/>
        <v>800</v>
      </c>
      <c r="J883" s="88">
        <f t="shared" si="771"/>
        <v>800</v>
      </c>
      <c r="K883" s="88">
        <f t="shared" si="771"/>
        <v>800</v>
      </c>
      <c r="L883" s="88">
        <f t="shared" si="771"/>
        <v>800</v>
      </c>
    </row>
    <row r="884" spans="1:13" ht="14.25">
      <c r="A884" s="45"/>
      <c r="B884" s="37" t="s">
        <v>178</v>
      </c>
      <c r="C884" s="99"/>
      <c r="D884" s="88">
        <f t="shared" ref="D884" si="774">D893+D896+D902+D909</f>
        <v>324</v>
      </c>
      <c r="E884" s="88">
        <f t="shared" ref="E884:F884" si="775">E893+E896+E902+E909</f>
        <v>324</v>
      </c>
      <c r="F884" s="88">
        <f t="shared" si="775"/>
        <v>0</v>
      </c>
      <c r="G884" s="88">
        <f t="shared" ref="G884:H884" si="776">G893+G896+G902+G909</f>
        <v>0</v>
      </c>
      <c r="H884" s="88">
        <f t="shared" si="776"/>
        <v>0</v>
      </c>
      <c r="I884" s="139">
        <f t="shared" si="728"/>
        <v>324</v>
      </c>
      <c r="J884" s="88">
        <f>J893+J896+J902+J909</f>
        <v>0</v>
      </c>
      <c r="K884" s="88">
        <f>K893+K896+K902+K909</f>
        <v>0</v>
      </c>
      <c r="L884" s="88">
        <f>L893+L896+L902+L909</f>
        <v>0</v>
      </c>
    </row>
    <row r="885" spans="1:13" ht="0.75" customHeight="1">
      <c r="A885" s="45"/>
      <c r="B885" s="37" t="s">
        <v>187</v>
      </c>
      <c r="C885" s="99">
        <v>56</v>
      </c>
      <c r="D885" s="88">
        <f t="shared" ref="D885:L885" si="777">D897+D903</f>
        <v>0</v>
      </c>
      <c r="E885" s="88">
        <f t="shared" ref="E885:F885" si="778">E897+E903</f>
        <v>0</v>
      </c>
      <c r="F885" s="88">
        <f t="shared" si="778"/>
        <v>0</v>
      </c>
      <c r="G885" s="88">
        <f t="shared" ref="G885:H885" si="779">G897+G903</f>
        <v>0</v>
      </c>
      <c r="H885" s="88">
        <f t="shared" si="779"/>
        <v>0</v>
      </c>
      <c r="I885" s="139">
        <f t="shared" si="728"/>
        <v>0</v>
      </c>
      <c r="J885" s="88">
        <f t="shared" si="777"/>
        <v>0</v>
      </c>
      <c r="K885" s="88">
        <f t="shared" si="777"/>
        <v>0</v>
      </c>
      <c r="L885" s="88">
        <f t="shared" si="777"/>
        <v>0</v>
      </c>
    </row>
    <row r="886" spans="1:13" ht="14.25">
      <c r="A886" s="45"/>
      <c r="B886" s="37" t="s">
        <v>187</v>
      </c>
      <c r="C886" s="99">
        <v>58</v>
      </c>
      <c r="D886" s="88">
        <f t="shared" ref="D886" si="780">D910</f>
        <v>0</v>
      </c>
      <c r="E886" s="88">
        <f t="shared" ref="E886:F886" si="781">E910</f>
        <v>0</v>
      </c>
      <c r="F886" s="88">
        <f t="shared" si="781"/>
        <v>0</v>
      </c>
      <c r="G886" s="88">
        <f t="shared" ref="G886:H886" si="782">G910</f>
        <v>0</v>
      </c>
      <c r="H886" s="88">
        <f t="shared" si="782"/>
        <v>0</v>
      </c>
      <c r="I886" s="139">
        <f t="shared" si="728"/>
        <v>0</v>
      </c>
      <c r="J886" s="88">
        <f>J910</f>
        <v>0</v>
      </c>
      <c r="K886" s="88">
        <f>K910</f>
        <v>0</v>
      </c>
      <c r="L886" s="88">
        <f>L910</f>
        <v>0</v>
      </c>
    </row>
    <row r="887" spans="1:13" ht="15">
      <c r="A887" s="45"/>
      <c r="B887" s="44" t="s">
        <v>207</v>
      </c>
      <c r="C887" s="99">
        <v>70</v>
      </c>
      <c r="D887" s="88">
        <f t="shared" ref="D887:L887" si="783">D894</f>
        <v>324</v>
      </c>
      <c r="E887" s="88">
        <f t="shared" ref="E887:F887" si="784">E894</f>
        <v>324</v>
      </c>
      <c r="F887" s="88">
        <f t="shared" si="784"/>
        <v>0</v>
      </c>
      <c r="G887" s="88">
        <f t="shared" ref="G887:H887" si="785">G894</f>
        <v>0</v>
      </c>
      <c r="H887" s="88">
        <f t="shared" si="785"/>
        <v>0</v>
      </c>
      <c r="I887" s="139">
        <f t="shared" si="728"/>
        <v>324</v>
      </c>
      <c r="J887" s="88">
        <f t="shared" si="783"/>
        <v>0</v>
      </c>
      <c r="K887" s="88">
        <f t="shared" si="783"/>
        <v>0</v>
      </c>
      <c r="L887" s="88">
        <f t="shared" si="783"/>
        <v>0</v>
      </c>
    </row>
    <row r="888" spans="1:13" ht="28.5">
      <c r="A888" s="45" t="s">
        <v>275</v>
      </c>
      <c r="B888" s="61" t="s">
        <v>407</v>
      </c>
      <c r="C888" s="99" t="s">
        <v>408</v>
      </c>
      <c r="D888" s="88">
        <f t="shared" ref="D888:L888" si="786">D889+D893</f>
        <v>2594</v>
      </c>
      <c r="E888" s="88">
        <f t="shared" ref="E888:F888" si="787">E889+E893</f>
        <v>844</v>
      </c>
      <c r="F888" s="88">
        <f t="shared" si="787"/>
        <v>570</v>
      </c>
      <c r="G888" s="88">
        <f t="shared" ref="G888:H888" si="788">G889+G893</f>
        <v>620</v>
      </c>
      <c r="H888" s="88">
        <f t="shared" si="788"/>
        <v>560</v>
      </c>
      <c r="I888" s="139">
        <f t="shared" si="728"/>
        <v>2594</v>
      </c>
      <c r="J888" s="88">
        <f t="shared" si="786"/>
        <v>2270</v>
      </c>
      <c r="K888" s="88">
        <f t="shared" si="786"/>
        <v>2270</v>
      </c>
      <c r="L888" s="88">
        <f t="shared" si="786"/>
        <v>2270</v>
      </c>
    </row>
    <row r="889" spans="1:13" ht="14.25">
      <c r="A889" s="45"/>
      <c r="B889" s="35" t="s">
        <v>166</v>
      </c>
      <c r="C889" s="21"/>
      <c r="D889" s="88">
        <f t="shared" ref="D889:L889" si="789">D890</f>
        <v>2270</v>
      </c>
      <c r="E889" s="88">
        <f t="shared" si="789"/>
        <v>520</v>
      </c>
      <c r="F889" s="88">
        <f t="shared" si="789"/>
        <v>570</v>
      </c>
      <c r="G889" s="88">
        <f t="shared" si="789"/>
        <v>620</v>
      </c>
      <c r="H889" s="88">
        <f t="shared" si="789"/>
        <v>560</v>
      </c>
      <c r="I889" s="139">
        <f t="shared" si="728"/>
        <v>2270</v>
      </c>
      <c r="J889" s="88">
        <f t="shared" si="789"/>
        <v>2270</v>
      </c>
      <c r="K889" s="88">
        <f t="shared" si="789"/>
        <v>2270</v>
      </c>
      <c r="L889" s="88">
        <f t="shared" si="789"/>
        <v>2270</v>
      </c>
    </row>
    <row r="890" spans="1:13" ht="15">
      <c r="A890" s="45"/>
      <c r="B890" s="44" t="s">
        <v>167</v>
      </c>
      <c r="C890" s="21">
        <v>1</v>
      </c>
      <c r="D890" s="83">
        <f t="shared" ref="D890:L890" si="790">D891+D892</f>
        <v>2270</v>
      </c>
      <c r="E890" s="83">
        <f t="shared" ref="E890:F890" si="791">E891+E892</f>
        <v>520</v>
      </c>
      <c r="F890" s="83">
        <f t="shared" si="791"/>
        <v>570</v>
      </c>
      <c r="G890" s="83">
        <f t="shared" ref="G890:H890" si="792">G891+G892</f>
        <v>620</v>
      </c>
      <c r="H890" s="83">
        <f t="shared" si="792"/>
        <v>560</v>
      </c>
      <c r="I890" s="139">
        <f t="shared" si="728"/>
        <v>2270</v>
      </c>
      <c r="J890" s="83">
        <f t="shared" si="790"/>
        <v>2270</v>
      </c>
      <c r="K890" s="83">
        <f t="shared" si="790"/>
        <v>2270</v>
      </c>
      <c r="L890" s="83">
        <f t="shared" si="790"/>
        <v>2270</v>
      </c>
    </row>
    <row r="891" spans="1:13" ht="15">
      <c r="A891" s="45"/>
      <c r="B891" s="44" t="s">
        <v>168</v>
      </c>
      <c r="C891" s="21">
        <v>10</v>
      </c>
      <c r="D891" s="82">
        <v>1470</v>
      </c>
      <c r="E891" s="82">
        <v>370</v>
      </c>
      <c r="F891" s="82">
        <v>370</v>
      </c>
      <c r="G891" s="82">
        <v>370</v>
      </c>
      <c r="H891" s="82">
        <v>360</v>
      </c>
      <c r="I891" s="139">
        <f t="shared" si="728"/>
        <v>1470</v>
      </c>
      <c r="J891" s="80">
        <v>1470</v>
      </c>
      <c r="K891" s="80">
        <v>1470</v>
      </c>
      <c r="L891" s="80">
        <v>1470</v>
      </c>
      <c r="M891" s="2">
        <v>1700</v>
      </c>
    </row>
    <row r="892" spans="1:13" ht="17.25" customHeight="1">
      <c r="A892" s="45"/>
      <c r="B892" s="44" t="s">
        <v>169</v>
      </c>
      <c r="C892" s="21">
        <v>20</v>
      </c>
      <c r="D892" s="82">
        <f>675+125</f>
        <v>800</v>
      </c>
      <c r="E892" s="82">
        <v>150</v>
      </c>
      <c r="F892" s="82">
        <v>200</v>
      </c>
      <c r="G892" s="82">
        <v>250</v>
      </c>
      <c r="H892" s="82">
        <v>200</v>
      </c>
      <c r="I892" s="139">
        <f t="shared" si="728"/>
        <v>800</v>
      </c>
      <c r="J892" s="80">
        <v>800</v>
      </c>
      <c r="K892" s="80">
        <v>800</v>
      </c>
      <c r="L892" s="80">
        <v>800</v>
      </c>
    </row>
    <row r="893" spans="1:13" ht="18.75" customHeight="1">
      <c r="A893" s="45"/>
      <c r="B893" s="37" t="s">
        <v>178</v>
      </c>
      <c r="C893" s="21"/>
      <c r="D893" s="88">
        <f t="shared" ref="D893:L893" si="793">D894</f>
        <v>324</v>
      </c>
      <c r="E893" s="88">
        <f t="shared" si="793"/>
        <v>324</v>
      </c>
      <c r="F893" s="88">
        <f t="shared" si="793"/>
        <v>0</v>
      </c>
      <c r="G893" s="88">
        <f t="shared" si="793"/>
        <v>0</v>
      </c>
      <c r="H893" s="88">
        <f t="shared" si="793"/>
        <v>0</v>
      </c>
      <c r="I893" s="139">
        <f t="shared" si="728"/>
        <v>324</v>
      </c>
      <c r="J893" s="88">
        <f t="shared" si="793"/>
        <v>0</v>
      </c>
      <c r="K893" s="88">
        <f t="shared" si="793"/>
        <v>0</v>
      </c>
      <c r="L893" s="88">
        <f t="shared" si="793"/>
        <v>0</v>
      </c>
    </row>
    <row r="894" spans="1:13" ht="18" customHeight="1">
      <c r="A894" s="45"/>
      <c r="B894" s="44" t="s">
        <v>207</v>
      </c>
      <c r="C894" s="21">
        <v>70</v>
      </c>
      <c r="D894" s="82">
        <v>324</v>
      </c>
      <c r="E894" s="82">
        <v>324</v>
      </c>
      <c r="F894" s="82"/>
      <c r="G894" s="82"/>
      <c r="H894" s="82"/>
      <c r="I894" s="139">
        <f t="shared" si="728"/>
        <v>324</v>
      </c>
      <c r="J894" s="80"/>
      <c r="K894" s="80"/>
      <c r="L894" s="80"/>
    </row>
    <row r="895" spans="1:13" ht="0.75" customHeight="1">
      <c r="A895" s="45" t="s">
        <v>296</v>
      </c>
      <c r="B895" s="42" t="s">
        <v>409</v>
      </c>
      <c r="C895" s="99" t="s">
        <v>408</v>
      </c>
      <c r="D895" s="88">
        <f t="shared" ref="D895:L896" si="794">D896</f>
        <v>0</v>
      </c>
      <c r="E895" s="88"/>
      <c r="F895" s="88"/>
      <c r="G895" s="88"/>
      <c r="H895" s="88"/>
      <c r="I895" s="139">
        <f t="shared" si="728"/>
        <v>0</v>
      </c>
      <c r="J895" s="88">
        <f t="shared" si="794"/>
        <v>0</v>
      </c>
      <c r="K895" s="88">
        <f t="shared" si="794"/>
        <v>0</v>
      </c>
      <c r="L895" s="88">
        <f t="shared" si="794"/>
        <v>0</v>
      </c>
      <c r="M895" s="2" t="s">
        <v>563</v>
      </c>
    </row>
    <row r="896" spans="1:13" ht="19.5" hidden="1" customHeight="1">
      <c r="A896" s="45"/>
      <c r="B896" s="37" t="s">
        <v>178</v>
      </c>
      <c r="C896" s="21"/>
      <c r="D896" s="88">
        <f t="shared" si="794"/>
        <v>0</v>
      </c>
      <c r="E896" s="88"/>
      <c r="F896" s="88"/>
      <c r="G896" s="88"/>
      <c r="H896" s="88"/>
      <c r="I896" s="139">
        <f t="shared" si="728"/>
        <v>0</v>
      </c>
      <c r="J896" s="88">
        <f t="shared" si="794"/>
        <v>0</v>
      </c>
      <c r="K896" s="88">
        <f t="shared" si="794"/>
        <v>0</v>
      </c>
      <c r="L896" s="88">
        <f t="shared" si="794"/>
        <v>0</v>
      </c>
    </row>
    <row r="897" spans="1:13" ht="18" hidden="1" customHeight="1">
      <c r="A897" s="45"/>
      <c r="B897" s="44" t="s">
        <v>187</v>
      </c>
      <c r="C897" s="21">
        <v>56</v>
      </c>
      <c r="D897" s="83">
        <f t="shared" ref="D897:L897" si="795">D898+D899+D900</f>
        <v>0</v>
      </c>
      <c r="E897" s="83"/>
      <c r="F897" s="83"/>
      <c r="G897" s="83"/>
      <c r="H897" s="83"/>
      <c r="I897" s="139">
        <f t="shared" si="728"/>
        <v>0</v>
      </c>
      <c r="J897" s="83">
        <f t="shared" si="795"/>
        <v>0</v>
      </c>
      <c r="K897" s="83">
        <f t="shared" si="795"/>
        <v>0</v>
      </c>
      <c r="L897" s="83">
        <f t="shared" si="795"/>
        <v>0</v>
      </c>
    </row>
    <row r="898" spans="1:13" ht="24" hidden="1" customHeight="1">
      <c r="A898" s="45"/>
      <c r="B898" s="32" t="s">
        <v>218</v>
      </c>
      <c r="C898" s="21" t="s">
        <v>219</v>
      </c>
      <c r="D898" s="82">
        <v>0</v>
      </c>
      <c r="E898" s="82"/>
      <c r="F898" s="82"/>
      <c r="G898" s="82"/>
      <c r="H898" s="82"/>
      <c r="I898" s="139">
        <f t="shared" si="728"/>
        <v>0</v>
      </c>
      <c r="J898" s="80"/>
      <c r="K898" s="80"/>
      <c r="L898" s="80"/>
    </row>
    <row r="899" spans="1:13" ht="24" hidden="1" customHeight="1">
      <c r="A899" s="45"/>
      <c r="B899" s="32" t="s">
        <v>220</v>
      </c>
      <c r="C899" s="21" t="s">
        <v>221</v>
      </c>
      <c r="D899" s="82">
        <v>0</v>
      </c>
      <c r="E899" s="82"/>
      <c r="F899" s="82"/>
      <c r="G899" s="82"/>
      <c r="H899" s="82"/>
      <c r="I899" s="139">
        <f t="shared" si="728"/>
        <v>0</v>
      </c>
      <c r="J899" s="80"/>
      <c r="K899" s="80"/>
      <c r="L899" s="80"/>
    </row>
    <row r="900" spans="1:13" ht="14.25" hidden="1" customHeight="1">
      <c r="A900" s="45"/>
      <c r="B900" s="32" t="s">
        <v>223</v>
      </c>
      <c r="C900" s="21" t="s">
        <v>222</v>
      </c>
      <c r="D900" s="82"/>
      <c r="E900" s="82"/>
      <c r="F900" s="82"/>
      <c r="G900" s="82"/>
      <c r="H900" s="82"/>
      <c r="I900" s="139">
        <f t="shared" si="728"/>
        <v>0</v>
      </c>
      <c r="J900" s="80"/>
      <c r="K900" s="80">
        <v>0</v>
      </c>
      <c r="L900" s="80">
        <v>0</v>
      </c>
    </row>
    <row r="901" spans="1:13" ht="0.75" hidden="1" customHeight="1">
      <c r="A901" s="45" t="s">
        <v>410</v>
      </c>
      <c r="B901" s="42" t="s">
        <v>411</v>
      </c>
      <c r="C901" s="99" t="s">
        <v>412</v>
      </c>
      <c r="D901" s="90">
        <f t="shared" ref="D901:L901" si="796">D903</f>
        <v>0</v>
      </c>
      <c r="E901" s="90"/>
      <c r="F901" s="90"/>
      <c r="G901" s="90"/>
      <c r="H901" s="90"/>
      <c r="I901" s="139">
        <f t="shared" si="728"/>
        <v>0</v>
      </c>
      <c r="J901" s="88">
        <f t="shared" si="796"/>
        <v>0</v>
      </c>
      <c r="K901" s="88">
        <f t="shared" si="796"/>
        <v>0</v>
      </c>
      <c r="L901" s="88">
        <f t="shared" si="796"/>
        <v>0</v>
      </c>
      <c r="M901" s="2" t="s">
        <v>564</v>
      </c>
    </row>
    <row r="902" spans="1:13" ht="19.5" hidden="1" customHeight="1">
      <c r="A902" s="45"/>
      <c r="B902" s="37" t="s">
        <v>178</v>
      </c>
      <c r="C902" s="21"/>
      <c r="D902" s="82">
        <f t="shared" ref="D902:L903" si="797">D903</f>
        <v>0</v>
      </c>
      <c r="E902" s="82"/>
      <c r="F902" s="82"/>
      <c r="G902" s="82"/>
      <c r="H902" s="82"/>
      <c r="I902" s="139">
        <f t="shared" si="728"/>
        <v>0</v>
      </c>
      <c r="J902" s="83">
        <f t="shared" si="797"/>
        <v>0</v>
      </c>
      <c r="K902" s="83">
        <f t="shared" si="797"/>
        <v>0</v>
      </c>
      <c r="L902" s="83">
        <f t="shared" si="797"/>
        <v>0</v>
      </c>
    </row>
    <row r="903" spans="1:13" ht="14.25" hidden="1" customHeight="1">
      <c r="A903" s="45"/>
      <c r="B903" s="44" t="s">
        <v>187</v>
      </c>
      <c r="C903" s="21">
        <v>56</v>
      </c>
      <c r="D903" s="82">
        <f t="shared" si="797"/>
        <v>0</v>
      </c>
      <c r="E903" s="82"/>
      <c r="F903" s="82"/>
      <c r="G903" s="82"/>
      <c r="H903" s="82"/>
      <c r="I903" s="139">
        <f t="shared" si="728"/>
        <v>0</v>
      </c>
      <c r="J903" s="83">
        <f t="shared" si="797"/>
        <v>0</v>
      </c>
      <c r="K903" s="83">
        <f t="shared" si="797"/>
        <v>0</v>
      </c>
      <c r="L903" s="83">
        <f t="shared" si="797"/>
        <v>0</v>
      </c>
    </row>
    <row r="904" spans="1:13" ht="24.75" hidden="1" customHeight="1">
      <c r="A904" s="45"/>
      <c r="B904" s="32" t="s">
        <v>223</v>
      </c>
      <c r="C904" s="21" t="s">
        <v>332</v>
      </c>
      <c r="D904" s="82"/>
      <c r="E904" s="82"/>
      <c r="F904" s="82"/>
      <c r="G904" s="82"/>
      <c r="H904" s="82"/>
      <c r="I904" s="139">
        <f t="shared" si="728"/>
        <v>0</v>
      </c>
      <c r="J904" s="82"/>
      <c r="K904" s="82"/>
      <c r="L904" s="82"/>
    </row>
    <row r="905" spans="1:13" ht="0.75" customHeight="1">
      <c r="A905" s="45" t="s">
        <v>413</v>
      </c>
      <c r="B905" s="42" t="s">
        <v>453</v>
      </c>
      <c r="C905" s="99" t="s">
        <v>412</v>
      </c>
      <c r="D905" s="90">
        <f t="shared" ref="D905" si="798">D906+D909</f>
        <v>0</v>
      </c>
      <c r="E905" s="90"/>
      <c r="F905" s="90"/>
      <c r="G905" s="90"/>
      <c r="H905" s="90"/>
      <c r="I905" s="139">
        <f t="shared" si="728"/>
        <v>0</v>
      </c>
      <c r="J905" s="90">
        <f>J906+J909</f>
        <v>0</v>
      </c>
      <c r="K905" s="90">
        <f>K906+K909</f>
        <v>0</v>
      </c>
      <c r="L905" s="90">
        <f>L906+L909</f>
        <v>0</v>
      </c>
    </row>
    <row r="906" spans="1:13" ht="24.75" hidden="1" customHeight="1">
      <c r="A906" s="45"/>
      <c r="B906" s="35" t="s">
        <v>166</v>
      </c>
      <c r="C906" s="99"/>
      <c r="D906" s="90">
        <f t="shared" ref="D906:D907" si="799">D907</f>
        <v>0</v>
      </c>
      <c r="E906" s="90"/>
      <c r="F906" s="90"/>
      <c r="G906" s="90"/>
      <c r="H906" s="90"/>
      <c r="I906" s="139">
        <f t="shared" si="728"/>
        <v>0</v>
      </c>
      <c r="J906" s="80"/>
      <c r="K906" s="80"/>
      <c r="L906" s="80"/>
    </row>
    <row r="907" spans="1:13" s="1" customFormat="1" ht="24.75" hidden="1" customHeight="1">
      <c r="A907" s="45"/>
      <c r="B907" s="44" t="s">
        <v>167</v>
      </c>
      <c r="C907" s="99">
        <v>1</v>
      </c>
      <c r="D907" s="82">
        <f t="shared" si="799"/>
        <v>0</v>
      </c>
      <c r="E907" s="82"/>
      <c r="F907" s="82"/>
      <c r="G907" s="82"/>
      <c r="H907" s="82"/>
      <c r="I907" s="139">
        <f t="shared" si="728"/>
        <v>0</v>
      </c>
      <c r="J907" s="94"/>
      <c r="K907" s="94"/>
      <c r="L907" s="94"/>
    </row>
    <row r="908" spans="1:13" s="1" customFormat="1" ht="24.75" hidden="1" customHeight="1">
      <c r="A908" s="45"/>
      <c r="B908" s="44" t="s">
        <v>169</v>
      </c>
      <c r="C908" s="99" t="s">
        <v>414</v>
      </c>
      <c r="D908" s="82">
        <v>0</v>
      </c>
      <c r="E908" s="82"/>
      <c r="F908" s="82"/>
      <c r="G908" s="82"/>
      <c r="H908" s="82"/>
      <c r="I908" s="139">
        <f t="shared" si="728"/>
        <v>0</v>
      </c>
      <c r="J908" s="94"/>
      <c r="K908" s="94"/>
      <c r="L908" s="94"/>
    </row>
    <row r="909" spans="1:13" s="1" customFormat="1" ht="24.75" hidden="1" customHeight="1">
      <c r="A909" s="45"/>
      <c r="B909" s="37" t="s">
        <v>178</v>
      </c>
      <c r="C909" s="99"/>
      <c r="D909" s="82">
        <f>D910</f>
        <v>0</v>
      </c>
      <c r="E909" s="82"/>
      <c r="F909" s="82"/>
      <c r="G909" s="82"/>
      <c r="H909" s="82"/>
      <c r="I909" s="139">
        <f t="shared" si="728"/>
        <v>0</v>
      </c>
      <c r="J909" s="82">
        <f t="shared" ref="J909:L909" si="800">J910</f>
        <v>0</v>
      </c>
      <c r="K909" s="82">
        <f t="shared" si="800"/>
        <v>0</v>
      </c>
      <c r="L909" s="82">
        <f t="shared" si="800"/>
        <v>0</v>
      </c>
    </row>
    <row r="910" spans="1:13" s="1" customFormat="1" ht="24.75" hidden="1" customHeight="1">
      <c r="A910" s="45"/>
      <c r="B910" s="44" t="s">
        <v>454</v>
      </c>
      <c r="C910" s="99" t="s">
        <v>455</v>
      </c>
      <c r="D910" s="82"/>
      <c r="E910" s="82"/>
      <c r="F910" s="82"/>
      <c r="G910" s="82"/>
      <c r="H910" s="82"/>
      <c r="I910" s="139">
        <f t="shared" si="728"/>
        <v>0</v>
      </c>
      <c r="J910" s="94"/>
      <c r="K910" s="94"/>
      <c r="L910" s="94"/>
    </row>
    <row r="911" spans="1:13" ht="24.75" customHeight="1">
      <c r="A911" s="52">
        <v>2</v>
      </c>
      <c r="B911" s="56" t="s">
        <v>415</v>
      </c>
      <c r="C911" s="105">
        <v>74.02</v>
      </c>
      <c r="D911" s="88">
        <f>D917+D921+D927</f>
        <v>387</v>
      </c>
      <c r="E911" s="88">
        <f t="shared" ref="E911:L911" si="801">E917+E921+E927</f>
        <v>0</v>
      </c>
      <c r="F911" s="88">
        <f t="shared" si="801"/>
        <v>387</v>
      </c>
      <c r="G911" s="88">
        <f t="shared" si="801"/>
        <v>0</v>
      </c>
      <c r="H911" s="88">
        <f t="shared" si="801"/>
        <v>0</v>
      </c>
      <c r="I911" s="88">
        <f t="shared" si="801"/>
        <v>0</v>
      </c>
      <c r="J911" s="88">
        <f t="shared" si="801"/>
        <v>100</v>
      </c>
      <c r="K911" s="88">
        <f t="shared" si="801"/>
        <v>100</v>
      </c>
      <c r="L911" s="88">
        <f t="shared" si="801"/>
        <v>100</v>
      </c>
    </row>
    <row r="912" spans="1:13" ht="20.25" customHeight="1">
      <c r="A912" s="45"/>
      <c r="B912" s="35" t="s">
        <v>166</v>
      </c>
      <c r="C912" s="99"/>
      <c r="D912" s="88">
        <f>D928</f>
        <v>387</v>
      </c>
      <c r="E912" s="88">
        <f t="shared" ref="E912:L912" si="802">E928</f>
        <v>0</v>
      </c>
      <c r="F912" s="88">
        <f t="shared" si="802"/>
        <v>387</v>
      </c>
      <c r="G912" s="88">
        <f t="shared" si="802"/>
        <v>0</v>
      </c>
      <c r="H912" s="88">
        <f t="shared" si="802"/>
        <v>0</v>
      </c>
      <c r="I912" s="88">
        <f t="shared" si="802"/>
        <v>0</v>
      </c>
      <c r="J912" s="88">
        <f t="shared" si="802"/>
        <v>100</v>
      </c>
      <c r="K912" s="88">
        <f t="shared" si="802"/>
        <v>100</v>
      </c>
      <c r="L912" s="88">
        <f t="shared" si="802"/>
        <v>100</v>
      </c>
    </row>
    <row r="913" spans="1:12" ht="24.75" customHeight="1">
      <c r="A913" s="45"/>
      <c r="B913" s="44" t="s">
        <v>167</v>
      </c>
      <c r="C913" s="99">
        <v>1</v>
      </c>
      <c r="D913" s="88">
        <f>D929</f>
        <v>387</v>
      </c>
      <c r="E913" s="88">
        <f t="shared" ref="E913:L913" si="803">E929</f>
        <v>0</v>
      </c>
      <c r="F913" s="88">
        <f t="shared" si="803"/>
        <v>387</v>
      </c>
      <c r="G913" s="88">
        <f t="shared" si="803"/>
        <v>0</v>
      </c>
      <c r="H913" s="88">
        <f t="shared" si="803"/>
        <v>0</v>
      </c>
      <c r="I913" s="88">
        <f t="shared" si="803"/>
        <v>0</v>
      </c>
      <c r="J913" s="88">
        <f t="shared" si="803"/>
        <v>100</v>
      </c>
      <c r="K913" s="88">
        <f t="shared" si="803"/>
        <v>100</v>
      </c>
      <c r="L913" s="88">
        <f t="shared" si="803"/>
        <v>100</v>
      </c>
    </row>
    <row r="914" spans="1:12" ht="24.75" customHeight="1">
      <c r="A914" s="45"/>
      <c r="B914" s="44" t="s">
        <v>416</v>
      </c>
      <c r="C914" s="99">
        <v>20</v>
      </c>
      <c r="D914" s="88">
        <f>D930</f>
        <v>387</v>
      </c>
      <c r="E914" s="88">
        <f t="shared" ref="E914:L914" si="804">E930</f>
        <v>0</v>
      </c>
      <c r="F914" s="88">
        <f t="shared" si="804"/>
        <v>387</v>
      </c>
      <c r="G914" s="88">
        <f t="shared" si="804"/>
        <v>0</v>
      </c>
      <c r="H914" s="88">
        <f t="shared" si="804"/>
        <v>0</v>
      </c>
      <c r="I914" s="88">
        <f t="shared" si="804"/>
        <v>0</v>
      </c>
      <c r="J914" s="88">
        <f t="shared" si="804"/>
        <v>100</v>
      </c>
      <c r="K914" s="88">
        <f t="shared" si="804"/>
        <v>100</v>
      </c>
      <c r="L914" s="88">
        <f t="shared" si="804"/>
        <v>100</v>
      </c>
    </row>
    <row r="915" spans="1:12" ht="24.75" hidden="1" customHeight="1">
      <c r="A915" s="45"/>
      <c r="B915" s="37" t="s">
        <v>178</v>
      </c>
      <c r="C915" s="99"/>
      <c r="D915" s="88">
        <f t="shared" ref="D915:L916" si="805">D918+D922</f>
        <v>0</v>
      </c>
      <c r="E915" s="88"/>
      <c r="F915" s="88"/>
      <c r="G915" s="88"/>
      <c r="H915" s="88"/>
      <c r="I915" s="139">
        <f t="shared" si="728"/>
        <v>0</v>
      </c>
      <c r="J915" s="88">
        <f t="shared" si="805"/>
        <v>0</v>
      </c>
      <c r="K915" s="88">
        <f t="shared" si="805"/>
        <v>0</v>
      </c>
      <c r="L915" s="88">
        <f t="shared" si="805"/>
        <v>0</v>
      </c>
    </row>
    <row r="916" spans="1:12" ht="24.75" hidden="1" customHeight="1">
      <c r="A916" s="45"/>
      <c r="B916" s="44" t="s">
        <v>417</v>
      </c>
      <c r="C916" s="99">
        <v>56</v>
      </c>
      <c r="D916" s="83">
        <f>D919+D923</f>
        <v>0</v>
      </c>
      <c r="E916" s="83"/>
      <c r="F916" s="83"/>
      <c r="G916" s="83"/>
      <c r="H916" s="83"/>
      <c r="I916" s="139">
        <f t="shared" si="728"/>
        <v>0</v>
      </c>
      <c r="J916" s="83">
        <f t="shared" si="805"/>
        <v>0</v>
      </c>
      <c r="K916" s="83">
        <f t="shared" si="805"/>
        <v>0</v>
      </c>
      <c r="L916" s="83">
        <f t="shared" si="805"/>
        <v>0</v>
      </c>
    </row>
    <row r="917" spans="1:12" ht="18.75" hidden="1" customHeight="1">
      <c r="A917" s="45" t="s">
        <v>306</v>
      </c>
      <c r="B917" s="37" t="s">
        <v>418</v>
      </c>
      <c r="C917" s="99" t="s">
        <v>419</v>
      </c>
      <c r="D917" s="88">
        <f t="shared" ref="D917:L919" si="806">D918</f>
        <v>0</v>
      </c>
      <c r="E917" s="88"/>
      <c r="F917" s="88"/>
      <c r="G917" s="88"/>
      <c r="H917" s="88"/>
      <c r="I917" s="139">
        <f t="shared" si="728"/>
        <v>0</v>
      </c>
      <c r="J917" s="88">
        <f t="shared" si="806"/>
        <v>0</v>
      </c>
      <c r="K917" s="88">
        <f t="shared" si="806"/>
        <v>0</v>
      </c>
      <c r="L917" s="88">
        <f t="shared" si="806"/>
        <v>0</v>
      </c>
    </row>
    <row r="918" spans="1:12" ht="24.75" hidden="1" customHeight="1">
      <c r="A918" s="45"/>
      <c r="B918" s="37" t="s">
        <v>178</v>
      </c>
      <c r="C918" s="99"/>
      <c r="D918" s="88">
        <f t="shared" si="806"/>
        <v>0</v>
      </c>
      <c r="E918" s="88"/>
      <c r="F918" s="88"/>
      <c r="G918" s="88"/>
      <c r="H918" s="88"/>
      <c r="I918" s="139">
        <f t="shared" si="728"/>
        <v>0</v>
      </c>
      <c r="J918" s="88">
        <f t="shared" si="806"/>
        <v>0</v>
      </c>
      <c r="K918" s="88">
        <f t="shared" si="806"/>
        <v>0</v>
      </c>
      <c r="L918" s="88">
        <f t="shared" si="806"/>
        <v>0</v>
      </c>
    </row>
    <row r="919" spans="1:12" ht="24.75" hidden="1" customHeight="1">
      <c r="A919" s="45"/>
      <c r="B919" s="44" t="s">
        <v>417</v>
      </c>
      <c r="C919" s="21">
        <v>56.01</v>
      </c>
      <c r="D919" s="83">
        <f t="shared" si="806"/>
        <v>0</v>
      </c>
      <c r="E919" s="83"/>
      <c r="F919" s="83"/>
      <c r="G919" s="83"/>
      <c r="H919" s="83"/>
      <c r="I919" s="139">
        <f t="shared" si="728"/>
        <v>0</v>
      </c>
      <c r="J919" s="83">
        <f t="shared" si="806"/>
        <v>0</v>
      </c>
      <c r="K919" s="83">
        <f t="shared" si="806"/>
        <v>0</v>
      </c>
      <c r="L919" s="83">
        <f t="shared" si="806"/>
        <v>0</v>
      </c>
    </row>
    <row r="920" spans="1:12" ht="24.75" hidden="1" customHeight="1">
      <c r="A920" s="45"/>
      <c r="B920" s="44" t="s">
        <v>223</v>
      </c>
      <c r="C920" s="21" t="s">
        <v>222</v>
      </c>
      <c r="D920" s="82"/>
      <c r="E920" s="82"/>
      <c r="F920" s="82"/>
      <c r="G920" s="82"/>
      <c r="H920" s="82"/>
      <c r="I920" s="139">
        <f t="shared" ref="I920:I987" si="807">E920+F920+G920+H920</f>
        <v>0</v>
      </c>
      <c r="J920" s="80">
        <v>0</v>
      </c>
      <c r="K920" s="80">
        <v>0</v>
      </c>
      <c r="L920" s="80">
        <v>0</v>
      </c>
    </row>
    <row r="921" spans="1:12" ht="24.75" hidden="1" customHeight="1">
      <c r="A921" s="45" t="s">
        <v>313</v>
      </c>
      <c r="B921" s="42" t="s">
        <v>420</v>
      </c>
      <c r="C921" s="99" t="s">
        <v>419</v>
      </c>
      <c r="D921" s="88">
        <f t="shared" ref="D921:L922" si="808">D922</f>
        <v>0</v>
      </c>
      <c r="E921" s="88"/>
      <c r="F921" s="88"/>
      <c r="G921" s="88"/>
      <c r="H921" s="88"/>
      <c r="I921" s="139">
        <f t="shared" si="807"/>
        <v>0</v>
      </c>
      <c r="J921" s="88">
        <f t="shared" si="808"/>
        <v>0</v>
      </c>
      <c r="K921" s="88">
        <f t="shared" si="808"/>
        <v>0</v>
      </c>
      <c r="L921" s="88">
        <f t="shared" si="808"/>
        <v>0</v>
      </c>
    </row>
    <row r="922" spans="1:12" ht="24.75" hidden="1" customHeight="1">
      <c r="A922" s="45"/>
      <c r="B922" s="37" t="s">
        <v>178</v>
      </c>
      <c r="C922" s="21">
        <v>0</v>
      </c>
      <c r="D922" s="83">
        <f t="shared" si="808"/>
        <v>0</v>
      </c>
      <c r="E922" s="83"/>
      <c r="F922" s="83"/>
      <c r="G922" s="83"/>
      <c r="H922" s="83"/>
      <c r="I922" s="139">
        <f t="shared" si="807"/>
        <v>0</v>
      </c>
      <c r="J922" s="83">
        <f t="shared" si="808"/>
        <v>0</v>
      </c>
      <c r="K922" s="83">
        <f t="shared" si="808"/>
        <v>0</v>
      </c>
      <c r="L922" s="83">
        <f t="shared" si="808"/>
        <v>0</v>
      </c>
    </row>
    <row r="923" spans="1:12" ht="24.75" hidden="1" customHeight="1">
      <c r="A923" s="45"/>
      <c r="B923" s="44" t="s">
        <v>417</v>
      </c>
      <c r="C923" s="21">
        <v>56.01</v>
      </c>
      <c r="D923" s="83">
        <f t="shared" ref="D923:L923" si="809">D924+D925+D926</f>
        <v>0</v>
      </c>
      <c r="E923" s="83"/>
      <c r="F923" s="83"/>
      <c r="G923" s="83"/>
      <c r="H923" s="83"/>
      <c r="I923" s="139">
        <f t="shared" si="807"/>
        <v>0</v>
      </c>
      <c r="J923" s="83">
        <f t="shared" si="809"/>
        <v>0</v>
      </c>
      <c r="K923" s="83">
        <f t="shared" si="809"/>
        <v>0</v>
      </c>
      <c r="L923" s="83">
        <f t="shared" si="809"/>
        <v>0</v>
      </c>
    </row>
    <row r="924" spans="1:12" ht="24.75" hidden="1" customHeight="1">
      <c r="A924" s="45"/>
      <c r="B924" s="44" t="s">
        <v>338</v>
      </c>
      <c r="C924" s="21" t="s">
        <v>219</v>
      </c>
      <c r="D924" s="82">
        <v>0</v>
      </c>
      <c r="E924" s="82"/>
      <c r="F924" s="82"/>
      <c r="G924" s="82"/>
      <c r="H924" s="82"/>
      <c r="I924" s="139">
        <f t="shared" si="807"/>
        <v>0</v>
      </c>
      <c r="J924" s="80"/>
      <c r="K924" s="80"/>
      <c r="L924" s="80"/>
    </row>
    <row r="925" spans="1:12" ht="24.75" hidden="1" customHeight="1">
      <c r="A925" s="45"/>
      <c r="B925" s="44" t="s">
        <v>421</v>
      </c>
      <c r="C925" s="21" t="s">
        <v>221</v>
      </c>
      <c r="D925" s="82">
        <v>0</v>
      </c>
      <c r="E925" s="82"/>
      <c r="F925" s="82"/>
      <c r="G925" s="82"/>
      <c r="H925" s="82"/>
      <c r="I925" s="139">
        <f t="shared" si="807"/>
        <v>0</v>
      </c>
      <c r="J925" s="80"/>
      <c r="K925" s="80"/>
      <c r="L925" s="80"/>
    </row>
    <row r="926" spans="1:12" ht="24.75" hidden="1" customHeight="1">
      <c r="A926" s="45"/>
      <c r="B926" s="44" t="s">
        <v>422</v>
      </c>
      <c r="C926" s="21" t="s">
        <v>222</v>
      </c>
      <c r="D926" s="146">
        <v>0</v>
      </c>
      <c r="E926" s="146"/>
      <c r="F926" s="146"/>
      <c r="G926" s="146"/>
      <c r="H926" s="146"/>
      <c r="I926" s="139">
        <f t="shared" si="807"/>
        <v>0</v>
      </c>
      <c r="J926" s="80"/>
      <c r="K926" s="80"/>
      <c r="L926" s="80"/>
    </row>
    <row r="927" spans="1:12" ht="24.75" customHeight="1">
      <c r="A927" s="45"/>
      <c r="B927" s="42" t="s">
        <v>804</v>
      </c>
      <c r="C927" s="21"/>
      <c r="D927" s="82">
        <f>D928</f>
        <v>387</v>
      </c>
      <c r="E927" s="82">
        <f t="shared" ref="E927:L929" si="810">E928</f>
        <v>0</v>
      </c>
      <c r="F927" s="82">
        <f t="shared" si="810"/>
        <v>387</v>
      </c>
      <c r="G927" s="82">
        <f t="shared" si="810"/>
        <v>0</v>
      </c>
      <c r="H927" s="82">
        <f t="shared" si="810"/>
        <v>0</v>
      </c>
      <c r="I927" s="82">
        <f t="shared" si="810"/>
        <v>0</v>
      </c>
      <c r="J927" s="82">
        <f t="shared" si="810"/>
        <v>100</v>
      </c>
      <c r="K927" s="82">
        <f t="shared" si="810"/>
        <v>100</v>
      </c>
      <c r="L927" s="82">
        <f t="shared" si="810"/>
        <v>100</v>
      </c>
    </row>
    <row r="928" spans="1:12" ht="18.75" customHeight="1">
      <c r="A928" s="45"/>
      <c r="B928" s="35" t="s">
        <v>166</v>
      </c>
      <c r="C928" s="21"/>
      <c r="D928" s="82">
        <f>D929</f>
        <v>387</v>
      </c>
      <c r="E928" s="82">
        <f t="shared" si="810"/>
        <v>0</v>
      </c>
      <c r="F928" s="82">
        <f t="shared" si="810"/>
        <v>387</v>
      </c>
      <c r="G928" s="82">
        <f t="shared" si="810"/>
        <v>0</v>
      </c>
      <c r="H928" s="82">
        <f t="shared" si="810"/>
        <v>0</v>
      </c>
      <c r="I928" s="82">
        <f t="shared" si="810"/>
        <v>0</v>
      </c>
      <c r="J928" s="82">
        <f t="shared" si="810"/>
        <v>100</v>
      </c>
      <c r="K928" s="82">
        <f t="shared" si="810"/>
        <v>100</v>
      </c>
      <c r="L928" s="82">
        <f t="shared" si="810"/>
        <v>100</v>
      </c>
    </row>
    <row r="929" spans="1:12" ht="17.25" customHeight="1">
      <c r="A929" s="45"/>
      <c r="B929" s="44" t="s">
        <v>167</v>
      </c>
      <c r="C929" s="21"/>
      <c r="D929" s="82">
        <f>D930</f>
        <v>387</v>
      </c>
      <c r="E929" s="82">
        <f t="shared" si="810"/>
        <v>0</v>
      </c>
      <c r="F929" s="82">
        <f t="shared" si="810"/>
        <v>387</v>
      </c>
      <c r="G929" s="82">
        <f t="shared" si="810"/>
        <v>0</v>
      </c>
      <c r="H929" s="82">
        <f t="shared" si="810"/>
        <v>0</v>
      </c>
      <c r="I929" s="82">
        <f t="shared" si="810"/>
        <v>0</v>
      </c>
      <c r="J929" s="82">
        <f t="shared" si="810"/>
        <v>100</v>
      </c>
      <c r="K929" s="82">
        <f t="shared" si="810"/>
        <v>100</v>
      </c>
      <c r="L929" s="82">
        <f t="shared" si="810"/>
        <v>100</v>
      </c>
    </row>
    <row r="930" spans="1:12" ht="14.25" customHeight="1">
      <c r="A930" s="45"/>
      <c r="B930" s="44" t="s">
        <v>169</v>
      </c>
      <c r="C930" s="21"/>
      <c r="D930" s="82">
        <v>387</v>
      </c>
      <c r="E930" s="82">
        <v>0</v>
      </c>
      <c r="F930" s="82">
        <v>387</v>
      </c>
      <c r="G930" s="82"/>
      <c r="H930" s="82"/>
      <c r="I930" s="139"/>
      <c r="J930" s="80">
        <v>100</v>
      </c>
      <c r="K930" s="80">
        <v>100</v>
      </c>
      <c r="L930" s="80">
        <v>100</v>
      </c>
    </row>
    <row r="931" spans="1:12" ht="24.75" customHeight="1">
      <c r="A931" s="52" t="s">
        <v>423</v>
      </c>
      <c r="B931" s="54" t="s">
        <v>521</v>
      </c>
      <c r="C931" s="105">
        <v>79.02</v>
      </c>
      <c r="D931" s="91">
        <f>D945+D963+D976+D1017</f>
        <v>65806</v>
      </c>
      <c r="E931" s="91">
        <f t="shared" ref="E931:F931" si="811">E945+E963+E976+E1017</f>
        <v>38881</v>
      </c>
      <c r="F931" s="91">
        <f t="shared" si="811"/>
        <v>8775</v>
      </c>
      <c r="G931" s="91">
        <f t="shared" ref="G931:H931" si="812">G945+G963+G976+G1017</f>
        <v>11075</v>
      </c>
      <c r="H931" s="91">
        <f t="shared" si="812"/>
        <v>7075</v>
      </c>
      <c r="I931" s="139">
        <f t="shared" si="807"/>
        <v>65806</v>
      </c>
      <c r="J931" s="91">
        <f>J945+J963+J976+J1017</f>
        <v>109475</v>
      </c>
      <c r="K931" s="91">
        <f>K945+K963+K976+K1017</f>
        <v>57868</v>
      </c>
      <c r="L931" s="91">
        <f>L945+L963+L976+L1017</f>
        <v>31927</v>
      </c>
    </row>
    <row r="932" spans="1:12" ht="24" customHeight="1">
      <c r="A932" s="45"/>
      <c r="B932" s="35" t="s">
        <v>166</v>
      </c>
      <c r="C932" s="99"/>
      <c r="D932" s="91">
        <f t="shared" ref="D932:L933" si="813">D946+D969+D977+D965</f>
        <v>22730</v>
      </c>
      <c r="E932" s="91">
        <f t="shared" ref="E932:F932" si="814">E946+E969+E977+E965</f>
        <v>5805</v>
      </c>
      <c r="F932" s="91">
        <f t="shared" si="814"/>
        <v>6775</v>
      </c>
      <c r="G932" s="91">
        <f t="shared" ref="G932:H932" si="815">G946+G969+G977+G965</f>
        <v>7075</v>
      </c>
      <c r="H932" s="91">
        <f t="shared" si="815"/>
        <v>3075</v>
      </c>
      <c r="I932" s="139">
        <f t="shared" si="807"/>
        <v>22730</v>
      </c>
      <c r="J932" s="91">
        <f t="shared" si="813"/>
        <v>6271</v>
      </c>
      <c r="K932" s="91">
        <f t="shared" si="813"/>
        <v>6271</v>
      </c>
      <c r="L932" s="91">
        <f t="shared" si="813"/>
        <v>6271</v>
      </c>
    </row>
    <row r="933" spans="1:12" ht="15">
      <c r="A933" s="45"/>
      <c r="B933" s="44" t="s">
        <v>167</v>
      </c>
      <c r="C933" s="21">
        <v>1</v>
      </c>
      <c r="D933" s="83">
        <f t="shared" si="813"/>
        <v>22730</v>
      </c>
      <c r="E933" s="83">
        <f t="shared" ref="E933:F933" si="816">E947+E970+E978+E966</f>
        <v>5805</v>
      </c>
      <c r="F933" s="83">
        <f t="shared" si="816"/>
        <v>6775</v>
      </c>
      <c r="G933" s="83">
        <f t="shared" ref="G933:H933" si="817">G947+G970+G978+G966</f>
        <v>7075</v>
      </c>
      <c r="H933" s="83">
        <f t="shared" si="817"/>
        <v>3075</v>
      </c>
      <c r="I933" s="139">
        <f t="shared" si="807"/>
        <v>22730</v>
      </c>
      <c r="J933" s="83">
        <f t="shared" si="813"/>
        <v>6271</v>
      </c>
      <c r="K933" s="83">
        <f t="shared" si="813"/>
        <v>6271</v>
      </c>
      <c r="L933" s="83">
        <f t="shared" si="813"/>
        <v>6271</v>
      </c>
    </row>
    <row r="934" spans="1:12" ht="15" hidden="1">
      <c r="A934" s="45"/>
      <c r="B934" s="44" t="s">
        <v>168</v>
      </c>
      <c r="C934" s="21">
        <v>10</v>
      </c>
      <c r="D934" s="83">
        <f t="shared" ref="D934:L934" si="818">D979</f>
        <v>0</v>
      </c>
      <c r="E934" s="83">
        <f t="shared" ref="E934:F934" si="819">E979</f>
        <v>0</v>
      </c>
      <c r="F934" s="83">
        <f t="shared" si="819"/>
        <v>0</v>
      </c>
      <c r="G934" s="83">
        <f t="shared" ref="G934:H934" si="820">G979</f>
        <v>0</v>
      </c>
      <c r="H934" s="83">
        <f t="shared" si="820"/>
        <v>0</v>
      </c>
      <c r="I934" s="139">
        <f t="shared" si="807"/>
        <v>0</v>
      </c>
      <c r="J934" s="83">
        <f t="shared" si="818"/>
        <v>0</v>
      </c>
      <c r="K934" s="83">
        <f t="shared" si="818"/>
        <v>0</v>
      </c>
      <c r="L934" s="83">
        <f t="shared" si="818"/>
        <v>0</v>
      </c>
    </row>
    <row r="935" spans="1:12" ht="15">
      <c r="A935" s="45"/>
      <c r="B935" s="44" t="s">
        <v>169</v>
      </c>
      <c r="C935" s="21">
        <v>20</v>
      </c>
      <c r="D935" s="83">
        <f t="shared" ref="D935:L935" si="821">D948+D980+D967</f>
        <v>22730</v>
      </c>
      <c r="E935" s="83">
        <f t="shared" si="821"/>
        <v>5805</v>
      </c>
      <c r="F935" s="83">
        <f t="shared" si="821"/>
        <v>6775</v>
      </c>
      <c r="G935" s="83">
        <f t="shared" ref="G935:H935" si="822">G948+G980+G967</f>
        <v>7075</v>
      </c>
      <c r="H935" s="83">
        <f t="shared" si="822"/>
        <v>3075</v>
      </c>
      <c r="I935" s="139">
        <f t="shared" si="807"/>
        <v>22730</v>
      </c>
      <c r="J935" s="83">
        <f t="shared" si="821"/>
        <v>6271</v>
      </c>
      <c r="K935" s="83">
        <f t="shared" si="821"/>
        <v>6271</v>
      </c>
      <c r="L935" s="83">
        <f t="shared" si="821"/>
        <v>6271</v>
      </c>
    </row>
    <row r="936" spans="1:12" ht="15" hidden="1">
      <c r="A936" s="45"/>
      <c r="B936" s="44" t="s">
        <v>424</v>
      </c>
      <c r="C936" s="21">
        <v>51</v>
      </c>
      <c r="D936" s="83">
        <f t="shared" ref="D936:L936" si="823">D971</f>
        <v>0</v>
      </c>
      <c r="E936" s="83">
        <f t="shared" ref="E936:F936" si="824">E971</f>
        <v>0</v>
      </c>
      <c r="F936" s="83">
        <f t="shared" si="824"/>
        <v>0</v>
      </c>
      <c r="G936" s="83">
        <f t="shared" ref="G936:H936" si="825">G971</f>
        <v>0</v>
      </c>
      <c r="H936" s="83">
        <f t="shared" si="825"/>
        <v>0</v>
      </c>
      <c r="I936" s="139">
        <f t="shared" si="807"/>
        <v>0</v>
      </c>
      <c r="J936" s="83">
        <f t="shared" si="823"/>
        <v>0</v>
      </c>
      <c r="K936" s="83">
        <f t="shared" si="823"/>
        <v>0</v>
      </c>
      <c r="L936" s="83">
        <f t="shared" si="823"/>
        <v>0</v>
      </c>
    </row>
    <row r="937" spans="1:12" ht="13.5" hidden="1" customHeight="1">
      <c r="A937" s="45"/>
      <c r="B937" s="44" t="s">
        <v>361</v>
      </c>
      <c r="C937" s="21">
        <v>59.02</v>
      </c>
      <c r="D937" s="83">
        <f t="shared" ref="D937:L937" si="826">D949+D991</f>
        <v>0</v>
      </c>
      <c r="E937" s="83">
        <f t="shared" ref="E937:F937" si="827">E949+E991</f>
        <v>0</v>
      </c>
      <c r="F937" s="83">
        <f t="shared" si="827"/>
        <v>0</v>
      </c>
      <c r="G937" s="83">
        <f t="shared" ref="G937:H937" si="828">G949+G991</f>
        <v>0</v>
      </c>
      <c r="H937" s="83">
        <f t="shared" si="828"/>
        <v>0</v>
      </c>
      <c r="I937" s="139">
        <f t="shared" si="807"/>
        <v>0</v>
      </c>
      <c r="J937" s="83">
        <f t="shared" si="826"/>
        <v>0</v>
      </c>
      <c r="K937" s="83">
        <f t="shared" si="826"/>
        <v>0</v>
      </c>
      <c r="L937" s="83">
        <f t="shared" si="826"/>
        <v>0</v>
      </c>
    </row>
    <row r="938" spans="1:12" ht="14.25">
      <c r="A938" s="45"/>
      <c r="B938" s="37" t="s">
        <v>178</v>
      </c>
      <c r="C938" s="21"/>
      <c r="D938" s="83">
        <f>D950+D981+D1019</f>
        <v>43076</v>
      </c>
      <c r="E938" s="83">
        <f t="shared" ref="E938:F938" si="829">E950+E981+E1019</f>
        <v>33076</v>
      </c>
      <c r="F938" s="83">
        <f t="shared" si="829"/>
        <v>2000</v>
      </c>
      <c r="G938" s="83">
        <f t="shared" ref="G938:H938" si="830">G950+G981+G1019</f>
        <v>4000</v>
      </c>
      <c r="H938" s="83">
        <f t="shared" si="830"/>
        <v>4000</v>
      </c>
      <c r="I938" s="139">
        <f t="shared" si="807"/>
        <v>43076</v>
      </c>
      <c r="J938" s="83">
        <f>J950+J981+J1019</f>
        <v>103204</v>
      </c>
      <c r="K938" s="83">
        <f>K950+K981+K1019</f>
        <v>51597</v>
      </c>
      <c r="L938" s="83">
        <f>L950+L981+L1019</f>
        <v>25656</v>
      </c>
    </row>
    <row r="939" spans="1:12" ht="15">
      <c r="A939" s="45"/>
      <c r="B939" s="44" t="s">
        <v>425</v>
      </c>
      <c r="C939" s="21">
        <v>55</v>
      </c>
      <c r="D939" s="83">
        <f>D951+D1020</f>
        <v>16864</v>
      </c>
      <c r="E939" s="83">
        <f t="shared" ref="E939:F939" si="831">E951+E1020</f>
        <v>16864</v>
      </c>
      <c r="F939" s="83">
        <f t="shared" si="831"/>
        <v>0</v>
      </c>
      <c r="G939" s="83">
        <f t="shared" ref="G939:H939" si="832">G951+G1020</f>
        <v>0</v>
      </c>
      <c r="H939" s="83">
        <f t="shared" si="832"/>
        <v>0</v>
      </c>
      <c r="I939" s="139">
        <f t="shared" si="807"/>
        <v>16864</v>
      </c>
      <c r="J939" s="83">
        <f>J951+J1020</f>
        <v>957</v>
      </c>
      <c r="K939" s="83">
        <f>K951+K1020</f>
        <v>957</v>
      </c>
      <c r="L939" s="83">
        <f>L951+L1020</f>
        <v>957</v>
      </c>
    </row>
    <row r="940" spans="1:12" ht="29.25" customHeight="1">
      <c r="A940" s="45"/>
      <c r="B940" s="70" t="s">
        <v>426</v>
      </c>
      <c r="C940" s="113" t="s">
        <v>427</v>
      </c>
      <c r="D940" s="83">
        <f>D1020</f>
        <v>15907</v>
      </c>
      <c r="E940" s="83">
        <f t="shared" ref="E940:F940" si="833">E1020</f>
        <v>15907</v>
      </c>
      <c r="F940" s="83">
        <f t="shared" si="833"/>
        <v>0</v>
      </c>
      <c r="G940" s="83">
        <f t="shared" ref="G940:H940" si="834">G1020</f>
        <v>0</v>
      </c>
      <c r="H940" s="83">
        <f t="shared" si="834"/>
        <v>0</v>
      </c>
      <c r="I940" s="139">
        <f t="shared" si="807"/>
        <v>15907</v>
      </c>
      <c r="J940" s="83">
        <f>J1020</f>
        <v>0</v>
      </c>
      <c r="K940" s="83">
        <f>K1020</f>
        <v>0</v>
      </c>
      <c r="L940" s="83">
        <f>L1020</f>
        <v>0</v>
      </c>
    </row>
    <row r="941" spans="1:12" ht="15.75" hidden="1" customHeight="1">
      <c r="A941" s="45"/>
      <c r="B941" s="37" t="s">
        <v>187</v>
      </c>
      <c r="C941" s="21">
        <v>56</v>
      </c>
      <c r="D941" s="83">
        <f>D982+D1021</f>
        <v>0</v>
      </c>
      <c r="E941" s="83">
        <f t="shared" ref="E941:F941" si="835">E982+E1021</f>
        <v>0</v>
      </c>
      <c r="F941" s="83">
        <f t="shared" si="835"/>
        <v>0</v>
      </c>
      <c r="G941" s="83">
        <f t="shared" ref="G941:H941" si="836">G982+G1021</f>
        <v>0</v>
      </c>
      <c r="H941" s="83">
        <f t="shared" si="836"/>
        <v>0</v>
      </c>
      <c r="I941" s="139">
        <f t="shared" si="807"/>
        <v>0</v>
      </c>
      <c r="J941" s="83">
        <f>J982+J1021</f>
        <v>0</v>
      </c>
      <c r="K941" s="83">
        <f>K982+K1021</f>
        <v>0</v>
      </c>
      <c r="L941" s="83">
        <f>L982+L1021</f>
        <v>0</v>
      </c>
    </row>
    <row r="942" spans="1:12" ht="15.75" customHeight="1">
      <c r="A942" s="45"/>
      <c r="B942" s="37" t="s">
        <v>187</v>
      </c>
      <c r="C942" s="21">
        <v>58</v>
      </c>
      <c r="D942" s="83">
        <f>D1004+D1010</f>
        <v>4500</v>
      </c>
      <c r="E942" s="83">
        <f>E1004+E1010</f>
        <v>4500</v>
      </c>
      <c r="F942" s="83">
        <f t="shared" ref="F942:L942" si="837">F1004+F1010</f>
        <v>0</v>
      </c>
      <c r="G942" s="83">
        <f t="shared" si="837"/>
        <v>0</v>
      </c>
      <c r="H942" s="83">
        <f t="shared" si="837"/>
        <v>0</v>
      </c>
      <c r="I942" s="83">
        <f t="shared" si="837"/>
        <v>4500</v>
      </c>
      <c r="J942" s="83">
        <f t="shared" si="837"/>
        <v>102247</v>
      </c>
      <c r="K942" s="83">
        <f t="shared" si="837"/>
        <v>50640</v>
      </c>
      <c r="L942" s="83">
        <f t="shared" si="837"/>
        <v>24699</v>
      </c>
    </row>
    <row r="943" spans="1:12" ht="15">
      <c r="A943" s="45"/>
      <c r="B943" s="44" t="s">
        <v>207</v>
      </c>
      <c r="C943" s="21">
        <v>70</v>
      </c>
      <c r="D943" s="83">
        <f t="shared" ref="D943:L944" si="838">D984</f>
        <v>21712</v>
      </c>
      <c r="E943" s="83">
        <f t="shared" ref="E943:F943" si="839">E984</f>
        <v>11712</v>
      </c>
      <c r="F943" s="83">
        <f t="shared" si="839"/>
        <v>2000</v>
      </c>
      <c r="G943" s="83">
        <f t="shared" ref="G943:H943" si="840">G984</f>
        <v>4000</v>
      </c>
      <c r="H943" s="83">
        <f t="shared" si="840"/>
        <v>4000</v>
      </c>
      <c r="I943" s="139">
        <f t="shared" si="807"/>
        <v>21712</v>
      </c>
      <c r="J943" s="83">
        <f t="shared" si="838"/>
        <v>0</v>
      </c>
      <c r="K943" s="83">
        <f t="shared" si="838"/>
        <v>0</v>
      </c>
      <c r="L943" s="83">
        <f t="shared" si="838"/>
        <v>0</v>
      </c>
    </row>
    <row r="944" spans="1:12" ht="15" hidden="1" customHeight="1">
      <c r="A944" s="45"/>
      <c r="B944" s="37" t="s">
        <v>177</v>
      </c>
      <c r="C944" s="99">
        <v>85.01</v>
      </c>
      <c r="D944" s="83">
        <f t="shared" si="838"/>
        <v>0</v>
      </c>
      <c r="E944" s="83">
        <f t="shared" ref="E944:F944" si="841">E985</f>
        <v>0</v>
      </c>
      <c r="F944" s="83">
        <f t="shared" si="841"/>
        <v>0</v>
      </c>
      <c r="G944" s="83">
        <f t="shared" ref="G944:H944" si="842">G985</f>
        <v>0</v>
      </c>
      <c r="H944" s="83">
        <f t="shared" si="842"/>
        <v>0</v>
      </c>
      <c r="I944" s="139">
        <f t="shared" si="807"/>
        <v>0</v>
      </c>
      <c r="J944" s="83">
        <f t="shared" si="838"/>
        <v>0</v>
      </c>
      <c r="K944" s="83">
        <f t="shared" si="838"/>
        <v>0</v>
      </c>
      <c r="L944" s="83">
        <f t="shared" si="838"/>
        <v>0</v>
      </c>
    </row>
    <row r="945" spans="1:12" ht="14.25">
      <c r="A945" s="52">
        <v>1</v>
      </c>
      <c r="B945" s="56" t="s">
        <v>428</v>
      </c>
      <c r="C945" s="105">
        <v>80.02</v>
      </c>
      <c r="D945" s="88">
        <f t="shared" ref="D945:L945" si="843">D952+D955</f>
        <v>1257</v>
      </c>
      <c r="E945" s="88">
        <f t="shared" ref="E945:F945" si="844">E952+E955</f>
        <v>1032</v>
      </c>
      <c r="F945" s="88">
        <f t="shared" si="844"/>
        <v>75</v>
      </c>
      <c r="G945" s="88">
        <f t="shared" ref="G945:H945" si="845">G952+G955</f>
        <v>75</v>
      </c>
      <c r="H945" s="88">
        <f t="shared" si="845"/>
        <v>75</v>
      </c>
      <c r="I945" s="139">
        <f t="shared" si="807"/>
        <v>1257</v>
      </c>
      <c r="J945" s="88">
        <f t="shared" si="843"/>
        <v>1257</v>
      </c>
      <c r="K945" s="88">
        <f t="shared" si="843"/>
        <v>1257</v>
      </c>
      <c r="L945" s="88">
        <f t="shared" si="843"/>
        <v>1257</v>
      </c>
    </row>
    <row r="946" spans="1:12" ht="14.25">
      <c r="A946" s="45"/>
      <c r="B946" s="35" t="s">
        <v>166</v>
      </c>
      <c r="C946" s="99"/>
      <c r="D946" s="88">
        <f t="shared" ref="D946:L947" si="846">D956+D960</f>
        <v>300</v>
      </c>
      <c r="E946" s="88">
        <f t="shared" ref="E946:F946" si="847">E956+E960</f>
        <v>75</v>
      </c>
      <c r="F946" s="88">
        <f t="shared" si="847"/>
        <v>75</v>
      </c>
      <c r="G946" s="88">
        <f t="shared" ref="G946:H946" si="848">G956+G960</f>
        <v>75</v>
      </c>
      <c r="H946" s="88">
        <f t="shared" si="848"/>
        <v>75</v>
      </c>
      <c r="I946" s="139">
        <f t="shared" si="807"/>
        <v>300</v>
      </c>
      <c r="J946" s="88">
        <f t="shared" si="846"/>
        <v>300</v>
      </c>
      <c r="K946" s="88">
        <f t="shared" si="846"/>
        <v>300</v>
      </c>
      <c r="L946" s="88">
        <f t="shared" si="846"/>
        <v>300</v>
      </c>
    </row>
    <row r="947" spans="1:12" ht="15">
      <c r="A947" s="45"/>
      <c r="B947" s="44" t="s">
        <v>167</v>
      </c>
      <c r="C947" s="21">
        <v>1</v>
      </c>
      <c r="D947" s="83">
        <f t="shared" si="846"/>
        <v>300</v>
      </c>
      <c r="E947" s="83">
        <f t="shared" ref="E947:F947" si="849">E957+E961</f>
        <v>75</v>
      </c>
      <c r="F947" s="83">
        <f t="shared" si="849"/>
        <v>75</v>
      </c>
      <c r="G947" s="83">
        <f t="shared" ref="G947:H947" si="850">G957+G961</f>
        <v>75</v>
      </c>
      <c r="H947" s="83">
        <f t="shared" si="850"/>
        <v>75</v>
      </c>
      <c r="I947" s="139">
        <f t="shared" si="807"/>
        <v>300</v>
      </c>
      <c r="J947" s="83">
        <f t="shared" si="846"/>
        <v>300</v>
      </c>
      <c r="K947" s="83">
        <f t="shared" si="846"/>
        <v>300</v>
      </c>
      <c r="L947" s="83">
        <f t="shared" si="846"/>
        <v>300</v>
      </c>
    </row>
    <row r="948" spans="1:12" ht="15">
      <c r="A948" s="45"/>
      <c r="B948" s="44" t="s">
        <v>429</v>
      </c>
      <c r="C948" s="21">
        <v>20</v>
      </c>
      <c r="D948" s="83">
        <f t="shared" ref="D948:L948" si="851">D958</f>
        <v>300</v>
      </c>
      <c r="E948" s="83">
        <f t="shared" ref="E948:F948" si="852">E958</f>
        <v>75</v>
      </c>
      <c r="F948" s="83">
        <f t="shared" si="852"/>
        <v>75</v>
      </c>
      <c r="G948" s="83">
        <f t="shared" ref="G948:H948" si="853">G958</f>
        <v>75</v>
      </c>
      <c r="H948" s="83">
        <f t="shared" si="853"/>
        <v>75</v>
      </c>
      <c r="I948" s="139">
        <f t="shared" si="807"/>
        <v>300</v>
      </c>
      <c r="J948" s="83">
        <f t="shared" si="851"/>
        <v>300</v>
      </c>
      <c r="K948" s="83">
        <f t="shared" si="851"/>
        <v>300</v>
      </c>
      <c r="L948" s="83">
        <f t="shared" si="851"/>
        <v>300</v>
      </c>
    </row>
    <row r="949" spans="1:12" ht="0.75" customHeight="1">
      <c r="A949" s="45"/>
      <c r="B949" s="44" t="s">
        <v>361</v>
      </c>
      <c r="C949" s="21">
        <v>59.02</v>
      </c>
      <c r="D949" s="83">
        <f t="shared" ref="D949:L949" si="854">D962</f>
        <v>0</v>
      </c>
      <c r="E949" s="83">
        <f t="shared" ref="E949:F949" si="855">E962</f>
        <v>0</v>
      </c>
      <c r="F949" s="83">
        <f t="shared" si="855"/>
        <v>0</v>
      </c>
      <c r="G949" s="83">
        <f t="shared" ref="G949:H949" si="856">G962</f>
        <v>0</v>
      </c>
      <c r="H949" s="83">
        <f t="shared" si="856"/>
        <v>0</v>
      </c>
      <c r="I949" s="139">
        <f t="shared" si="807"/>
        <v>0</v>
      </c>
      <c r="J949" s="83">
        <f t="shared" si="854"/>
        <v>0</v>
      </c>
      <c r="K949" s="83">
        <f t="shared" si="854"/>
        <v>0</v>
      </c>
      <c r="L949" s="83">
        <f t="shared" si="854"/>
        <v>0</v>
      </c>
    </row>
    <row r="950" spans="1:12" ht="15">
      <c r="A950" s="45"/>
      <c r="B950" s="44" t="s">
        <v>178</v>
      </c>
      <c r="C950" s="21"/>
      <c r="D950" s="83">
        <f t="shared" ref="D950:L951" si="857">D953</f>
        <v>957</v>
      </c>
      <c r="E950" s="83">
        <f t="shared" ref="E950:F950" si="858">E953</f>
        <v>957</v>
      </c>
      <c r="F950" s="83">
        <f t="shared" si="858"/>
        <v>0</v>
      </c>
      <c r="G950" s="83">
        <f t="shared" ref="G950:H950" si="859">G953</f>
        <v>0</v>
      </c>
      <c r="H950" s="83">
        <f t="shared" si="859"/>
        <v>0</v>
      </c>
      <c r="I950" s="139">
        <f t="shared" si="807"/>
        <v>957</v>
      </c>
      <c r="J950" s="83">
        <f t="shared" si="857"/>
        <v>957</v>
      </c>
      <c r="K950" s="83">
        <f t="shared" si="857"/>
        <v>957</v>
      </c>
      <c r="L950" s="83">
        <f t="shared" si="857"/>
        <v>957</v>
      </c>
    </row>
    <row r="951" spans="1:12" ht="15">
      <c r="A951" s="45"/>
      <c r="B951" s="44" t="s">
        <v>425</v>
      </c>
      <c r="C951" s="21">
        <v>55</v>
      </c>
      <c r="D951" s="83">
        <f t="shared" si="857"/>
        <v>957</v>
      </c>
      <c r="E951" s="83">
        <f t="shared" ref="E951:F951" si="860">E954</f>
        <v>957</v>
      </c>
      <c r="F951" s="83">
        <f t="shared" si="860"/>
        <v>0</v>
      </c>
      <c r="G951" s="83">
        <f t="shared" ref="G951:H951" si="861">G954</f>
        <v>0</v>
      </c>
      <c r="H951" s="83">
        <f t="shared" si="861"/>
        <v>0</v>
      </c>
      <c r="I951" s="139">
        <f t="shared" si="807"/>
        <v>957</v>
      </c>
      <c r="J951" s="83">
        <f t="shared" si="857"/>
        <v>957</v>
      </c>
      <c r="K951" s="83">
        <f t="shared" si="857"/>
        <v>957</v>
      </c>
      <c r="L951" s="83">
        <f t="shared" si="857"/>
        <v>957</v>
      </c>
    </row>
    <row r="952" spans="1:12" ht="14.25">
      <c r="A952" s="45" t="s">
        <v>275</v>
      </c>
      <c r="B952" s="37" t="s">
        <v>430</v>
      </c>
      <c r="C952" s="21" t="s">
        <v>431</v>
      </c>
      <c r="D952" s="88">
        <f t="shared" ref="D952:L953" si="862">D953</f>
        <v>957</v>
      </c>
      <c r="E952" s="88">
        <f t="shared" si="862"/>
        <v>957</v>
      </c>
      <c r="F952" s="88">
        <f t="shared" si="862"/>
        <v>0</v>
      </c>
      <c r="G952" s="88">
        <f t="shared" si="862"/>
        <v>0</v>
      </c>
      <c r="H952" s="88">
        <f t="shared" si="862"/>
        <v>0</v>
      </c>
      <c r="I952" s="139">
        <f t="shared" si="807"/>
        <v>957</v>
      </c>
      <c r="J952" s="88">
        <f t="shared" si="862"/>
        <v>957</v>
      </c>
      <c r="K952" s="88">
        <f t="shared" si="862"/>
        <v>957</v>
      </c>
      <c r="L952" s="88">
        <f t="shared" si="862"/>
        <v>957</v>
      </c>
    </row>
    <row r="953" spans="1:12" ht="14.25">
      <c r="A953" s="45"/>
      <c r="B953" s="37" t="s">
        <v>178</v>
      </c>
      <c r="C953" s="99"/>
      <c r="D953" s="88">
        <f t="shared" si="862"/>
        <v>957</v>
      </c>
      <c r="E953" s="88">
        <f t="shared" si="862"/>
        <v>957</v>
      </c>
      <c r="F953" s="88">
        <f t="shared" si="862"/>
        <v>0</v>
      </c>
      <c r="G953" s="88">
        <f t="shared" si="862"/>
        <v>0</v>
      </c>
      <c r="H953" s="88">
        <f t="shared" si="862"/>
        <v>0</v>
      </c>
      <c r="I953" s="139">
        <f t="shared" si="807"/>
        <v>957</v>
      </c>
      <c r="J953" s="88">
        <f t="shared" si="862"/>
        <v>957</v>
      </c>
      <c r="K953" s="88">
        <f t="shared" si="862"/>
        <v>957</v>
      </c>
      <c r="L953" s="88">
        <f t="shared" si="862"/>
        <v>957</v>
      </c>
    </row>
    <row r="954" spans="1:12" ht="15">
      <c r="A954" s="45"/>
      <c r="B954" s="44" t="s">
        <v>425</v>
      </c>
      <c r="C954" s="21" t="s">
        <v>206</v>
      </c>
      <c r="D954" s="82">
        <v>957</v>
      </c>
      <c r="E954" s="82">
        <v>957</v>
      </c>
      <c r="F954" s="82"/>
      <c r="G954" s="82"/>
      <c r="H954" s="82"/>
      <c r="I954" s="139">
        <f t="shared" si="807"/>
        <v>957</v>
      </c>
      <c r="J954" s="82">
        <v>957</v>
      </c>
      <c r="K954" s="82">
        <v>957</v>
      </c>
      <c r="L954" s="82">
        <v>957</v>
      </c>
    </row>
    <row r="955" spans="1:12" ht="28.5">
      <c r="A955" s="45" t="s">
        <v>296</v>
      </c>
      <c r="B955" s="42" t="s">
        <v>527</v>
      </c>
      <c r="C955" s="21" t="s">
        <v>432</v>
      </c>
      <c r="D955" s="88">
        <f t="shared" ref="D955:L957" si="863">D956</f>
        <v>300</v>
      </c>
      <c r="E955" s="88">
        <f t="shared" si="863"/>
        <v>75</v>
      </c>
      <c r="F955" s="88">
        <f t="shared" si="863"/>
        <v>75</v>
      </c>
      <c r="G955" s="88">
        <f t="shared" si="863"/>
        <v>75</v>
      </c>
      <c r="H955" s="88">
        <f t="shared" si="863"/>
        <v>75</v>
      </c>
      <c r="I955" s="139">
        <f t="shared" si="807"/>
        <v>300</v>
      </c>
      <c r="J955" s="88">
        <f t="shared" si="863"/>
        <v>300</v>
      </c>
      <c r="K955" s="88">
        <f t="shared" si="863"/>
        <v>300</v>
      </c>
      <c r="L955" s="88">
        <f t="shared" si="863"/>
        <v>300</v>
      </c>
    </row>
    <row r="956" spans="1:12" ht="14.25">
      <c r="A956" s="45"/>
      <c r="B956" s="35" t="s">
        <v>166</v>
      </c>
      <c r="C956" s="21"/>
      <c r="D956" s="88">
        <f t="shared" si="863"/>
        <v>300</v>
      </c>
      <c r="E956" s="88">
        <f t="shared" si="863"/>
        <v>75</v>
      </c>
      <c r="F956" s="88">
        <f t="shared" si="863"/>
        <v>75</v>
      </c>
      <c r="G956" s="88">
        <f t="shared" si="863"/>
        <v>75</v>
      </c>
      <c r="H956" s="88">
        <f t="shared" si="863"/>
        <v>75</v>
      </c>
      <c r="I956" s="139">
        <f t="shared" si="807"/>
        <v>300</v>
      </c>
      <c r="J956" s="88">
        <f t="shared" si="863"/>
        <v>300</v>
      </c>
      <c r="K956" s="88">
        <f t="shared" si="863"/>
        <v>300</v>
      </c>
      <c r="L956" s="88">
        <f t="shared" si="863"/>
        <v>300</v>
      </c>
    </row>
    <row r="957" spans="1:12" ht="17.25" customHeight="1">
      <c r="A957" s="45"/>
      <c r="B957" s="44" t="s">
        <v>167</v>
      </c>
      <c r="C957" s="21">
        <v>1</v>
      </c>
      <c r="D957" s="83">
        <f t="shared" si="863"/>
        <v>300</v>
      </c>
      <c r="E957" s="83">
        <f t="shared" si="863"/>
        <v>75</v>
      </c>
      <c r="F957" s="83">
        <f t="shared" si="863"/>
        <v>75</v>
      </c>
      <c r="G957" s="83">
        <f t="shared" si="863"/>
        <v>75</v>
      </c>
      <c r="H957" s="83">
        <f t="shared" si="863"/>
        <v>75</v>
      </c>
      <c r="I957" s="139">
        <f t="shared" si="807"/>
        <v>300</v>
      </c>
      <c r="J957" s="83">
        <f t="shared" si="863"/>
        <v>300</v>
      </c>
      <c r="K957" s="83">
        <f t="shared" si="863"/>
        <v>300</v>
      </c>
      <c r="L957" s="83">
        <f t="shared" si="863"/>
        <v>300</v>
      </c>
    </row>
    <row r="958" spans="1:12" ht="13.5" customHeight="1">
      <c r="A958" s="45"/>
      <c r="B958" s="44" t="s">
        <v>433</v>
      </c>
      <c r="C958" s="21" t="s">
        <v>434</v>
      </c>
      <c r="D958" s="82">
        <v>300</v>
      </c>
      <c r="E958" s="82">
        <v>75</v>
      </c>
      <c r="F958" s="82">
        <v>75</v>
      </c>
      <c r="G958" s="82">
        <v>75</v>
      </c>
      <c r="H958" s="82">
        <v>75</v>
      </c>
      <c r="I958" s="139">
        <f t="shared" si="807"/>
        <v>300</v>
      </c>
      <c r="J958" s="80">
        <v>300</v>
      </c>
      <c r="K958" s="80">
        <v>300</v>
      </c>
      <c r="L958" s="80">
        <v>300</v>
      </c>
    </row>
    <row r="959" spans="1:12" ht="15" hidden="1" customHeight="1">
      <c r="A959" s="45" t="s">
        <v>410</v>
      </c>
      <c r="B959" s="37" t="s">
        <v>435</v>
      </c>
      <c r="C959" s="99" t="s">
        <v>436</v>
      </c>
      <c r="D959" s="90">
        <f t="shared" ref="D959:D961" si="864">D960</f>
        <v>0</v>
      </c>
      <c r="E959" s="90"/>
      <c r="F959" s="90"/>
      <c r="G959" s="90"/>
      <c r="H959" s="90"/>
      <c r="I959" s="139">
        <f t="shared" si="807"/>
        <v>0</v>
      </c>
      <c r="J959" s="80"/>
      <c r="K959" s="80"/>
      <c r="L959" s="80"/>
    </row>
    <row r="960" spans="1:12" ht="15" hidden="1" customHeight="1">
      <c r="A960" s="45"/>
      <c r="B960" s="35" t="s">
        <v>166</v>
      </c>
      <c r="C960" s="99"/>
      <c r="D960" s="90">
        <f t="shared" si="864"/>
        <v>0</v>
      </c>
      <c r="E960" s="90"/>
      <c r="F960" s="90"/>
      <c r="G960" s="90"/>
      <c r="H960" s="90"/>
      <c r="I960" s="139">
        <f t="shared" si="807"/>
        <v>0</v>
      </c>
      <c r="J960" s="80"/>
      <c r="K960" s="80"/>
      <c r="L960" s="80"/>
    </row>
    <row r="961" spans="1:12" ht="15" hidden="1" customHeight="1">
      <c r="A961" s="45"/>
      <c r="B961" s="44" t="s">
        <v>167</v>
      </c>
      <c r="C961" s="21">
        <v>1</v>
      </c>
      <c r="D961" s="82">
        <f t="shared" si="864"/>
        <v>0</v>
      </c>
      <c r="E961" s="82"/>
      <c r="F961" s="82"/>
      <c r="G961" s="82"/>
      <c r="H961" s="82"/>
      <c r="I961" s="139">
        <f t="shared" si="807"/>
        <v>0</v>
      </c>
      <c r="J961" s="80"/>
      <c r="K961" s="80"/>
      <c r="L961" s="80"/>
    </row>
    <row r="962" spans="1:12" ht="15" hidden="1" customHeight="1">
      <c r="A962" s="45"/>
      <c r="B962" s="44" t="s">
        <v>437</v>
      </c>
      <c r="C962" s="21">
        <v>59.02</v>
      </c>
      <c r="D962" s="82">
        <v>0</v>
      </c>
      <c r="E962" s="82"/>
      <c r="F962" s="82"/>
      <c r="G962" s="82"/>
      <c r="H962" s="82"/>
      <c r="I962" s="139">
        <f t="shared" si="807"/>
        <v>0</v>
      </c>
      <c r="J962" s="80"/>
      <c r="K962" s="80"/>
      <c r="L962" s="80"/>
    </row>
    <row r="963" spans="1:12" ht="15" hidden="1" customHeight="1">
      <c r="A963" s="52">
        <v>2</v>
      </c>
      <c r="B963" s="56" t="s">
        <v>438</v>
      </c>
      <c r="C963" s="105">
        <v>83.02</v>
      </c>
      <c r="D963" s="88">
        <f t="shared" ref="D963:L970" si="865">D964</f>
        <v>0</v>
      </c>
      <c r="E963" s="88">
        <f t="shared" si="865"/>
        <v>0</v>
      </c>
      <c r="F963" s="88">
        <f t="shared" si="865"/>
        <v>0</v>
      </c>
      <c r="G963" s="88">
        <f t="shared" si="865"/>
        <v>0</v>
      </c>
      <c r="H963" s="88">
        <f t="shared" si="865"/>
        <v>0</v>
      </c>
      <c r="I963" s="139">
        <f t="shared" si="807"/>
        <v>0</v>
      </c>
      <c r="J963" s="88">
        <f t="shared" si="865"/>
        <v>0</v>
      </c>
      <c r="K963" s="88">
        <f t="shared" si="865"/>
        <v>0</v>
      </c>
      <c r="L963" s="88">
        <f t="shared" si="865"/>
        <v>0</v>
      </c>
    </row>
    <row r="964" spans="1:12" ht="15" hidden="1" customHeight="1">
      <c r="A964" s="45"/>
      <c r="B964" s="37" t="s">
        <v>439</v>
      </c>
      <c r="C964" s="21" t="s">
        <v>440</v>
      </c>
      <c r="D964" s="83">
        <f>D965</f>
        <v>0</v>
      </c>
      <c r="E964" s="83">
        <f t="shared" si="865"/>
        <v>0</v>
      </c>
      <c r="F964" s="83">
        <f t="shared" si="865"/>
        <v>0</v>
      </c>
      <c r="G964" s="83">
        <f t="shared" si="865"/>
        <v>0</v>
      </c>
      <c r="H964" s="83">
        <f t="shared" si="865"/>
        <v>0</v>
      </c>
      <c r="I964" s="139">
        <f t="shared" si="807"/>
        <v>0</v>
      </c>
      <c r="J964" s="83">
        <f t="shared" si="865"/>
        <v>0</v>
      </c>
      <c r="K964" s="83">
        <f t="shared" si="865"/>
        <v>0</v>
      </c>
      <c r="L964" s="83">
        <f t="shared" si="865"/>
        <v>0</v>
      </c>
    </row>
    <row r="965" spans="1:12" ht="15" hidden="1" customHeight="1">
      <c r="A965" s="45"/>
      <c r="B965" s="35" t="s">
        <v>166</v>
      </c>
      <c r="C965" s="21"/>
      <c r="D965" s="82">
        <f>D967</f>
        <v>0</v>
      </c>
      <c r="E965" s="82">
        <f t="shared" ref="E965:L965" si="866">E967</f>
        <v>0</v>
      </c>
      <c r="F965" s="82">
        <f t="shared" si="866"/>
        <v>0</v>
      </c>
      <c r="G965" s="82">
        <f t="shared" si="866"/>
        <v>0</v>
      </c>
      <c r="H965" s="82">
        <f t="shared" si="866"/>
        <v>0</v>
      </c>
      <c r="I965" s="139">
        <f t="shared" si="807"/>
        <v>0</v>
      </c>
      <c r="J965" s="82">
        <f t="shared" si="866"/>
        <v>0</v>
      </c>
      <c r="K965" s="82">
        <f t="shared" si="866"/>
        <v>0</v>
      </c>
      <c r="L965" s="82">
        <f t="shared" si="866"/>
        <v>0</v>
      </c>
    </row>
    <row r="966" spans="1:12" ht="15" hidden="1" customHeight="1">
      <c r="A966" s="45"/>
      <c r="B966" s="44" t="s">
        <v>167</v>
      </c>
      <c r="C966" s="21"/>
      <c r="D966" s="82">
        <f>D967</f>
        <v>0</v>
      </c>
      <c r="E966" s="82">
        <f t="shared" ref="E966:L966" si="867">E967</f>
        <v>0</v>
      </c>
      <c r="F966" s="82">
        <f t="shared" si="867"/>
        <v>0</v>
      </c>
      <c r="G966" s="82">
        <f t="shared" si="867"/>
        <v>0</v>
      </c>
      <c r="H966" s="82">
        <f t="shared" si="867"/>
        <v>0</v>
      </c>
      <c r="I966" s="139">
        <f t="shared" si="807"/>
        <v>0</v>
      </c>
      <c r="J966" s="82">
        <f t="shared" si="867"/>
        <v>0</v>
      </c>
      <c r="K966" s="82">
        <f t="shared" si="867"/>
        <v>0</v>
      </c>
      <c r="L966" s="82">
        <f t="shared" si="867"/>
        <v>0</v>
      </c>
    </row>
    <row r="967" spans="1:12" ht="14.25" hidden="1" customHeight="1">
      <c r="A967" s="45"/>
      <c r="B967" s="44" t="s">
        <v>169</v>
      </c>
      <c r="C967" s="21"/>
      <c r="D967" s="82"/>
      <c r="E967" s="82">
        <v>0</v>
      </c>
      <c r="F967" s="82"/>
      <c r="G967" s="82"/>
      <c r="H967" s="82"/>
      <c r="I967" s="139">
        <f t="shared" si="807"/>
        <v>0</v>
      </c>
      <c r="J967" s="82"/>
      <c r="K967" s="82"/>
      <c r="L967" s="82"/>
    </row>
    <row r="968" spans="1:12" ht="0.75" hidden="1" customHeight="1">
      <c r="A968" s="45"/>
      <c r="B968" s="37" t="s">
        <v>441</v>
      </c>
      <c r="C968" s="21" t="s">
        <v>442</v>
      </c>
      <c r="D968" s="82">
        <f t="shared" si="865"/>
        <v>0</v>
      </c>
      <c r="E968" s="82"/>
      <c r="F968" s="82"/>
      <c r="G968" s="82"/>
      <c r="H968" s="82"/>
      <c r="I968" s="139">
        <f t="shared" si="807"/>
        <v>0</v>
      </c>
      <c r="J968" s="80"/>
      <c r="K968" s="80"/>
      <c r="L968" s="80"/>
    </row>
    <row r="969" spans="1:12" ht="15" hidden="1" customHeight="1">
      <c r="A969" s="45"/>
      <c r="B969" s="35" t="s">
        <v>166</v>
      </c>
      <c r="C969" s="21"/>
      <c r="D969" s="82">
        <f t="shared" si="865"/>
        <v>0</v>
      </c>
      <c r="E969" s="82"/>
      <c r="F969" s="82"/>
      <c r="G969" s="82"/>
      <c r="H969" s="82"/>
      <c r="I969" s="139">
        <f t="shared" si="807"/>
        <v>0</v>
      </c>
      <c r="J969" s="80"/>
      <c r="K969" s="80"/>
      <c r="L969" s="80"/>
    </row>
    <row r="970" spans="1:12" ht="15" hidden="1" customHeight="1">
      <c r="A970" s="45"/>
      <c r="B970" s="44" t="s">
        <v>167</v>
      </c>
      <c r="C970" s="21">
        <v>1</v>
      </c>
      <c r="D970" s="82">
        <f t="shared" si="865"/>
        <v>0</v>
      </c>
      <c r="E970" s="82"/>
      <c r="F970" s="82"/>
      <c r="G970" s="82"/>
      <c r="H970" s="82"/>
      <c r="I970" s="139">
        <f t="shared" si="807"/>
        <v>0</v>
      </c>
      <c r="J970" s="80"/>
      <c r="K970" s="80"/>
      <c r="L970" s="80"/>
    </row>
    <row r="971" spans="1:12" ht="15" hidden="1" customHeight="1">
      <c r="A971" s="45"/>
      <c r="B971" s="43" t="s">
        <v>443</v>
      </c>
      <c r="C971" s="21" t="s">
        <v>444</v>
      </c>
      <c r="D971" s="82">
        <f>D972+D973</f>
        <v>0</v>
      </c>
      <c r="E971" s="82"/>
      <c r="F971" s="82"/>
      <c r="G971" s="82"/>
      <c r="H971" s="82"/>
      <c r="I971" s="139">
        <f t="shared" si="807"/>
        <v>0</v>
      </c>
      <c r="J971" s="80"/>
      <c r="K971" s="80"/>
      <c r="L971" s="80"/>
    </row>
    <row r="972" spans="1:12" ht="15" hidden="1" customHeight="1">
      <c r="A972" s="45"/>
      <c r="B972" s="44" t="s">
        <v>168</v>
      </c>
      <c r="C972" s="21">
        <v>10</v>
      </c>
      <c r="D972" s="82"/>
      <c r="E972" s="82"/>
      <c r="F972" s="82"/>
      <c r="G972" s="82"/>
      <c r="H972" s="82"/>
      <c r="I972" s="139">
        <f t="shared" si="807"/>
        <v>0</v>
      </c>
      <c r="J972" s="80"/>
      <c r="K972" s="80"/>
      <c r="L972" s="80"/>
    </row>
    <row r="973" spans="1:12" ht="15" hidden="1" customHeight="1">
      <c r="A973" s="45"/>
      <c r="B973" s="44" t="s">
        <v>169</v>
      </c>
      <c r="C973" s="21">
        <v>20</v>
      </c>
      <c r="D973" s="82"/>
      <c r="E973" s="82"/>
      <c r="F973" s="82"/>
      <c r="G973" s="82"/>
      <c r="H973" s="82"/>
      <c r="I973" s="139">
        <f t="shared" si="807"/>
        <v>0</v>
      </c>
      <c r="J973" s="80"/>
      <c r="K973" s="80"/>
      <c r="L973" s="80"/>
    </row>
    <row r="974" spans="1:12" ht="15" hidden="1" customHeight="1">
      <c r="A974" s="45"/>
      <c r="B974" s="44" t="s">
        <v>178</v>
      </c>
      <c r="C974" s="21"/>
      <c r="D974" s="82"/>
      <c r="E974" s="82"/>
      <c r="F974" s="82"/>
      <c r="G974" s="82"/>
      <c r="H974" s="82"/>
      <c r="I974" s="139">
        <f t="shared" si="807"/>
        <v>0</v>
      </c>
      <c r="J974" s="80"/>
      <c r="K974" s="80"/>
      <c r="L974" s="80"/>
    </row>
    <row r="975" spans="1:12" ht="15" hidden="1" customHeight="1">
      <c r="A975" s="45"/>
      <c r="B975" s="44" t="s">
        <v>207</v>
      </c>
      <c r="C975" s="21">
        <v>70</v>
      </c>
      <c r="D975" s="82">
        <v>0</v>
      </c>
      <c r="E975" s="82"/>
      <c r="F975" s="82"/>
      <c r="G975" s="82"/>
      <c r="H975" s="82"/>
      <c r="I975" s="139">
        <f t="shared" si="807"/>
        <v>0</v>
      </c>
      <c r="J975" s="80"/>
      <c r="K975" s="80"/>
      <c r="L975" s="80"/>
    </row>
    <row r="976" spans="1:12" ht="15" customHeight="1">
      <c r="A976" s="52">
        <v>2</v>
      </c>
      <c r="B976" s="56" t="s">
        <v>445</v>
      </c>
      <c r="C976" s="105">
        <v>84.02</v>
      </c>
      <c r="D976" s="88">
        <f>D986+D1004+D1010</f>
        <v>48642</v>
      </c>
      <c r="E976" s="88">
        <f t="shared" ref="E976:L976" si="868">E986+E1004+E1010</f>
        <v>21942</v>
      </c>
      <c r="F976" s="88">
        <f t="shared" si="868"/>
        <v>8700</v>
      </c>
      <c r="G976" s="88">
        <f t="shared" si="868"/>
        <v>11000</v>
      </c>
      <c r="H976" s="88">
        <f t="shared" si="868"/>
        <v>7000</v>
      </c>
      <c r="I976" s="88">
        <f t="shared" si="868"/>
        <v>48642</v>
      </c>
      <c r="J976" s="88">
        <f t="shared" si="868"/>
        <v>108218</v>
      </c>
      <c r="K976" s="88">
        <f t="shared" si="868"/>
        <v>56611</v>
      </c>
      <c r="L976" s="88">
        <f t="shared" si="868"/>
        <v>30670</v>
      </c>
    </row>
    <row r="977" spans="1:12" ht="14.25">
      <c r="A977" s="45"/>
      <c r="B977" s="35" t="s">
        <v>166</v>
      </c>
      <c r="C977" s="21"/>
      <c r="D977" s="88">
        <f t="shared" ref="D977:L977" si="869">D980</f>
        <v>22430</v>
      </c>
      <c r="E977" s="88">
        <f t="shared" si="869"/>
        <v>5730</v>
      </c>
      <c r="F977" s="88">
        <f t="shared" si="869"/>
        <v>6700</v>
      </c>
      <c r="G977" s="88">
        <f t="shared" si="869"/>
        <v>7000</v>
      </c>
      <c r="H977" s="88">
        <f t="shared" si="869"/>
        <v>3000</v>
      </c>
      <c r="I977" s="139">
        <f t="shared" si="807"/>
        <v>22430</v>
      </c>
      <c r="J977" s="88">
        <f t="shared" si="869"/>
        <v>5971</v>
      </c>
      <c r="K977" s="88">
        <f t="shared" si="869"/>
        <v>5971</v>
      </c>
      <c r="L977" s="88">
        <f t="shared" si="869"/>
        <v>5971</v>
      </c>
    </row>
    <row r="978" spans="1:12" ht="12" customHeight="1">
      <c r="A978" s="45"/>
      <c r="B978" s="44" t="s">
        <v>167</v>
      </c>
      <c r="C978" s="21">
        <v>1</v>
      </c>
      <c r="D978" s="88">
        <f t="shared" ref="D978:L980" si="870">D988</f>
        <v>22430</v>
      </c>
      <c r="E978" s="88">
        <f t="shared" si="870"/>
        <v>5730</v>
      </c>
      <c r="F978" s="88">
        <f t="shared" si="870"/>
        <v>6700</v>
      </c>
      <c r="G978" s="88">
        <f t="shared" si="870"/>
        <v>7000</v>
      </c>
      <c r="H978" s="88">
        <f t="shared" si="870"/>
        <v>3000</v>
      </c>
      <c r="I978" s="139">
        <f t="shared" si="807"/>
        <v>22430</v>
      </c>
      <c r="J978" s="88">
        <f t="shared" si="870"/>
        <v>5971</v>
      </c>
      <c r="K978" s="88">
        <f t="shared" si="870"/>
        <v>5971</v>
      </c>
      <c r="L978" s="88">
        <f t="shared" si="870"/>
        <v>5971</v>
      </c>
    </row>
    <row r="979" spans="1:12" ht="15" hidden="1">
      <c r="A979" s="45"/>
      <c r="B979" s="44" t="s">
        <v>168</v>
      </c>
      <c r="C979" s="21">
        <v>10</v>
      </c>
      <c r="D979" s="88">
        <f t="shared" si="870"/>
        <v>0</v>
      </c>
      <c r="E979" s="88"/>
      <c r="F979" s="88"/>
      <c r="G979" s="88"/>
      <c r="H979" s="88"/>
      <c r="I979" s="139">
        <f t="shared" si="807"/>
        <v>0</v>
      </c>
      <c r="J979" s="88">
        <f t="shared" si="870"/>
        <v>0</v>
      </c>
      <c r="K979" s="88">
        <f t="shared" si="870"/>
        <v>0</v>
      </c>
      <c r="L979" s="88">
        <f t="shared" si="870"/>
        <v>0</v>
      </c>
    </row>
    <row r="980" spans="1:12" ht="15">
      <c r="A980" s="45"/>
      <c r="B980" s="44" t="s">
        <v>169</v>
      </c>
      <c r="C980" s="21">
        <v>20</v>
      </c>
      <c r="D980" s="88">
        <f t="shared" si="870"/>
        <v>22430</v>
      </c>
      <c r="E980" s="88">
        <f t="shared" si="870"/>
        <v>5730</v>
      </c>
      <c r="F980" s="88">
        <f t="shared" si="870"/>
        <v>6700</v>
      </c>
      <c r="G980" s="88">
        <f t="shared" si="870"/>
        <v>7000</v>
      </c>
      <c r="H980" s="88">
        <f t="shared" si="870"/>
        <v>3000</v>
      </c>
      <c r="I980" s="139">
        <f t="shared" si="807"/>
        <v>22430</v>
      </c>
      <c r="J980" s="88">
        <f t="shared" si="870"/>
        <v>5971</v>
      </c>
      <c r="K980" s="88">
        <f t="shared" si="870"/>
        <v>5971</v>
      </c>
      <c r="L980" s="88">
        <f t="shared" si="870"/>
        <v>5971</v>
      </c>
    </row>
    <row r="981" spans="1:12" ht="11.25" customHeight="1">
      <c r="A981" s="45"/>
      <c r="B981" s="37" t="s">
        <v>178</v>
      </c>
      <c r="C981" s="21"/>
      <c r="D981" s="88">
        <f t="shared" ref="D981:L981" si="871">D982+D983+D984</f>
        <v>26212</v>
      </c>
      <c r="E981" s="88">
        <f t="shared" si="871"/>
        <v>16212</v>
      </c>
      <c r="F981" s="88">
        <f t="shared" si="871"/>
        <v>2000</v>
      </c>
      <c r="G981" s="88">
        <f t="shared" si="871"/>
        <v>4000</v>
      </c>
      <c r="H981" s="88">
        <f t="shared" si="871"/>
        <v>4000</v>
      </c>
      <c r="I981" s="139">
        <f t="shared" si="807"/>
        <v>26212</v>
      </c>
      <c r="J981" s="88">
        <f t="shared" si="871"/>
        <v>102247</v>
      </c>
      <c r="K981" s="88">
        <f t="shared" si="871"/>
        <v>50640</v>
      </c>
      <c r="L981" s="88">
        <f t="shared" si="871"/>
        <v>24699</v>
      </c>
    </row>
    <row r="982" spans="1:12" ht="13.5" hidden="1" customHeight="1">
      <c r="A982" s="45"/>
      <c r="B982" s="44" t="s">
        <v>187</v>
      </c>
      <c r="C982" s="21">
        <v>56</v>
      </c>
      <c r="D982" s="88">
        <v>0</v>
      </c>
      <c r="E982" s="88">
        <v>0</v>
      </c>
      <c r="F982" s="88">
        <v>0</v>
      </c>
      <c r="G982" s="88">
        <v>0</v>
      </c>
      <c r="H982" s="88">
        <v>0</v>
      </c>
      <c r="I982" s="139">
        <f t="shared" si="807"/>
        <v>0</v>
      </c>
      <c r="J982" s="88">
        <v>0</v>
      </c>
      <c r="K982" s="88">
        <v>0</v>
      </c>
      <c r="L982" s="88">
        <v>0</v>
      </c>
    </row>
    <row r="983" spans="1:12" ht="13.5" customHeight="1">
      <c r="A983" s="45"/>
      <c r="B983" s="44" t="s">
        <v>187</v>
      </c>
      <c r="C983" s="21">
        <v>58</v>
      </c>
      <c r="D983" s="88">
        <f>D1006+D1012</f>
        <v>4500</v>
      </c>
      <c r="E983" s="88">
        <f t="shared" ref="E983:L983" si="872">E1006+E1012</f>
        <v>4500</v>
      </c>
      <c r="F983" s="88">
        <f t="shared" si="872"/>
        <v>0</v>
      </c>
      <c r="G983" s="88">
        <f t="shared" si="872"/>
        <v>0</v>
      </c>
      <c r="H983" s="88">
        <f t="shared" si="872"/>
        <v>0</v>
      </c>
      <c r="I983" s="88">
        <f t="shared" si="872"/>
        <v>4500</v>
      </c>
      <c r="J983" s="88">
        <f t="shared" si="872"/>
        <v>102247</v>
      </c>
      <c r="K983" s="88">
        <f t="shared" si="872"/>
        <v>50640</v>
      </c>
      <c r="L983" s="88">
        <f t="shared" si="872"/>
        <v>24699</v>
      </c>
    </row>
    <row r="984" spans="1:12" ht="15">
      <c r="A984" s="45"/>
      <c r="B984" s="44" t="s">
        <v>207</v>
      </c>
      <c r="C984" s="21">
        <v>70</v>
      </c>
      <c r="D984" s="88">
        <f t="shared" ref="D984:L984" si="873">D994</f>
        <v>21712</v>
      </c>
      <c r="E984" s="88">
        <f t="shared" si="873"/>
        <v>11712</v>
      </c>
      <c r="F984" s="88">
        <f t="shared" si="873"/>
        <v>2000</v>
      </c>
      <c r="G984" s="88">
        <f t="shared" si="873"/>
        <v>4000</v>
      </c>
      <c r="H984" s="88">
        <f t="shared" si="873"/>
        <v>4000</v>
      </c>
      <c r="I984" s="139">
        <f t="shared" si="807"/>
        <v>21712</v>
      </c>
      <c r="J984" s="88">
        <f t="shared" si="873"/>
        <v>0</v>
      </c>
      <c r="K984" s="88">
        <f t="shared" si="873"/>
        <v>0</v>
      </c>
      <c r="L984" s="88">
        <f t="shared" si="873"/>
        <v>0</v>
      </c>
    </row>
    <row r="985" spans="1:12" ht="0.75" customHeight="1">
      <c r="A985" s="45"/>
      <c r="B985" s="44" t="s">
        <v>177</v>
      </c>
      <c r="C985" s="21">
        <v>85.01</v>
      </c>
      <c r="D985" s="88">
        <f t="shared" ref="D985:L985" si="874">D992</f>
        <v>0</v>
      </c>
      <c r="E985" s="88"/>
      <c r="F985" s="88"/>
      <c r="G985" s="88"/>
      <c r="H985" s="88"/>
      <c r="I985" s="139">
        <f t="shared" si="807"/>
        <v>0</v>
      </c>
      <c r="J985" s="88">
        <f t="shared" si="874"/>
        <v>0</v>
      </c>
      <c r="K985" s="88">
        <f t="shared" si="874"/>
        <v>0</v>
      </c>
      <c r="L985" s="88">
        <f t="shared" si="874"/>
        <v>0</v>
      </c>
    </row>
    <row r="986" spans="1:12" ht="14.25">
      <c r="A986" s="64" t="s">
        <v>509</v>
      </c>
      <c r="B986" s="37" t="s">
        <v>446</v>
      </c>
      <c r="C986" s="21" t="s">
        <v>447</v>
      </c>
      <c r="D986" s="88">
        <f t="shared" ref="D986:L986" si="875">D987+D993</f>
        <v>44142</v>
      </c>
      <c r="E986" s="88">
        <f t="shared" si="875"/>
        <v>17442</v>
      </c>
      <c r="F986" s="88">
        <f t="shared" si="875"/>
        <v>8700</v>
      </c>
      <c r="G986" s="88">
        <f t="shared" si="875"/>
        <v>11000</v>
      </c>
      <c r="H986" s="88">
        <f t="shared" si="875"/>
        <v>7000</v>
      </c>
      <c r="I986" s="139">
        <f t="shared" si="807"/>
        <v>44142</v>
      </c>
      <c r="J986" s="88">
        <f t="shared" si="875"/>
        <v>5971</v>
      </c>
      <c r="K986" s="88">
        <f t="shared" si="875"/>
        <v>5971</v>
      </c>
      <c r="L986" s="88">
        <f t="shared" si="875"/>
        <v>5971</v>
      </c>
    </row>
    <row r="987" spans="1:12" ht="14.25">
      <c r="A987" s="45"/>
      <c r="B987" s="35" t="s">
        <v>166</v>
      </c>
      <c r="C987" s="21"/>
      <c r="D987" s="88">
        <f t="shared" ref="D987:L987" si="876">D988</f>
        <v>22430</v>
      </c>
      <c r="E987" s="88">
        <f t="shared" si="876"/>
        <v>5730</v>
      </c>
      <c r="F987" s="88">
        <f t="shared" si="876"/>
        <v>6700</v>
      </c>
      <c r="G987" s="88">
        <f t="shared" si="876"/>
        <v>7000</v>
      </c>
      <c r="H987" s="88">
        <f t="shared" si="876"/>
        <v>3000</v>
      </c>
      <c r="I987" s="139">
        <f t="shared" si="807"/>
        <v>22430</v>
      </c>
      <c r="J987" s="88">
        <f t="shared" si="876"/>
        <v>5971</v>
      </c>
      <c r="K987" s="88">
        <f t="shared" si="876"/>
        <v>5971</v>
      </c>
      <c r="L987" s="88">
        <f t="shared" si="876"/>
        <v>5971</v>
      </c>
    </row>
    <row r="988" spans="1:12" ht="14.25" customHeight="1">
      <c r="A988" s="45"/>
      <c r="B988" s="44" t="s">
        <v>167</v>
      </c>
      <c r="C988" s="21">
        <v>1</v>
      </c>
      <c r="D988" s="83">
        <f t="shared" ref="D988:L988" si="877">D989+D990+D991+D992</f>
        <v>22430</v>
      </c>
      <c r="E988" s="83">
        <f t="shared" si="877"/>
        <v>5730</v>
      </c>
      <c r="F988" s="83">
        <f t="shared" si="877"/>
        <v>6700</v>
      </c>
      <c r="G988" s="83">
        <f t="shared" si="877"/>
        <v>7000</v>
      </c>
      <c r="H988" s="83">
        <f t="shared" si="877"/>
        <v>3000</v>
      </c>
      <c r="I988" s="139">
        <f t="shared" ref="I988:I1020" si="878">E988+F988+G988+H988</f>
        <v>22430</v>
      </c>
      <c r="J988" s="83">
        <f t="shared" si="877"/>
        <v>5971</v>
      </c>
      <c r="K988" s="83">
        <f t="shared" si="877"/>
        <v>5971</v>
      </c>
      <c r="L988" s="83">
        <f t="shared" si="877"/>
        <v>5971</v>
      </c>
    </row>
    <row r="989" spans="1:12" ht="16.5" hidden="1" customHeight="1">
      <c r="A989" s="45"/>
      <c r="B989" s="44" t="s">
        <v>168</v>
      </c>
      <c r="C989" s="21">
        <v>10</v>
      </c>
      <c r="D989" s="82">
        <v>0</v>
      </c>
      <c r="E989" s="82"/>
      <c r="F989" s="82"/>
      <c r="G989" s="82"/>
      <c r="H989" s="82"/>
      <c r="I989" s="139">
        <f t="shared" si="878"/>
        <v>0</v>
      </c>
      <c r="J989" s="80"/>
      <c r="K989" s="80"/>
      <c r="L989" s="80"/>
    </row>
    <row r="990" spans="1:12" ht="13.5" customHeight="1">
      <c r="A990" s="45"/>
      <c r="B990" s="44" t="s">
        <v>169</v>
      </c>
      <c r="C990" s="21">
        <v>20</v>
      </c>
      <c r="D990" s="82">
        <f>22825+30+2145+30-3300+700</f>
        <v>22430</v>
      </c>
      <c r="E990" s="82">
        <f>5030+1000-300</f>
        <v>5730</v>
      </c>
      <c r="F990" s="82">
        <f>8000-1650+350</f>
        <v>6700</v>
      </c>
      <c r="G990" s="82">
        <f>8000+300-1650+350</f>
        <v>7000</v>
      </c>
      <c r="H990" s="82">
        <f>4000-1000</f>
        <v>3000</v>
      </c>
      <c r="I990" s="139">
        <f t="shared" si="878"/>
        <v>22430</v>
      </c>
      <c r="J990" s="80">
        <v>5971</v>
      </c>
      <c r="K990" s="80">
        <v>5971</v>
      </c>
      <c r="L990" s="80">
        <v>5971</v>
      </c>
    </row>
    <row r="991" spans="1:12" ht="13.5" hidden="1" customHeight="1">
      <c r="A991" s="45"/>
      <c r="B991" s="44" t="s">
        <v>529</v>
      </c>
      <c r="C991" s="21">
        <v>59</v>
      </c>
      <c r="D991" s="82"/>
      <c r="E991" s="82"/>
      <c r="F991" s="82"/>
      <c r="G991" s="82"/>
      <c r="H991" s="82"/>
      <c r="I991" s="139">
        <f t="shared" si="878"/>
        <v>0</v>
      </c>
      <c r="J991" s="80"/>
      <c r="K991" s="80"/>
      <c r="L991" s="80"/>
    </row>
    <row r="992" spans="1:12" ht="13.5" hidden="1" customHeight="1">
      <c r="A992" s="45"/>
      <c r="B992" s="44" t="s">
        <v>177</v>
      </c>
      <c r="C992" s="21">
        <v>85</v>
      </c>
      <c r="D992" s="82"/>
      <c r="E992" s="82"/>
      <c r="F992" s="82"/>
      <c r="G992" s="82"/>
      <c r="H992" s="82"/>
      <c r="I992" s="139">
        <f t="shared" si="878"/>
        <v>0</v>
      </c>
      <c r="J992" s="80"/>
      <c r="K992" s="80"/>
      <c r="L992" s="80"/>
    </row>
    <row r="993" spans="1:15" ht="15" customHeight="1">
      <c r="A993" s="45"/>
      <c r="B993" s="37" t="s">
        <v>178</v>
      </c>
      <c r="C993" s="99"/>
      <c r="D993" s="88">
        <f t="shared" ref="D993:L993" si="879">D994</f>
        <v>21712</v>
      </c>
      <c r="E993" s="88">
        <f t="shared" si="879"/>
        <v>11712</v>
      </c>
      <c r="F993" s="88">
        <f t="shared" si="879"/>
        <v>2000</v>
      </c>
      <c r="G993" s="88">
        <f t="shared" si="879"/>
        <v>4000</v>
      </c>
      <c r="H993" s="88">
        <f t="shared" si="879"/>
        <v>4000</v>
      </c>
      <c r="I993" s="139">
        <f t="shared" si="878"/>
        <v>21712</v>
      </c>
      <c r="J993" s="88">
        <f t="shared" si="879"/>
        <v>0</v>
      </c>
      <c r="K993" s="88">
        <f t="shared" si="879"/>
        <v>0</v>
      </c>
      <c r="L993" s="88">
        <f t="shared" si="879"/>
        <v>0</v>
      </c>
    </row>
    <row r="994" spans="1:15" ht="15" customHeight="1">
      <c r="A994" s="45"/>
      <c r="B994" s="44" t="s">
        <v>512</v>
      </c>
      <c r="C994" s="21">
        <v>70</v>
      </c>
      <c r="D994" s="80">
        <f t="shared" ref="D994:L994" si="880">D995+D996+D997+D998</f>
        <v>21712</v>
      </c>
      <c r="E994" s="80">
        <f t="shared" si="880"/>
        <v>11712</v>
      </c>
      <c r="F994" s="80">
        <f t="shared" si="880"/>
        <v>2000</v>
      </c>
      <c r="G994" s="80">
        <f t="shared" si="880"/>
        <v>4000</v>
      </c>
      <c r="H994" s="80">
        <f t="shared" si="880"/>
        <v>4000</v>
      </c>
      <c r="I994" s="139">
        <f t="shared" si="878"/>
        <v>21712</v>
      </c>
      <c r="J994" s="80">
        <f t="shared" si="880"/>
        <v>0</v>
      </c>
      <c r="K994" s="80">
        <f t="shared" si="880"/>
        <v>0</v>
      </c>
      <c r="L994" s="80">
        <f t="shared" si="880"/>
        <v>0</v>
      </c>
    </row>
    <row r="995" spans="1:15" ht="15" customHeight="1">
      <c r="A995" s="45"/>
      <c r="B995" s="44" t="s">
        <v>738</v>
      </c>
      <c r="C995" s="21"/>
      <c r="D995" s="82">
        <f>21782-70</f>
        <v>21712</v>
      </c>
      <c r="E995" s="82">
        <f>21712-10000</f>
        <v>11712</v>
      </c>
      <c r="F995" s="82">
        <v>2000</v>
      </c>
      <c r="G995" s="82">
        <v>4000</v>
      </c>
      <c r="H995" s="82">
        <v>4000</v>
      </c>
      <c r="I995" s="139">
        <f t="shared" si="878"/>
        <v>21712</v>
      </c>
      <c r="J995" s="82"/>
      <c r="K995" s="82"/>
      <c r="L995" s="82"/>
    </row>
    <row r="996" spans="1:15" ht="15" hidden="1" customHeight="1">
      <c r="A996" s="45"/>
      <c r="B996" s="44" t="s">
        <v>539</v>
      </c>
      <c r="C996" s="21"/>
      <c r="D996" s="82"/>
      <c r="E996" s="82"/>
      <c r="F996" s="82"/>
      <c r="G996" s="82"/>
      <c r="H996" s="82"/>
      <c r="I996" s="139">
        <f t="shared" si="878"/>
        <v>0</v>
      </c>
      <c r="J996" s="83"/>
      <c r="K996" s="83"/>
      <c r="L996" s="83"/>
    </row>
    <row r="997" spans="1:15" ht="15" hidden="1" customHeight="1">
      <c r="A997" s="45"/>
      <c r="B997" s="44" t="s">
        <v>540</v>
      </c>
      <c r="C997" s="21"/>
      <c r="D997" s="82"/>
      <c r="E997" s="82"/>
      <c r="F997" s="82"/>
      <c r="G997" s="82"/>
      <c r="H997" s="82"/>
      <c r="I997" s="139">
        <f t="shared" si="878"/>
        <v>0</v>
      </c>
      <c r="J997" s="83"/>
      <c r="K997" s="83"/>
      <c r="L997" s="83"/>
    </row>
    <row r="998" spans="1:15" ht="15" hidden="1" customHeight="1">
      <c r="A998" s="45"/>
      <c r="B998" s="44" t="s">
        <v>541</v>
      </c>
      <c r="C998" s="21"/>
      <c r="D998" s="82"/>
      <c r="E998" s="82"/>
      <c r="F998" s="82"/>
      <c r="G998" s="82"/>
      <c r="H998" s="82"/>
      <c r="I998" s="139">
        <f t="shared" si="878"/>
        <v>0</v>
      </c>
      <c r="J998" s="83"/>
      <c r="K998" s="83"/>
      <c r="L998" s="83"/>
    </row>
    <row r="999" spans="1:15" ht="21" hidden="1" customHeight="1">
      <c r="A999" s="45"/>
      <c r="B999" s="43"/>
      <c r="C999" s="21"/>
      <c r="D999" s="82"/>
      <c r="E999" s="82"/>
      <c r="F999" s="82"/>
      <c r="G999" s="82"/>
      <c r="H999" s="82"/>
      <c r="I999" s="139">
        <f t="shared" si="878"/>
        <v>0</v>
      </c>
      <c r="J999" s="80"/>
      <c r="K999" s="80"/>
      <c r="L999" s="80"/>
    </row>
    <row r="1000" spans="1:15" ht="23.25" hidden="1" customHeight="1">
      <c r="A1000" s="45"/>
      <c r="B1000" s="58"/>
      <c r="C1000" s="21"/>
      <c r="D1000" s="82"/>
      <c r="E1000" s="82"/>
      <c r="F1000" s="82"/>
      <c r="G1000" s="82"/>
      <c r="H1000" s="82"/>
      <c r="I1000" s="139">
        <f t="shared" si="878"/>
        <v>0</v>
      </c>
      <c r="J1000" s="80"/>
      <c r="K1000" s="80"/>
      <c r="L1000" s="80"/>
    </row>
    <row r="1001" spans="1:15" ht="17.25" hidden="1" customHeight="1">
      <c r="A1001" s="45"/>
      <c r="B1001" s="58"/>
      <c r="C1001" s="21"/>
      <c r="D1001" s="82"/>
      <c r="E1001" s="82"/>
      <c r="F1001" s="82"/>
      <c r="G1001" s="82"/>
      <c r="H1001" s="82"/>
      <c r="I1001" s="139">
        <f t="shared" si="878"/>
        <v>0</v>
      </c>
      <c r="J1001" s="80"/>
      <c r="K1001" s="80"/>
      <c r="L1001" s="80"/>
    </row>
    <row r="1002" spans="1:15" ht="21" hidden="1" customHeight="1">
      <c r="A1002" s="45"/>
      <c r="B1002" s="43"/>
      <c r="C1002" s="21"/>
      <c r="D1002" s="82"/>
      <c r="E1002" s="82"/>
      <c r="F1002" s="82"/>
      <c r="G1002" s="82"/>
      <c r="H1002" s="82"/>
      <c r="I1002" s="139">
        <f t="shared" si="878"/>
        <v>0</v>
      </c>
      <c r="J1002" s="80"/>
      <c r="K1002" s="80"/>
      <c r="L1002" s="80"/>
    </row>
    <row r="1003" spans="1:15" ht="24" hidden="1" customHeight="1">
      <c r="A1003" s="32"/>
      <c r="B1003" s="45" t="s">
        <v>448</v>
      </c>
      <c r="C1003" s="99">
        <v>70</v>
      </c>
      <c r="D1003" s="80"/>
      <c r="E1003" s="80"/>
      <c r="F1003" s="80"/>
      <c r="G1003" s="80"/>
      <c r="H1003" s="80"/>
      <c r="I1003" s="139">
        <f t="shared" si="878"/>
        <v>0</v>
      </c>
      <c r="J1003" s="80"/>
      <c r="K1003" s="80"/>
      <c r="L1003" s="80"/>
    </row>
    <row r="1004" spans="1:15" ht="73.5" customHeight="1">
      <c r="A1004" s="32" t="s">
        <v>510</v>
      </c>
      <c r="B1004" s="69" t="s">
        <v>463</v>
      </c>
      <c r="C1004" s="114">
        <f>C1005</f>
        <v>58</v>
      </c>
      <c r="D1004" s="147">
        <f t="shared" ref="D1004:L1005" si="881">D1005</f>
        <v>3500</v>
      </c>
      <c r="E1004" s="147">
        <f t="shared" si="881"/>
        <v>3500</v>
      </c>
      <c r="F1004" s="147">
        <f t="shared" si="881"/>
        <v>0</v>
      </c>
      <c r="G1004" s="147">
        <f t="shared" si="881"/>
        <v>0</v>
      </c>
      <c r="H1004" s="147">
        <f t="shared" si="881"/>
        <v>0</v>
      </c>
      <c r="I1004" s="139">
        <f t="shared" si="878"/>
        <v>3500</v>
      </c>
      <c r="J1004" s="147">
        <f t="shared" si="881"/>
        <v>53112</v>
      </c>
      <c r="K1004" s="147">
        <f t="shared" si="881"/>
        <v>25905</v>
      </c>
      <c r="L1004" s="264">
        <f t="shared" si="881"/>
        <v>0</v>
      </c>
      <c r="O1004" s="69"/>
    </row>
    <row r="1005" spans="1:15" ht="15.75" customHeight="1">
      <c r="A1005" s="32"/>
      <c r="B1005" s="44" t="s">
        <v>178</v>
      </c>
      <c r="C1005" s="99">
        <f>C1006</f>
        <v>58</v>
      </c>
      <c r="D1005" s="148">
        <f t="shared" si="881"/>
        <v>3500</v>
      </c>
      <c r="E1005" s="148">
        <f t="shared" si="881"/>
        <v>3500</v>
      </c>
      <c r="F1005" s="148">
        <f t="shared" si="881"/>
        <v>0</v>
      </c>
      <c r="G1005" s="148">
        <f t="shared" si="881"/>
        <v>0</v>
      </c>
      <c r="H1005" s="148">
        <f t="shared" si="881"/>
        <v>0</v>
      </c>
      <c r="I1005" s="139">
        <f t="shared" si="878"/>
        <v>3500</v>
      </c>
      <c r="J1005" s="147">
        <f t="shared" si="881"/>
        <v>53112</v>
      </c>
      <c r="K1005" s="147">
        <f t="shared" si="881"/>
        <v>25905</v>
      </c>
      <c r="L1005" s="147">
        <f t="shared" si="881"/>
        <v>0</v>
      </c>
    </row>
    <row r="1006" spans="1:15" ht="22.5" customHeight="1">
      <c r="A1006" s="32"/>
      <c r="B1006" s="44" t="s">
        <v>187</v>
      </c>
      <c r="C1006" s="21">
        <v>58</v>
      </c>
      <c r="D1006" s="80">
        <f t="shared" ref="D1006:L1006" si="882">D1007+D1008+D1009</f>
        <v>3500</v>
      </c>
      <c r="E1006" s="80">
        <f t="shared" si="882"/>
        <v>3500</v>
      </c>
      <c r="F1006" s="80">
        <f t="shared" si="882"/>
        <v>0</v>
      </c>
      <c r="G1006" s="80">
        <f t="shared" si="882"/>
        <v>0</v>
      </c>
      <c r="H1006" s="80">
        <f t="shared" si="882"/>
        <v>0</v>
      </c>
      <c r="I1006" s="139">
        <f t="shared" si="878"/>
        <v>3500</v>
      </c>
      <c r="J1006" s="80">
        <f t="shared" si="882"/>
        <v>53112</v>
      </c>
      <c r="K1006" s="80">
        <f t="shared" si="882"/>
        <v>25905</v>
      </c>
      <c r="L1006" s="80">
        <f t="shared" si="882"/>
        <v>0</v>
      </c>
    </row>
    <row r="1007" spans="1:15" ht="22.5" customHeight="1">
      <c r="A1007" s="32"/>
      <c r="B1007" s="44" t="s">
        <v>801</v>
      </c>
      <c r="C1007" s="21" t="s">
        <v>534</v>
      </c>
      <c r="D1007" s="80">
        <v>455</v>
      </c>
      <c r="E1007" s="80">
        <v>455</v>
      </c>
      <c r="F1007" s="80"/>
      <c r="G1007" s="80"/>
      <c r="H1007" s="80"/>
      <c r="I1007" s="139">
        <f t="shared" si="878"/>
        <v>455</v>
      </c>
      <c r="J1007" s="80"/>
      <c r="K1007" s="80"/>
      <c r="L1007" s="80"/>
    </row>
    <row r="1008" spans="1:15" ht="16.5" customHeight="1">
      <c r="A1008" s="32"/>
      <c r="B1008" s="44" t="s">
        <v>487</v>
      </c>
      <c r="C1008" s="21" t="s">
        <v>488</v>
      </c>
      <c r="D1008" s="80">
        <v>2975</v>
      </c>
      <c r="E1008" s="80">
        <v>2975</v>
      </c>
      <c r="F1008" s="80"/>
      <c r="G1008" s="80"/>
      <c r="H1008" s="80"/>
      <c r="I1008" s="139">
        <f t="shared" si="878"/>
        <v>2975</v>
      </c>
      <c r="J1008" s="80">
        <v>53112</v>
      </c>
      <c r="K1008" s="80">
        <v>25905</v>
      </c>
      <c r="L1008" s="80"/>
    </row>
    <row r="1009" spans="1:12" ht="22.5" customHeight="1">
      <c r="A1009" s="32"/>
      <c r="B1009" s="44" t="s">
        <v>223</v>
      </c>
      <c r="C1009" s="21" t="s">
        <v>489</v>
      </c>
      <c r="D1009" s="80">
        <v>70</v>
      </c>
      <c r="E1009" s="80">
        <v>70</v>
      </c>
      <c r="F1009" s="80"/>
      <c r="G1009" s="80"/>
      <c r="H1009" s="80"/>
      <c r="I1009" s="139">
        <f t="shared" si="878"/>
        <v>70</v>
      </c>
      <c r="J1009" s="80"/>
      <c r="K1009" s="80"/>
      <c r="L1009" s="80"/>
    </row>
    <row r="1010" spans="1:12" ht="60" customHeight="1">
      <c r="A1010" s="32" t="s">
        <v>800</v>
      </c>
      <c r="B1010" s="69" t="s">
        <v>799</v>
      </c>
      <c r="C1010" s="114">
        <f>C1011</f>
        <v>58</v>
      </c>
      <c r="D1010" s="80">
        <f>D1011</f>
        <v>1000</v>
      </c>
      <c r="E1010" s="80">
        <f t="shared" ref="E1010:L1011" si="883">E1011</f>
        <v>1000</v>
      </c>
      <c r="F1010" s="80">
        <f t="shared" si="883"/>
        <v>0</v>
      </c>
      <c r="G1010" s="80">
        <f t="shared" si="883"/>
        <v>0</v>
      </c>
      <c r="H1010" s="80">
        <f t="shared" si="883"/>
        <v>0</v>
      </c>
      <c r="I1010" s="139">
        <f t="shared" si="878"/>
        <v>1000</v>
      </c>
      <c r="J1010" s="80">
        <f t="shared" si="883"/>
        <v>49135</v>
      </c>
      <c r="K1010" s="80">
        <f t="shared" si="883"/>
        <v>24735</v>
      </c>
      <c r="L1010" s="80">
        <f t="shared" si="883"/>
        <v>24699</v>
      </c>
    </row>
    <row r="1011" spans="1:12" ht="19.5" customHeight="1">
      <c r="A1011" s="32"/>
      <c r="B1011" s="44" t="s">
        <v>178</v>
      </c>
      <c r="C1011" s="99">
        <f>C1012</f>
        <v>58</v>
      </c>
      <c r="D1011" s="80">
        <f>D1012</f>
        <v>1000</v>
      </c>
      <c r="E1011" s="80">
        <f t="shared" si="883"/>
        <v>1000</v>
      </c>
      <c r="F1011" s="80">
        <f t="shared" si="883"/>
        <v>0</v>
      </c>
      <c r="G1011" s="80">
        <f t="shared" si="883"/>
        <v>0</v>
      </c>
      <c r="H1011" s="80">
        <f t="shared" si="883"/>
        <v>0</v>
      </c>
      <c r="I1011" s="139">
        <f t="shared" si="878"/>
        <v>1000</v>
      </c>
      <c r="J1011" s="80">
        <f t="shared" si="883"/>
        <v>49135</v>
      </c>
      <c r="K1011" s="80">
        <f t="shared" si="883"/>
        <v>24735</v>
      </c>
      <c r="L1011" s="80">
        <f t="shared" si="883"/>
        <v>24699</v>
      </c>
    </row>
    <row r="1012" spans="1:12" ht="19.5" customHeight="1">
      <c r="A1012" s="32"/>
      <c r="B1012" s="44" t="s">
        <v>187</v>
      </c>
      <c r="C1012" s="21">
        <v>58</v>
      </c>
      <c r="D1012" s="80">
        <f>D1013+D1014+D1015</f>
        <v>1000</v>
      </c>
      <c r="E1012" s="80">
        <f t="shared" ref="E1012:L1012" si="884">E1013+E1014+E1015</f>
        <v>1000</v>
      </c>
      <c r="F1012" s="80">
        <f t="shared" si="884"/>
        <v>0</v>
      </c>
      <c r="G1012" s="80">
        <f t="shared" si="884"/>
        <v>0</v>
      </c>
      <c r="H1012" s="80">
        <f t="shared" si="884"/>
        <v>0</v>
      </c>
      <c r="I1012" s="139">
        <f t="shared" si="878"/>
        <v>1000</v>
      </c>
      <c r="J1012" s="80">
        <f t="shared" si="884"/>
        <v>49135</v>
      </c>
      <c r="K1012" s="80">
        <f t="shared" si="884"/>
        <v>24735</v>
      </c>
      <c r="L1012" s="80">
        <f t="shared" si="884"/>
        <v>24699</v>
      </c>
    </row>
    <row r="1013" spans="1:12" ht="19.5" customHeight="1">
      <c r="A1013" s="32"/>
      <c r="B1013" s="44" t="s">
        <v>801</v>
      </c>
      <c r="C1013" s="21" t="s">
        <v>534</v>
      </c>
      <c r="D1013" s="80">
        <v>130</v>
      </c>
      <c r="E1013" s="80">
        <v>130</v>
      </c>
      <c r="F1013" s="80"/>
      <c r="G1013" s="80"/>
      <c r="H1013" s="80"/>
      <c r="I1013" s="139">
        <f t="shared" si="878"/>
        <v>130</v>
      </c>
      <c r="J1013" s="80"/>
      <c r="K1013" s="80"/>
      <c r="L1013" s="80"/>
    </row>
    <row r="1014" spans="1:12" ht="18.75" customHeight="1">
      <c r="A1014" s="32"/>
      <c r="B1014" s="44" t="s">
        <v>487</v>
      </c>
      <c r="C1014" s="21" t="s">
        <v>488</v>
      </c>
      <c r="D1014" s="80">
        <v>850</v>
      </c>
      <c r="E1014" s="80">
        <v>850</v>
      </c>
      <c r="F1014" s="80"/>
      <c r="G1014" s="80"/>
      <c r="H1014" s="80"/>
      <c r="I1014" s="139">
        <f t="shared" si="878"/>
        <v>850</v>
      </c>
      <c r="J1014" s="80">
        <v>49135</v>
      </c>
      <c r="K1014" s="80">
        <v>24735</v>
      </c>
      <c r="L1014" s="80">
        <v>24699</v>
      </c>
    </row>
    <row r="1015" spans="1:12" ht="22.5" customHeight="1">
      <c r="A1015" s="32"/>
      <c r="B1015" s="44" t="s">
        <v>223</v>
      </c>
      <c r="C1015" s="21" t="s">
        <v>489</v>
      </c>
      <c r="D1015" s="80">
        <v>20</v>
      </c>
      <c r="E1015" s="80">
        <v>20</v>
      </c>
      <c r="F1015" s="80"/>
      <c r="G1015" s="80"/>
      <c r="H1015" s="80"/>
      <c r="I1015" s="139">
        <f t="shared" si="878"/>
        <v>20</v>
      </c>
      <c r="J1015" s="80"/>
      <c r="K1015" s="80"/>
      <c r="L1015" s="80"/>
    </row>
    <row r="1016" spans="1:12" ht="0.75" customHeight="1">
      <c r="A1016" s="32"/>
      <c r="B1016" s="29"/>
      <c r="C1016" s="21"/>
      <c r="D1016" s="80"/>
      <c r="E1016" s="80"/>
      <c r="F1016" s="80"/>
      <c r="G1016" s="80"/>
      <c r="H1016" s="80"/>
      <c r="I1016" s="139">
        <f t="shared" si="878"/>
        <v>0</v>
      </c>
      <c r="J1016" s="80"/>
      <c r="K1016" s="80"/>
      <c r="L1016" s="80"/>
    </row>
    <row r="1017" spans="1:12" ht="22.5" customHeight="1">
      <c r="A1017" s="32">
        <v>3</v>
      </c>
      <c r="B1017" s="25" t="s">
        <v>474</v>
      </c>
      <c r="C1017" s="99">
        <v>87.02</v>
      </c>
      <c r="D1017" s="80">
        <f t="shared" ref="D1017:L1019" si="885">D1018</f>
        <v>15907</v>
      </c>
      <c r="E1017" s="80">
        <f t="shared" si="885"/>
        <v>15907</v>
      </c>
      <c r="F1017" s="80">
        <f t="shared" si="885"/>
        <v>0</v>
      </c>
      <c r="G1017" s="80">
        <f t="shared" si="885"/>
        <v>0</v>
      </c>
      <c r="H1017" s="80">
        <f t="shared" si="885"/>
        <v>0</v>
      </c>
      <c r="I1017" s="139">
        <f t="shared" si="878"/>
        <v>15907</v>
      </c>
      <c r="J1017" s="80">
        <f t="shared" si="885"/>
        <v>0</v>
      </c>
      <c r="K1017" s="80">
        <f t="shared" si="885"/>
        <v>0</v>
      </c>
      <c r="L1017" s="80">
        <f t="shared" si="885"/>
        <v>0</v>
      </c>
    </row>
    <row r="1018" spans="1:12" ht="34.5" customHeight="1">
      <c r="A1018" s="32" t="s">
        <v>511</v>
      </c>
      <c r="B1018" s="31" t="s">
        <v>473</v>
      </c>
      <c r="C1018" s="99" t="s">
        <v>449</v>
      </c>
      <c r="D1018" s="80">
        <f t="shared" si="885"/>
        <v>15907</v>
      </c>
      <c r="E1018" s="80">
        <f t="shared" si="885"/>
        <v>15907</v>
      </c>
      <c r="F1018" s="80">
        <f t="shared" si="885"/>
        <v>0</v>
      </c>
      <c r="G1018" s="80">
        <f t="shared" si="885"/>
        <v>0</v>
      </c>
      <c r="H1018" s="80">
        <f t="shared" si="885"/>
        <v>0</v>
      </c>
      <c r="I1018" s="139">
        <f t="shared" si="878"/>
        <v>15907</v>
      </c>
      <c r="J1018" s="80">
        <f t="shared" si="885"/>
        <v>0</v>
      </c>
      <c r="K1018" s="80">
        <f t="shared" si="885"/>
        <v>0</v>
      </c>
      <c r="L1018" s="80">
        <f t="shared" si="885"/>
        <v>0</v>
      </c>
    </row>
    <row r="1019" spans="1:12" ht="22.5" customHeight="1">
      <c r="A1019" s="32"/>
      <c r="B1019" s="44" t="s">
        <v>178</v>
      </c>
      <c r="C1019" s="99"/>
      <c r="D1019" s="80">
        <f t="shared" si="885"/>
        <v>15907</v>
      </c>
      <c r="E1019" s="80">
        <f t="shared" si="885"/>
        <v>15907</v>
      </c>
      <c r="F1019" s="80">
        <f t="shared" si="885"/>
        <v>0</v>
      </c>
      <c r="G1019" s="80">
        <f t="shared" si="885"/>
        <v>0</v>
      </c>
      <c r="H1019" s="80">
        <f t="shared" si="885"/>
        <v>0</v>
      </c>
      <c r="I1019" s="139">
        <f t="shared" si="878"/>
        <v>15907</v>
      </c>
      <c r="J1019" s="80">
        <f t="shared" si="885"/>
        <v>0</v>
      </c>
      <c r="K1019" s="80">
        <f t="shared" si="885"/>
        <v>0</v>
      </c>
      <c r="L1019" s="80">
        <f t="shared" si="885"/>
        <v>0</v>
      </c>
    </row>
    <row r="1020" spans="1:12" ht="27.75" customHeight="1">
      <c r="A1020" s="32"/>
      <c r="B1020" s="70" t="s">
        <v>426</v>
      </c>
      <c r="C1020" s="113" t="s">
        <v>427</v>
      </c>
      <c r="D1020" s="80">
        <v>15907</v>
      </c>
      <c r="E1020" s="80">
        <v>15907</v>
      </c>
      <c r="F1020" s="80"/>
      <c r="G1020" s="80"/>
      <c r="H1020" s="80"/>
      <c r="I1020" s="139">
        <f t="shared" si="878"/>
        <v>15907</v>
      </c>
      <c r="J1020" s="80"/>
      <c r="K1020" s="80"/>
      <c r="L1020" s="80"/>
    </row>
    <row r="1021" spans="1:12" ht="22.5" hidden="1" customHeight="1">
      <c r="A1021" s="32"/>
      <c r="B1021" s="71" t="s">
        <v>450</v>
      </c>
      <c r="C1021" s="115"/>
      <c r="D1021" s="80"/>
      <c r="E1021" s="80"/>
      <c r="F1021" s="80"/>
      <c r="G1021" s="80"/>
      <c r="H1021" s="80"/>
      <c r="I1021" s="80"/>
      <c r="J1021" s="80"/>
      <c r="K1021" s="80"/>
      <c r="L1021" s="80"/>
    </row>
    <row r="1022" spans="1:12" ht="22.5" customHeight="1">
      <c r="A1022" s="72"/>
      <c r="B1022" s="73" t="s">
        <v>451</v>
      </c>
      <c r="C1022" s="116"/>
      <c r="D1022" s="95">
        <f t="shared" ref="D1022:L1022" si="886">D11-D214</f>
        <v>-77686</v>
      </c>
      <c r="E1022" s="95">
        <f t="shared" si="886"/>
        <v>-77686</v>
      </c>
      <c r="F1022" s="95">
        <f t="shared" si="886"/>
        <v>0</v>
      </c>
      <c r="G1022" s="95">
        <f t="shared" si="886"/>
        <v>0</v>
      </c>
      <c r="H1022" s="95">
        <f t="shared" si="886"/>
        <v>0</v>
      </c>
      <c r="I1022" s="95">
        <f t="shared" si="886"/>
        <v>-77686</v>
      </c>
      <c r="J1022" s="95">
        <f t="shared" si="886"/>
        <v>0</v>
      </c>
      <c r="K1022" s="95">
        <f t="shared" si="886"/>
        <v>0</v>
      </c>
      <c r="L1022" s="95">
        <f t="shared" si="886"/>
        <v>0</v>
      </c>
    </row>
    <row r="1023" spans="1:12" ht="19.5" customHeight="1" thickBot="1">
      <c r="A1023" s="29"/>
      <c r="B1023" s="74"/>
      <c r="C1023" s="26"/>
      <c r="D1023" s="10"/>
      <c r="E1023" s="10"/>
      <c r="F1023" s="10"/>
      <c r="G1023" s="10"/>
      <c r="H1023" s="10"/>
      <c r="I1023" s="10"/>
      <c r="J1023" s="10"/>
      <c r="K1023" s="10"/>
      <c r="L1023" s="10"/>
    </row>
    <row r="1024" spans="1:12" ht="15.75" thickBot="1">
      <c r="A1024" s="27"/>
      <c r="B1024" s="75" t="s">
        <v>452</v>
      </c>
      <c r="C1024" s="128">
        <f>C1248</f>
        <v>77686</v>
      </c>
      <c r="D1024" s="10"/>
      <c r="E1024" s="10"/>
      <c r="F1024" s="10"/>
      <c r="G1024" s="10"/>
      <c r="H1024" s="10"/>
      <c r="I1024" s="10"/>
      <c r="J1024" s="10"/>
      <c r="K1024" s="10"/>
      <c r="L1024" s="10"/>
    </row>
    <row r="1025" spans="1:13" ht="12" customHeight="1">
      <c r="A1025" s="27"/>
      <c r="B1025" s="76"/>
      <c r="C1025" s="129"/>
      <c r="D1025" s="10"/>
      <c r="E1025" s="10"/>
      <c r="F1025" s="10"/>
      <c r="G1025" s="10"/>
      <c r="H1025" s="10"/>
      <c r="I1025" s="10"/>
      <c r="J1025" s="10"/>
      <c r="K1025" s="10"/>
      <c r="L1025" s="10"/>
    </row>
    <row r="1026" spans="1:13" ht="15" hidden="1">
      <c r="A1026" s="27"/>
      <c r="B1026" s="4"/>
      <c r="C1026" s="130"/>
      <c r="D1026" s="10"/>
      <c r="E1026" s="10"/>
      <c r="F1026" s="10"/>
      <c r="G1026" s="10"/>
      <c r="H1026" s="10"/>
      <c r="I1026" s="10"/>
      <c r="J1026" s="10"/>
      <c r="K1026" s="10"/>
      <c r="L1026" s="10"/>
    </row>
    <row r="1027" spans="1:13" ht="15" hidden="1">
      <c r="A1027" s="27"/>
      <c r="B1027" s="4"/>
      <c r="C1027" s="79"/>
      <c r="D1027" s="10"/>
      <c r="E1027" s="10"/>
      <c r="F1027" s="10"/>
      <c r="G1027" s="10"/>
      <c r="H1027" s="10"/>
      <c r="I1027" s="10"/>
      <c r="J1027" s="10"/>
      <c r="K1027" s="10"/>
      <c r="L1027" s="10"/>
    </row>
    <row r="1028" spans="1:13" s="3" customFormat="1" ht="14.25">
      <c r="A1028" s="162">
        <v>1</v>
      </c>
      <c r="B1028" s="162" t="s">
        <v>586</v>
      </c>
      <c r="C1028" s="163">
        <f t="shared" ref="C1028" si="887">C1042+C1029+C1040</f>
        <v>3290</v>
      </c>
      <c r="D1028" s="237"/>
      <c r="E1028" s="238"/>
      <c r="F1028" s="2"/>
      <c r="G1028" s="2"/>
      <c r="H1028" s="2"/>
      <c r="I1028" s="2"/>
      <c r="J1028" s="2"/>
      <c r="K1028" s="2"/>
      <c r="L1028" s="2"/>
      <c r="M1028" s="2"/>
    </row>
    <row r="1029" spans="1:13" s="3" customFormat="1" ht="14.25">
      <c r="A1029" s="164"/>
      <c r="B1029" s="164" t="s">
        <v>587</v>
      </c>
      <c r="C1029" s="165">
        <f>SUM(C1030:C1039)</f>
        <v>233</v>
      </c>
      <c r="D1029" s="237"/>
      <c r="E1029" s="238"/>
      <c r="F1029" s="2"/>
      <c r="G1029" s="2"/>
      <c r="H1029" s="2"/>
      <c r="I1029" s="2"/>
      <c r="J1029" s="2"/>
      <c r="K1029" s="2"/>
      <c r="L1029" s="2"/>
      <c r="M1029" s="2"/>
    </row>
    <row r="1030" spans="1:13" s="3" customFormat="1" ht="45">
      <c r="A1030" s="166">
        <v>1</v>
      </c>
      <c r="B1030" s="167" t="s">
        <v>588</v>
      </c>
      <c r="C1030" s="168">
        <v>50</v>
      </c>
      <c r="D1030" s="239"/>
      <c r="E1030" s="238"/>
      <c r="F1030" s="2"/>
      <c r="G1030" s="2"/>
      <c r="H1030" s="2"/>
      <c r="I1030" s="2"/>
      <c r="J1030" s="2"/>
      <c r="K1030" s="2"/>
      <c r="L1030" s="2"/>
      <c r="M1030" s="2"/>
    </row>
    <row r="1031" spans="1:13" s="3" customFormat="1" ht="45">
      <c r="A1031" s="166">
        <v>2</v>
      </c>
      <c r="B1031" s="167" t="s">
        <v>589</v>
      </c>
      <c r="C1031" s="168">
        <v>40</v>
      </c>
      <c r="D1031" s="239"/>
      <c r="E1031" s="238"/>
      <c r="F1031" s="2"/>
      <c r="G1031" s="2"/>
      <c r="H1031" s="2"/>
      <c r="I1031" s="2"/>
      <c r="J1031" s="2"/>
      <c r="K1031" s="2"/>
      <c r="L1031" s="2"/>
      <c r="M1031" s="2"/>
    </row>
    <row r="1032" spans="1:13" s="3" customFormat="1" ht="30">
      <c r="A1032" s="166">
        <v>3</v>
      </c>
      <c r="B1032" s="169" t="s">
        <v>590</v>
      </c>
      <c r="C1032" s="168">
        <v>50</v>
      </c>
      <c r="D1032" s="239"/>
      <c r="E1032" s="238"/>
      <c r="F1032" s="2"/>
      <c r="G1032" s="2"/>
      <c r="H1032" s="2"/>
      <c r="I1032" s="2"/>
      <c r="J1032" s="2"/>
      <c r="K1032" s="2"/>
      <c r="L1032" s="2"/>
      <c r="M1032" s="2"/>
    </row>
    <row r="1033" spans="1:13" ht="30">
      <c r="A1033" s="166">
        <v>4</v>
      </c>
      <c r="B1033" s="170" t="s">
        <v>591</v>
      </c>
      <c r="C1033" s="168">
        <v>39</v>
      </c>
      <c r="D1033" s="239"/>
      <c r="E1033" s="238"/>
    </row>
    <row r="1034" spans="1:13" ht="45">
      <c r="A1034" s="166">
        <v>5</v>
      </c>
      <c r="B1034" s="171" t="s">
        <v>592</v>
      </c>
      <c r="C1034" s="168">
        <v>30</v>
      </c>
      <c r="D1034" s="239"/>
      <c r="E1034" s="238"/>
    </row>
    <row r="1035" spans="1:13" ht="45">
      <c r="A1035" s="166">
        <v>6</v>
      </c>
      <c r="B1035" s="171" t="s">
        <v>593</v>
      </c>
      <c r="C1035" s="168">
        <v>11</v>
      </c>
      <c r="D1035" s="239"/>
      <c r="E1035" s="238"/>
    </row>
    <row r="1036" spans="1:13" ht="45">
      <c r="A1036" s="166">
        <v>7</v>
      </c>
      <c r="B1036" s="172" t="s">
        <v>594</v>
      </c>
      <c r="C1036" s="168">
        <v>3</v>
      </c>
      <c r="D1036" s="239"/>
      <c r="E1036" s="238"/>
    </row>
    <row r="1037" spans="1:13" ht="45">
      <c r="A1037" s="166">
        <v>8</v>
      </c>
      <c r="B1037" s="172" t="s">
        <v>595</v>
      </c>
      <c r="C1037" s="168">
        <v>2</v>
      </c>
      <c r="D1037" s="239"/>
      <c r="E1037" s="238"/>
    </row>
    <row r="1038" spans="1:13" ht="30">
      <c r="A1038" s="166">
        <v>9</v>
      </c>
      <c r="B1038" s="173" t="s">
        <v>596</v>
      </c>
      <c r="C1038" s="168">
        <v>4</v>
      </c>
      <c r="D1038" s="239"/>
      <c r="E1038" s="238"/>
    </row>
    <row r="1039" spans="1:13" ht="30">
      <c r="A1039" s="166">
        <v>10</v>
      </c>
      <c r="B1039" s="59" t="s">
        <v>802</v>
      </c>
      <c r="C1039" s="168">
        <v>4</v>
      </c>
      <c r="D1039" s="239"/>
      <c r="E1039" s="247"/>
    </row>
    <row r="1040" spans="1:13" ht="15">
      <c r="A1040" s="166"/>
      <c r="B1040" s="164" t="s">
        <v>597</v>
      </c>
      <c r="C1040" s="165">
        <f>C1041</f>
        <v>920</v>
      </c>
      <c r="D1040" s="237"/>
      <c r="E1040" s="238"/>
    </row>
    <row r="1041" spans="1:5" ht="30">
      <c r="A1041" s="166">
        <v>1</v>
      </c>
      <c r="B1041" s="169" t="s">
        <v>598</v>
      </c>
      <c r="C1041" s="168">
        <v>920</v>
      </c>
      <c r="D1041" s="239"/>
      <c r="E1041" s="238"/>
    </row>
    <row r="1042" spans="1:5" ht="15">
      <c r="A1042" s="174"/>
      <c r="B1042" s="175" t="s">
        <v>599</v>
      </c>
      <c r="C1042" s="165">
        <f>SUM(C1043:C1055)</f>
        <v>2137</v>
      </c>
      <c r="D1042" s="237"/>
      <c r="E1042" s="238"/>
    </row>
    <row r="1043" spans="1:5" ht="15">
      <c r="A1043" s="174">
        <v>1</v>
      </c>
      <c r="B1043" s="177" t="s">
        <v>600</v>
      </c>
      <c r="C1043" s="168">
        <v>952</v>
      </c>
      <c r="D1043" s="239"/>
      <c r="E1043" s="238"/>
    </row>
    <row r="1044" spans="1:5" ht="15">
      <c r="A1044" s="174">
        <v>2</v>
      </c>
      <c r="B1044" s="169" t="s">
        <v>601</v>
      </c>
      <c r="C1044" s="168">
        <v>9</v>
      </c>
      <c r="D1044" s="239"/>
      <c r="E1044" s="238"/>
    </row>
    <row r="1045" spans="1:5" ht="15">
      <c r="A1045" s="174">
        <v>3</v>
      </c>
      <c r="B1045" s="169" t="s">
        <v>602</v>
      </c>
      <c r="C1045" s="168">
        <v>183</v>
      </c>
      <c r="D1045" s="239"/>
      <c r="E1045" s="238"/>
    </row>
    <row r="1046" spans="1:5" ht="15">
      <c r="A1046" s="174">
        <v>4</v>
      </c>
      <c r="B1046" s="179" t="s">
        <v>603</v>
      </c>
      <c r="C1046" s="168">
        <v>42</v>
      </c>
      <c r="D1046" s="239"/>
      <c r="E1046" s="238"/>
    </row>
    <row r="1047" spans="1:5" ht="15">
      <c r="A1047" s="174">
        <v>5</v>
      </c>
      <c r="B1047" s="179" t="s">
        <v>604</v>
      </c>
      <c r="C1047" s="168">
        <v>50</v>
      </c>
      <c r="D1047" s="239"/>
      <c r="E1047" s="238"/>
    </row>
    <row r="1048" spans="1:5" ht="15">
      <c r="A1048" s="174">
        <v>6</v>
      </c>
      <c r="B1048" s="179" t="s">
        <v>605</v>
      </c>
      <c r="C1048" s="168">
        <v>6</v>
      </c>
      <c r="D1048" s="239"/>
      <c r="E1048" s="238"/>
    </row>
    <row r="1049" spans="1:5" ht="15">
      <c r="A1049" s="174">
        <v>7</v>
      </c>
      <c r="B1049" s="179" t="s">
        <v>606</v>
      </c>
      <c r="C1049" s="168">
        <v>2</v>
      </c>
      <c r="D1049" s="239"/>
      <c r="E1049" s="238"/>
    </row>
    <row r="1050" spans="1:5" ht="15">
      <c r="A1050" s="174">
        <v>8</v>
      </c>
      <c r="B1050" s="179" t="s">
        <v>607</v>
      </c>
      <c r="C1050" s="168">
        <v>10</v>
      </c>
      <c r="D1050" s="239"/>
      <c r="E1050" s="238"/>
    </row>
    <row r="1051" spans="1:5" ht="30">
      <c r="A1051" s="174">
        <v>9</v>
      </c>
      <c r="B1051" s="182" t="s">
        <v>608</v>
      </c>
      <c r="C1051" s="168">
        <v>357</v>
      </c>
      <c r="D1051" s="239"/>
      <c r="E1051" s="238"/>
    </row>
    <row r="1052" spans="1:5" ht="30">
      <c r="A1052" s="174">
        <v>10</v>
      </c>
      <c r="B1052" s="182" t="s">
        <v>609</v>
      </c>
      <c r="C1052" s="168">
        <v>143</v>
      </c>
      <c r="D1052" s="239"/>
      <c r="E1052" s="238"/>
    </row>
    <row r="1053" spans="1:5" ht="60">
      <c r="A1053" s="174">
        <v>11</v>
      </c>
      <c r="B1053" s="181" t="s">
        <v>610</v>
      </c>
      <c r="C1053" s="168">
        <v>106</v>
      </c>
      <c r="D1053" s="239"/>
      <c r="E1053" s="238"/>
    </row>
    <row r="1054" spans="1:5" ht="30">
      <c r="A1054" s="174">
        <v>12</v>
      </c>
      <c r="B1054" s="182" t="s">
        <v>611</v>
      </c>
      <c r="C1054" s="168">
        <v>127</v>
      </c>
      <c r="D1054" s="239"/>
      <c r="E1054" s="238"/>
    </row>
    <row r="1055" spans="1:5" ht="45">
      <c r="A1055" s="174">
        <v>13</v>
      </c>
      <c r="B1055" s="182" t="s">
        <v>612</v>
      </c>
      <c r="C1055" s="168">
        <v>150</v>
      </c>
      <c r="D1055" s="239"/>
      <c r="E1055" s="238"/>
    </row>
    <row r="1056" spans="1:5" ht="14.25">
      <c r="A1056" s="162">
        <v>2</v>
      </c>
      <c r="B1056" s="162" t="s">
        <v>742</v>
      </c>
      <c r="C1056" s="163">
        <f>C1058</f>
        <v>212</v>
      </c>
      <c r="D1056" s="237"/>
      <c r="E1056" s="238"/>
    </row>
    <row r="1057" spans="1:5" ht="14.25">
      <c r="A1057" s="186" t="s">
        <v>743</v>
      </c>
      <c r="B1057" s="162" t="s">
        <v>744</v>
      </c>
      <c r="C1057" s="163">
        <f>C1058</f>
        <v>212</v>
      </c>
      <c r="D1057" s="237"/>
      <c r="E1057" s="238"/>
    </row>
    <row r="1058" spans="1:5" ht="15">
      <c r="A1058" s="175"/>
      <c r="B1058" s="175" t="s">
        <v>599</v>
      </c>
      <c r="C1058" s="176">
        <f>C1059</f>
        <v>212</v>
      </c>
      <c r="D1058" s="240"/>
      <c r="E1058" s="238"/>
    </row>
    <row r="1059" spans="1:5" ht="15">
      <c r="A1059" s="174">
        <v>1</v>
      </c>
      <c r="B1059" s="180" t="s">
        <v>613</v>
      </c>
      <c r="C1059" s="183">
        <v>212</v>
      </c>
      <c r="D1059" s="241"/>
      <c r="E1059" s="238"/>
    </row>
    <row r="1060" spans="1:5" ht="14.25">
      <c r="A1060" s="162">
        <v>3</v>
      </c>
      <c r="B1060" s="162" t="s">
        <v>614</v>
      </c>
      <c r="C1060" s="184">
        <f>C1061</f>
        <v>230</v>
      </c>
      <c r="D1060" s="241"/>
      <c r="E1060" s="238"/>
    </row>
    <row r="1061" spans="1:5" ht="26.25">
      <c r="A1061" s="186" t="s">
        <v>617</v>
      </c>
      <c r="B1061" s="185" t="s">
        <v>280</v>
      </c>
      <c r="C1061" s="184">
        <f>C1063</f>
        <v>230</v>
      </c>
      <c r="D1061" s="240"/>
      <c r="E1061" s="238"/>
    </row>
    <row r="1062" spans="1:5" ht="15">
      <c r="A1062" s="166"/>
      <c r="B1062" s="175" t="s">
        <v>599</v>
      </c>
      <c r="C1062" s="189">
        <f>C1063</f>
        <v>230</v>
      </c>
      <c r="D1062" s="241"/>
      <c r="E1062" s="238"/>
    </row>
    <row r="1063" spans="1:5" ht="15">
      <c r="A1063" s="174">
        <v>1</v>
      </c>
      <c r="B1063" s="180" t="s">
        <v>615</v>
      </c>
      <c r="C1063" s="183">
        <v>230</v>
      </c>
      <c r="D1063" s="241"/>
      <c r="E1063" s="238"/>
    </row>
    <row r="1064" spans="1:5" ht="14.25">
      <c r="A1064" s="162">
        <v>4</v>
      </c>
      <c r="B1064" s="162" t="s">
        <v>616</v>
      </c>
      <c r="C1064" s="184">
        <f>C1065+C1082+C1093+C1103+C1113+C1119+C1109+C1106</f>
        <v>41439</v>
      </c>
      <c r="D1064" s="241"/>
      <c r="E1064" s="238"/>
    </row>
    <row r="1065" spans="1:5" ht="15">
      <c r="A1065" s="186" t="s">
        <v>745</v>
      </c>
      <c r="B1065" s="187" t="s">
        <v>618</v>
      </c>
      <c r="C1065" s="184">
        <f>C1066</f>
        <v>37785</v>
      </c>
      <c r="D1065" s="240"/>
      <c r="E1065" s="238"/>
    </row>
    <row r="1066" spans="1:5" ht="15">
      <c r="A1066" s="188"/>
      <c r="B1066" s="175" t="s">
        <v>599</v>
      </c>
      <c r="C1066" s="189">
        <f>SUM(C1067:C1081)</f>
        <v>37785</v>
      </c>
      <c r="D1066" s="240"/>
      <c r="E1066" s="238"/>
    </row>
    <row r="1067" spans="1:5" ht="15">
      <c r="A1067" s="166">
        <v>1</v>
      </c>
      <c r="B1067" s="190" t="s">
        <v>619</v>
      </c>
      <c r="C1067" s="183">
        <v>120</v>
      </c>
      <c r="D1067" s="240"/>
      <c r="E1067" s="238"/>
    </row>
    <row r="1068" spans="1:5" ht="30">
      <c r="A1068" s="166">
        <f>A1067+1</f>
        <v>2</v>
      </c>
      <c r="B1068" s="191" t="s">
        <v>620</v>
      </c>
      <c r="C1068" s="183">
        <v>216</v>
      </c>
      <c r="D1068" s="241"/>
      <c r="E1068" s="238"/>
    </row>
    <row r="1069" spans="1:5" ht="15">
      <c r="A1069" s="166">
        <f t="shared" ref="A1069:A1081" si="888">A1068+1</f>
        <v>3</v>
      </c>
      <c r="B1069" s="192" t="s">
        <v>621</v>
      </c>
      <c r="C1069" s="183">
        <v>2500</v>
      </c>
      <c r="D1069" s="241"/>
      <c r="E1069" s="238"/>
    </row>
    <row r="1070" spans="1:5" ht="15">
      <c r="A1070" s="166">
        <f t="shared" si="888"/>
        <v>4</v>
      </c>
      <c r="B1070" s="182" t="s">
        <v>622</v>
      </c>
      <c r="C1070" s="183">
        <v>240</v>
      </c>
      <c r="D1070" s="240"/>
      <c r="E1070" s="238"/>
    </row>
    <row r="1071" spans="1:5" ht="15">
      <c r="A1071" s="166">
        <f t="shared" si="888"/>
        <v>5</v>
      </c>
      <c r="B1071" s="193" t="s">
        <v>623</v>
      </c>
      <c r="C1071" s="250">
        <v>16</v>
      </c>
      <c r="D1071" s="241"/>
      <c r="E1071" s="238"/>
    </row>
    <row r="1072" spans="1:5" ht="15">
      <c r="A1072" s="166">
        <f t="shared" si="888"/>
        <v>6</v>
      </c>
      <c r="B1072" s="166" t="s">
        <v>805</v>
      </c>
      <c r="C1072" s="250">
        <v>12500</v>
      </c>
      <c r="D1072" s="241"/>
      <c r="E1072" s="238"/>
    </row>
    <row r="1073" spans="1:5" ht="15">
      <c r="A1073" s="166">
        <f t="shared" si="888"/>
        <v>7</v>
      </c>
      <c r="B1073" s="193" t="s">
        <v>746</v>
      </c>
      <c r="C1073" s="250">
        <v>21145</v>
      </c>
      <c r="D1073" s="241"/>
      <c r="E1073" s="238"/>
    </row>
    <row r="1074" spans="1:5" ht="30">
      <c r="A1074" s="166">
        <f t="shared" si="888"/>
        <v>8</v>
      </c>
      <c r="B1074" s="191" t="s">
        <v>810</v>
      </c>
      <c r="C1074" s="250">
        <v>325</v>
      </c>
      <c r="D1074" s="240"/>
      <c r="E1074" s="238"/>
    </row>
    <row r="1075" spans="1:5" ht="15">
      <c r="A1075" s="166">
        <f t="shared" si="888"/>
        <v>9</v>
      </c>
      <c r="B1075" s="191" t="s">
        <v>747</v>
      </c>
      <c r="C1075" s="250">
        <v>20</v>
      </c>
      <c r="D1075" s="241"/>
      <c r="E1075" s="238"/>
    </row>
    <row r="1076" spans="1:5" ht="30">
      <c r="A1076" s="166">
        <f t="shared" si="888"/>
        <v>10</v>
      </c>
      <c r="B1076" s="191" t="s">
        <v>748</v>
      </c>
      <c r="C1076" s="250">
        <v>30</v>
      </c>
      <c r="D1076" s="241"/>
      <c r="E1076" s="238"/>
    </row>
    <row r="1077" spans="1:5" ht="15">
      <c r="A1077" s="166">
        <f t="shared" si="888"/>
        <v>11</v>
      </c>
      <c r="B1077" s="193" t="s">
        <v>749</v>
      </c>
      <c r="C1077" s="250">
        <v>450</v>
      </c>
      <c r="D1077" s="240"/>
      <c r="E1077" s="238"/>
    </row>
    <row r="1078" spans="1:5" ht="30">
      <c r="A1078" s="166">
        <f t="shared" si="888"/>
        <v>12</v>
      </c>
      <c r="B1078" s="222" t="s">
        <v>750</v>
      </c>
      <c r="C1078" s="250">
        <v>11</v>
      </c>
      <c r="D1078" s="240"/>
      <c r="E1078" s="238"/>
    </row>
    <row r="1079" spans="1:5" ht="60">
      <c r="A1079" s="166">
        <f t="shared" si="888"/>
        <v>13</v>
      </c>
      <c r="B1079" s="222" t="s">
        <v>751</v>
      </c>
      <c r="C1079" s="250">
        <v>15</v>
      </c>
      <c r="D1079" s="241"/>
      <c r="E1079" s="238"/>
    </row>
    <row r="1080" spans="1:5" ht="30">
      <c r="A1080" s="166">
        <f t="shared" si="888"/>
        <v>14</v>
      </c>
      <c r="B1080" s="204" t="s">
        <v>806</v>
      </c>
      <c r="C1080" s="250">
        <v>167</v>
      </c>
      <c r="D1080" s="241"/>
      <c r="E1080" s="238"/>
    </row>
    <row r="1081" spans="1:5" ht="60">
      <c r="A1081" s="166">
        <f t="shared" si="888"/>
        <v>15</v>
      </c>
      <c r="B1081" s="228" t="s">
        <v>811</v>
      </c>
      <c r="C1081" s="250">
        <v>30</v>
      </c>
      <c r="D1081" s="241"/>
      <c r="E1081" s="238"/>
    </row>
    <row r="1082" spans="1:5" ht="15">
      <c r="A1082" s="186" t="s">
        <v>752</v>
      </c>
      <c r="B1082" s="187" t="s">
        <v>624</v>
      </c>
      <c r="C1082" s="184">
        <f>C1083</f>
        <v>1226</v>
      </c>
      <c r="D1082" s="240"/>
      <c r="E1082" s="238"/>
    </row>
    <row r="1083" spans="1:5" ht="15">
      <c r="A1083" s="164"/>
      <c r="B1083" s="175" t="s">
        <v>599</v>
      </c>
      <c r="C1083" s="189">
        <f>SUM(C1084:C1092)</f>
        <v>1226</v>
      </c>
      <c r="D1083" s="240"/>
      <c r="E1083" s="238"/>
    </row>
    <row r="1084" spans="1:5" ht="30">
      <c r="A1084" s="166">
        <v>1</v>
      </c>
      <c r="B1084" s="194" t="s">
        <v>625</v>
      </c>
      <c r="C1084" s="183">
        <v>854</v>
      </c>
      <c r="D1084" s="241"/>
      <c r="E1084" s="238"/>
    </row>
    <row r="1085" spans="1:5" ht="15">
      <c r="A1085" s="166">
        <v>2</v>
      </c>
      <c r="B1085" s="195" t="s">
        <v>753</v>
      </c>
      <c r="C1085" s="250">
        <v>68</v>
      </c>
      <c r="D1085" s="241"/>
      <c r="E1085" s="238"/>
    </row>
    <row r="1086" spans="1:5" ht="15">
      <c r="A1086" s="166">
        <v>3</v>
      </c>
      <c r="B1086" s="195" t="s">
        <v>754</v>
      </c>
      <c r="C1086" s="250">
        <v>76</v>
      </c>
      <c r="D1086" s="240"/>
      <c r="E1086" s="238"/>
    </row>
    <row r="1087" spans="1:5" ht="15">
      <c r="A1087" s="166">
        <v>4</v>
      </c>
      <c r="B1087" s="195" t="s">
        <v>755</v>
      </c>
      <c r="C1087" s="250">
        <v>14</v>
      </c>
      <c r="D1087" s="240"/>
      <c r="E1087" s="238"/>
    </row>
    <row r="1088" spans="1:5" ht="15">
      <c r="A1088" s="166">
        <v>5</v>
      </c>
      <c r="B1088" s="195" t="s">
        <v>756</v>
      </c>
      <c r="C1088" s="250">
        <v>5</v>
      </c>
      <c r="D1088" s="240"/>
      <c r="E1088" s="238"/>
    </row>
    <row r="1089" spans="1:5" ht="15">
      <c r="A1089" s="166">
        <v>6</v>
      </c>
      <c r="B1089" s="195" t="s">
        <v>757</v>
      </c>
      <c r="C1089" s="250">
        <v>6</v>
      </c>
      <c r="D1089" s="240"/>
      <c r="E1089" s="238"/>
    </row>
    <row r="1090" spans="1:5" ht="15">
      <c r="A1090" s="166">
        <v>7</v>
      </c>
      <c r="B1090" s="195" t="s">
        <v>758</v>
      </c>
      <c r="C1090" s="250">
        <v>37</v>
      </c>
      <c r="D1090" s="240"/>
      <c r="E1090" s="238"/>
    </row>
    <row r="1091" spans="1:5" ht="30">
      <c r="A1091" s="166">
        <v>8</v>
      </c>
      <c r="B1091" s="223" t="s">
        <v>759</v>
      </c>
      <c r="C1091" s="250">
        <v>36</v>
      </c>
      <c r="D1091" s="240"/>
      <c r="E1091" s="238"/>
    </row>
    <row r="1092" spans="1:5" ht="15">
      <c r="A1092" s="166">
        <v>9</v>
      </c>
      <c r="B1092" s="223" t="s">
        <v>760</v>
      </c>
      <c r="C1092" s="250">
        <v>130</v>
      </c>
      <c r="D1092" s="240"/>
      <c r="E1092" s="238"/>
    </row>
    <row r="1093" spans="1:5" ht="29.25">
      <c r="A1093" s="186" t="s">
        <v>761</v>
      </c>
      <c r="B1093" s="246" t="s">
        <v>762</v>
      </c>
      <c r="C1093" s="184">
        <f t="shared" ref="C1093" si="889">C1094</f>
        <v>609</v>
      </c>
      <c r="D1093" s="240"/>
      <c r="E1093" s="238"/>
    </row>
    <row r="1094" spans="1:5" ht="12.75" customHeight="1">
      <c r="A1094" s="196"/>
      <c r="B1094" s="175" t="s">
        <v>599</v>
      </c>
      <c r="C1094" s="189">
        <f>SUM(C1095:C1102)</f>
        <v>609</v>
      </c>
      <c r="D1094" s="241"/>
      <c r="E1094" s="238"/>
    </row>
    <row r="1095" spans="1:5" ht="15" hidden="1">
      <c r="A1095" s="166">
        <v>1</v>
      </c>
      <c r="B1095" s="197" t="s">
        <v>763</v>
      </c>
      <c r="C1095" s="183"/>
      <c r="D1095" s="240"/>
      <c r="E1095" s="238"/>
    </row>
    <row r="1096" spans="1:5" ht="15" hidden="1">
      <c r="A1096" s="166">
        <v>2</v>
      </c>
      <c r="B1096" s="197" t="s">
        <v>764</v>
      </c>
      <c r="C1096" s="183"/>
      <c r="D1096" s="237"/>
      <c r="E1096" s="238"/>
    </row>
    <row r="1097" spans="1:5" ht="15" hidden="1">
      <c r="A1097" s="166">
        <v>3</v>
      </c>
      <c r="B1097" s="195" t="s">
        <v>765</v>
      </c>
      <c r="C1097" s="183"/>
      <c r="D1097" s="237"/>
      <c r="E1097" s="238"/>
    </row>
    <row r="1098" spans="1:5" ht="15" hidden="1">
      <c r="A1098" s="166">
        <v>4</v>
      </c>
      <c r="B1098" s="195" t="s">
        <v>766</v>
      </c>
      <c r="C1098" s="183"/>
      <c r="D1098" s="240"/>
      <c r="E1098" s="238"/>
    </row>
    <row r="1099" spans="1:5" ht="15">
      <c r="A1099" s="166">
        <v>1</v>
      </c>
      <c r="B1099" s="197" t="s">
        <v>767</v>
      </c>
      <c r="C1099" s="250">
        <v>145</v>
      </c>
      <c r="D1099" s="237"/>
      <c r="E1099" s="238"/>
    </row>
    <row r="1100" spans="1:5" ht="15">
      <c r="A1100" s="166">
        <v>2</v>
      </c>
      <c r="B1100" s="197" t="s">
        <v>768</v>
      </c>
      <c r="C1100" s="250">
        <v>144</v>
      </c>
      <c r="D1100" s="237"/>
      <c r="E1100" s="238"/>
    </row>
    <row r="1101" spans="1:5" ht="15">
      <c r="A1101" s="166">
        <v>3</v>
      </c>
      <c r="B1101" s="197" t="s">
        <v>769</v>
      </c>
      <c r="C1101" s="250">
        <v>199</v>
      </c>
      <c r="D1101" s="242"/>
      <c r="E1101" s="238"/>
    </row>
    <row r="1102" spans="1:5" ht="15">
      <c r="A1102" s="166">
        <v>4</v>
      </c>
      <c r="B1102" s="197" t="s">
        <v>770</v>
      </c>
      <c r="C1102" s="250">
        <v>121</v>
      </c>
      <c r="D1102" s="243"/>
      <c r="E1102" s="238"/>
    </row>
    <row r="1103" spans="1:5" ht="15">
      <c r="A1103" s="186" t="s">
        <v>771</v>
      </c>
      <c r="B1103" s="187" t="s">
        <v>626</v>
      </c>
      <c r="C1103" s="184">
        <f t="shared" ref="C1103" si="890">C1104</f>
        <v>293</v>
      </c>
      <c r="D1103" s="243"/>
      <c r="E1103" s="238"/>
    </row>
    <row r="1104" spans="1:5" ht="15">
      <c r="A1104" s="196"/>
      <c r="B1104" s="175" t="s">
        <v>599</v>
      </c>
      <c r="C1104" s="189">
        <f>SUM(C1105:C1105)</f>
        <v>293</v>
      </c>
      <c r="D1104" s="243"/>
      <c r="E1104" s="238"/>
    </row>
    <row r="1105" spans="1:5" ht="15">
      <c r="A1105" s="166">
        <v>1</v>
      </c>
      <c r="B1105" s="197" t="s">
        <v>627</v>
      </c>
      <c r="C1105" s="183">
        <v>293</v>
      </c>
      <c r="D1105" s="243"/>
      <c r="E1105" s="238"/>
    </row>
    <row r="1106" spans="1:5" ht="15">
      <c r="A1106" s="186" t="s">
        <v>772</v>
      </c>
      <c r="B1106" s="187" t="s">
        <v>773</v>
      </c>
      <c r="C1106" s="184">
        <f>C1107</f>
        <v>195</v>
      </c>
      <c r="D1106" s="243"/>
      <c r="E1106" s="238"/>
    </row>
    <row r="1107" spans="1:5" ht="15">
      <c r="A1107" s="166"/>
      <c r="B1107" s="175" t="s">
        <v>599</v>
      </c>
      <c r="C1107" s="189">
        <f>C1108</f>
        <v>195</v>
      </c>
      <c r="D1107" s="243"/>
      <c r="E1107" s="238"/>
    </row>
    <row r="1108" spans="1:5" ht="15">
      <c r="A1108" s="166">
        <v>1</v>
      </c>
      <c r="B1108" s="195" t="s">
        <v>774</v>
      </c>
      <c r="C1108" s="250">
        <v>195</v>
      </c>
      <c r="D1108" s="241"/>
      <c r="E1108" s="238"/>
    </row>
    <row r="1109" spans="1:5" ht="25.5">
      <c r="A1109" s="186" t="s">
        <v>775</v>
      </c>
      <c r="B1109" s="224" t="s">
        <v>776</v>
      </c>
      <c r="C1109" s="184">
        <f t="shared" ref="C1109" si="891">C1110</f>
        <v>590</v>
      </c>
      <c r="D1109" s="241"/>
      <c r="E1109" s="238"/>
    </row>
    <row r="1110" spans="1:5" ht="15">
      <c r="A1110" s="196"/>
      <c r="B1110" s="175" t="s">
        <v>599</v>
      </c>
      <c r="C1110" s="189">
        <f>SUM(C1111:C1112)</f>
        <v>590</v>
      </c>
      <c r="D1110" s="240"/>
      <c r="E1110" s="238"/>
    </row>
    <row r="1111" spans="1:5" ht="15">
      <c r="A1111" s="166">
        <v>1</v>
      </c>
      <c r="B1111" s="225" t="s">
        <v>777</v>
      </c>
      <c r="C1111" s="250">
        <v>316</v>
      </c>
      <c r="D1111" s="241"/>
      <c r="E1111" s="238"/>
    </row>
    <row r="1112" spans="1:5" ht="15">
      <c r="A1112" s="166">
        <v>2</v>
      </c>
      <c r="B1112" s="226" t="s">
        <v>778</v>
      </c>
      <c r="C1112" s="250">
        <v>274</v>
      </c>
      <c r="D1112" s="240"/>
      <c r="E1112" s="238"/>
    </row>
    <row r="1113" spans="1:5" ht="15">
      <c r="A1113" s="186" t="s">
        <v>779</v>
      </c>
      <c r="B1113" s="187" t="s">
        <v>628</v>
      </c>
      <c r="C1113" s="184">
        <f>C1114</f>
        <v>656</v>
      </c>
      <c r="D1113" s="240"/>
      <c r="E1113" s="238"/>
    </row>
    <row r="1114" spans="1:5" ht="14.25">
      <c r="A1114" s="196"/>
      <c r="B1114" s="175" t="s">
        <v>599</v>
      </c>
      <c r="C1114" s="189">
        <f>C1115+C1116+C1117+C1118</f>
        <v>656</v>
      </c>
      <c r="D1114" s="237"/>
      <c r="E1114" s="238"/>
    </row>
    <row r="1115" spans="1:5" ht="15">
      <c r="A1115" s="166">
        <v>1</v>
      </c>
      <c r="B1115" s="195" t="s">
        <v>629</v>
      </c>
      <c r="C1115" s="183">
        <v>6</v>
      </c>
      <c r="D1115" s="237"/>
      <c r="E1115" s="238"/>
    </row>
    <row r="1116" spans="1:5" ht="90">
      <c r="A1116" s="166">
        <v>2</v>
      </c>
      <c r="B1116" s="169" t="s">
        <v>630</v>
      </c>
      <c r="C1116" s="183">
        <v>300</v>
      </c>
      <c r="D1116" s="237"/>
      <c r="E1116" s="238"/>
    </row>
    <row r="1117" spans="1:5" ht="30">
      <c r="A1117" s="166">
        <v>3</v>
      </c>
      <c r="B1117" s="195" t="s">
        <v>780</v>
      </c>
      <c r="C1117" s="250">
        <v>330</v>
      </c>
      <c r="D1117" s="239"/>
      <c r="E1117" s="238"/>
    </row>
    <row r="1118" spans="1:5" ht="15">
      <c r="A1118" s="166">
        <v>4</v>
      </c>
      <c r="B1118" s="195" t="s">
        <v>781</v>
      </c>
      <c r="C1118" s="250">
        <v>20</v>
      </c>
      <c r="D1118" s="239"/>
      <c r="E1118" s="238"/>
    </row>
    <row r="1119" spans="1:5" ht="15">
      <c r="A1119" s="186" t="s">
        <v>798</v>
      </c>
      <c r="B1119" s="187" t="s">
        <v>631</v>
      </c>
      <c r="C1119" s="184">
        <f>SUM(C1121:C1128)</f>
        <v>85</v>
      </c>
      <c r="D1119" s="239"/>
      <c r="E1119" s="238"/>
    </row>
    <row r="1120" spans="1:5" ht="14.25">
      <c r="A1120" s="196"/>
      <c r="B1120" s="175" t="s">
        <v>599</v>
      </c>
      <c r="C1120" s="189">
        <f>SUM(C1121:C1128)</f>
        <v>85</v>
      </c>
      <c r="D1120" s="237"/>
      <c r="E1120" s="238"/>
    </row>
    <row r="1121" spans="1:5" ht="15">
      <c r="A1121" s="166">
        <v>1</v>
      </c>
      <c r="B1121" s="197" t="s">
        <v>632</v>
      </c>
      <c r="C1121" s="183">
        <v>41</v>
      </c>
      <c r="D1121" s="239"/>
      <c r="E1121" s="238"/>
    </row>
    <row r="1122" spans="1:5" ht="15">
      <c r="A1122" s="166">
        <v>2</v>
      </c>
      <c r="B1122" s="197" t="s">
        <v>633</v>
      </c>
      <c r="C1122" s="183">
        <v>5</v>
      </c>
      <c r="D1122" s="239"/>
      <c r="E1122" s="238"/>
    </row>
    <row r="1123" spans="1:5" ht="15">
      <c r="A1123" s="166">
        <v>3</v>
      </c>
      <c r="B1123" s="197" t="s">
        <v>634</v>
      </c>
      <c r="C1123" s="183">
        <v>12</v>
      </c>
      <c r="D1123" s="239"/>
      <c r="E1123" s="238"/>
    </row>
    <row r="1124" spans="1:5" ht="15">
      <c r="A1124" s="166">
        <v>4</v>
      </c>
      <c r="B1124" s="197" t="s">
        <v>635</v>
      </c>
      <c r="C1124" s="183">
        <v>7</v>
      </c>
      <c r="D1124" s="239"/>
      <c r="E1124" s="238"/>
    </row>
    <row r="1125" spans="1:5" ht="15">
      <c r="A1125" s="166">
        <v>5</v>
      </c>
      <c r="B1125" s="197" t="s">
        <v>636</v>
      </c>
      <c r="C1125" s="183">
        <v>4</v>
      </c>
      <c r="D1125" s="239"/>
      <c r="E1125" s="238"/>
    </row>
    <row r="1126" spans="1:5" ht="15">
      <c r="A1126" s="166">
        <v>6</v>
      </c>
      <c r="B1126" s="197" t="s">
        <v>637</v>
      </c>
      <c r="C1126" s="183">
        <v>6</v>
      </c>
      <c r="D1126" s="237"/>
      <c r="E1126" s="238"/>
    </row>
    <row r="1127" spans="1:5" ht="13.5" customHeight="1">
      <c r="A1127" s="166">
        <v>7</v>
      </c>
      <c r="B1127" s="197" t="s">
        <v>638</v>
      </c>
      <c r="C1127" s="183">
        <v>4</v>
      </c>
      <c r="D1127" s="239"/>
      <c r="E1127" s="238"/>
    </row>
    <row r="1128" spans="1:5" ht="15">
      <c r="A1128" s="166">
        <v>8</v>
      </c>
      <c r="B1128" s="197" t="s">
        <v>639</v>
      </c>
      <c r="C1128" s="183">
        <v>6</v>
      </c>
      <c r="D1128" s="239"/>
      <c r="E1128" s="238"/>
    </row>
    <row r="1129" spans="1:5" ht="15">
      <c r="A1129" s="162">
        <v>5</v>
      </c>
      <c r="B1129" s="162" t="s">
        <v>640</v>
      </c>
      <c r="C1129" s="163">
        <f t="shared" ref="C1129" si="892">C1130+C1133+C1138+C1142</f>
        <v>1170</v>
      </c>
      <c r="D1129" s="239"/>
      <c r="E1129" s="238"/>
    </row>
    <row r="1130" spans="1:5" ht="29.25">
      <c r="A1130" s="186" t="s">
        <v>641</v>
      </c>
      <c r="B1130" s="198" t="s">
        <v>642</v>
      </c>
      <c r="C1130" s="163">
        <f>C1131</f>
        <v>85</v>
      </c>
      <c r="D1130" s="239"/>
      <c r="E1130" s="238"/>
    </row>
    <row r="1131" spans="1:5" ht="15">
      <c r="A1131" s="175"/>
      <c r="B1131" s="164" t="s">
        <v>587</v>
      </c>
      <c r="C1131" s="176">
        <f>C1132</f>
        <v>85</v>
      </c>
      <c r="D1131" s="239"/>
      <c r="E1131" s="238"/>
    </row>
    <row r="1132" spans="1:5" ht="15">
      <c r="A1132" s="174">
        <v>1</v>
      </c>
      <c r="B1132" s="174" t="s">
        <v>643</v>
      </c>
      <c r="C1132" s="178">
        <v>85</v>
      </c>
      <c r="D1132" s="239"/>
      <c r="E1132" s="238"/>
    </row>
    <row r="1133" spans="1:5" ht="15">
      <c r="A1133" s="186" t="s">
        <v>644</v>
      </c>
      <c r="B1133" s="199" t="s">
        <v>334</v>
      </c>
      <c r="C1133" s="163">
        <f t="shared" ref="C1133" si="893">C1134+C1136</f>
        <v>160</v>
      </c>
      <c r="D1133" s="239"/>
      <c r="E1133" s="238"/>
    </row>
    <row r="1134" spans="1:5" ht="15">
      <c r="A1134" s="200"/>
      <c r="B1134" s="164" t="s">
        <v>587</v>
      </c>
      <c r="C1134" s="165">
        <f>C1135</f>
        <v>160</v>
      </c>
      <c r="D1134" s="239"/>
      <c r="E1134" s="238"/>
    </row>
    <row r="1135" spans="1:5" ht="30">
      <c r="A1135" s="200" t="s">
        <v>645</v>
      </c>
      <c r="B1135" s="182" t="s">
        <v>782</v>
      </c>
      <c r="C1135" s="168">
        <v>160</v>
      </c>
      <c r="D1135" s="244"/>
      <c r="E1135" s="238"/>
    </row>
    <row r="1136" spans="1:5" ht="15">
      <c r="A1136" s="200"/>
      <c r="B1136" s="175" t="s">
        <v>599</v>
      </c>
      <c r="C1136" s="165">
        <f t="shared" ref="C1136" si="894">C1137</f>
        <v>0</v>
      </c>
      <c r="D1136" s="239"/>
      <c r="E1136" s="238"/>
    </row>
    <row r="1137" spans="1:5" ht="15">
      <c r="A1137" s="200" t="s">
        <v>645</v>
      </c>
      <c r="B1137" s="182" t="s">
        <v>783</v>
      </c>
      <c r="C1137" s="168"/>
      <c r="D1137" s="239"/>
      <c r="E1137" s="238"/>
    </row>
    <row r="1138" spans="1:5" ht="29.25">
      <c r="A1138" s="186" t="s">
        <v>646</v>
      </c>
      <c r="B1138" s="198" t="s">
        <v>342</v>
      </c>
      <c r="C1138" s="163">
        <f t="shared" ref="C1138" si="895">C1139</f>
        <v>210</v>
      </c>
      <c r="D1138" s="239"/>
      <c r="E1138" s="238"/>
    </row>
    <row r="1139" spans="1:5" ht="15">
      <c r="A1139" s="201"/>
      <c r="B1139" s="175" t="s">
        <v>599</v>
      </c>
      <c r="C1139" s="176">
        <f>C1140+C1141</f>
        <v>210</v>
      </c>
      <c r="D1139" s="239"/>
      <c r="E1139" s="238"/>
    </row>
    <row r="1140" spans="1:5" ht="15">
      <c r="A1140" s="202">
        <v>1</v>
      </c>
      <c r="B1140" s="180" t="s">
        <v>647</v>
      </c>
      <c r="C1140" s="178">
        <v>150</v>
      </c>
      <c r="D1140" s="239"/>
      <c r="E1140" s="238"/>
    </row>
    <row r="1141" spans="1:5" ht="15">
      <c r="A1141" s="202">
        <v>2</v>
      </c>
      <c r="B1141" s="180" t="s">
        <v>648</v>
      </c>
      <c r="C1141" s="178">
        <v>60</v>
      </c>
      <c r="D1141" s="239"/>
      <c r="E1141" s="238"/>
    </row>
    <row r="1142" spans="1:5" ht="14.25">
      <c r="A1142" s="186" t="s">
        <v>649</v>
      </c>
      <c r="B1142" s="198" t="s">
        <v>650</v>
      </c>
      <c r="C1142" s="163">
        <f>C1144</f>
        <v>715</v>
      </c>
      <c r="D1142" s="237"/>
      <c r="E1142" s="238"/>
    </row>
    <row r="1143" spans="1:5" ht="14.25">
      <c r="A1143" s="201"/>
      <c r="B1143" s="175" t="s">
        <v>599</v>
      </c>
      <c r="C1143" s="176">
        <f>C1144</f>
        <v>715</v>
      </c>
      <c r="D1143" s="237"/>
      <c r="E1143" s="238"/>
    </row>
    <row r="1144" spans="1:5" ht="45">
      <c r="A1144" s="202">
        <v>1</v>
      </c>
      <c r="B1144" s="227" t="s">
        <v>651</v>
      </c>
      <c r="C1144" s="178">
        <v>715</v>
      </c>
      <c r="D1144" s="239"/>
      <c r="E1144" s="238"/>
    </row>
    <row r="1145" spans="1:5" ht="15.75">
      <c r="A1145" s="162">
        <v>6</v>
      </c>
      <c r="B1145" s="162" t="s">
        <v>652</v>
      </c>
      <c r="C1145" s="163">
        <f>C1146+C1160+C1163+C1169+C1181+C1172+C1178+C1196</f>
        <v>2355</v>
      </c>
      <c r="D1145" s="245"/>
      <c r="E1145" s="238"/>
    </row>
    <row r="1146" spans="1:5" ht="42.75">
      <c r="A1146" s="186" t="s">
        <v>653</v>
      </c>
      <c r="B1146" s="198" t="s">
        <v>654</v>
      </c>
      <c r="C1146" s="163">
        <f>C1147+C1152</f>
        <v>903</v>
      </c>
      <c r="D1146" s="238"/>
      <c r="E1146" s="238"/>
    </row>
    <row r="1147" spans="1:5" ht="14.25">
      <c r="A1147" s="175"/>
      <c r="B1147" s="175" t="s">
        <v>599</v>
      </c>
      <c r="C1147" s="176">
        <f>C1148+C1149+C1150+C1151</f>
        <v>323</v>
      </c>
      <c r="D1147" s="238"/>
      <c r="E1147" s="238"/>
    </row>
    <row r="1148" spans="1:5" ht="15">
      <c r="A1148" s="174">
        <v>1</v>
      </c>
      <c r="B1148" s="203" t="s">
        <v>655</v>
      </c>
      <c r="C1148" s="183">
        <v>2</v>
      </c>
      <c r="D1148" s="238"/>
      <c r="E1148" s="238"/>
    </row>
    <row r="1149" spans="1:5" ht="120">
      <c r="A1149" s="174">
        <v>2</v>
      </c>
      <c r="B1149" s="182" t="s">
        <v>784</v>
      </c>
      <c r="C1149" s="249">
        <v>107</v>
      </c>
      <c r="D1149" s="238"/>
      <c r="E1149" s="238"/>
    </row>
    <row r="1150" spans="1:5" ht="120">
      <c r="A1150" s="174">
        <v>3</v>
      </c>
      <c r="B1150" s="182" t="s">
        <v>785</v>
      </c>
      <c r="C1150" s="249">
        <v>107</v>
      </c>
      <c r="D1150" s="238"/>
      <c r="E1150" s="238"/>
    </row>
    <row r="1151" spans="1:5" ht="120">
      <c r="A1151" s="174">
        <v>4</v>
      </c>
      <c r="B1151" s="182" t="s">
        <v>786</v>
      </c>
      <c r="C1151" s="249">
        <v>107</v>
      </c>
      <c r="D1151" s="238"/>
      <c r="E1151" s="238"/>
    </row>
    <row r="1152" spans="1:5" ht="14.25">
      <c r="A1152" s="175"/>
      <c r="B1152" s="164" t="s">
        <v>587</v>
      </c>
      <c r="C1152" s="189">
        <f>C1153+C1154+C1155+C1156+C1157+C1158+C1159</f>
        <v>580</v>
      </c>
      <c r="D1152" s="238"/>
      <c r="E1152" s="238"/>
    </row>
    <row r="1153" spans="1:5" ht="30">
      <c r="A1153" s="174">
        <v>1</v>
      </c>
      <c r="B1153" s="228" t="s">
        <v>787</v>
      </c>
      <c r="C1153" s="183">
        <v>33</v>
      </c>
      <c r="D1153" s="238"/>
      <c r="E1153" s="238"/>
    </row>
    <row r="1154" spans="1:5" ht="30">
      <c r="A1154" s="174">
        <v>2</v>
      </c>
      <c r="B1154" s="205" t="s">
        <v>788</v>
      </c>
      <c r="C1154" s="183">
        <v>20</v>
      </c>
      <c r="D1154" s="238"/>
      <c r="E1154" s="238"/>
    </row>
    <row r="1155" spans="1:5" ht="30">
      <c r="A1155" s="174">
        <v>3</v>
      </c>
      <c r="B1155" s="229" t="s">
        <v>789</v>
      </c>
      <c r="C1155" s="250">
        <v>40</v>
      </c>
      <c r="D1155" s="238"/>
      <c r="E1155" s="238"/>
    </row>
    <row r="1156" spans="1:5" ht="30">
      <c r="A1156" s="174">
        <v>4</v>
      </c>
      <c r="B1156" s="229" t="s">
        <v>790</v>
      </c>
      <c r="C1156" s="250">
        <v>155</v>
      </c>
      <c r="D1156" s="238"/>
      <c r="E1156" s="238"/>
    </row>
    <row r="1157" spans="1:5" ht="30">
      <c r="A1157" s="174">
        <v>5</v>
      </c>
      <c r="B1157" s="229" t="s">
        <v>791</v>
      </c>
      <c r="C1157" s="250">
        <v>165</v>
      </c>
      <c r="D1157" s="238"/>
      <c r="E1157" s="238"/>
    </row>
    <row r="1158" spans="1:5" ht="45">
      <c r="A1158" s="174"/>
      <c r="B1158" s="59" t="s">
        <v>737</v>
      </c>
      <c r="C1158" s="250">
        <v>164</v>
      </c>
      <c r="D1158" s="238"/>
      <c r="E1158" s="238"/>
    </row>
    <row r="1159" spans="1:5" ht="30">
      <c r="A1159" s="174"/>
      <c r="B1159" s="59" t="s">
        <v>803</v>
      </c>
      <c r="C1159" s="250">
        <v>3</v>
      </c>
      <c r="D1159" s="238"/>
      <c r="E1159" s="238"/>
    </row>
    <row r="1160" spans="1:5" ht="14.25">
      <c r="A1160" s="186" t="s">
        <v>656</v>
      </c>
      <c r="B1160" s="199" t="s">
        <v>376</v>
      </c>
      <c r="C1160" s="163">
        <f>C1161</f>
        <v>71</v>
      </c>
      <c r="D1160" s="238"/>
      <c r="E1160" s="238"/>
    </row>
    <row r="1161" spans="1:5" ht="14.25">
      <c r="A1161" s="175"/>
      <c r="B1161" s="175" t="s">
        <v>599</v>
      </c>
      <c r="C1161" s="176">
        <f>C1162</f>
        <v>71</v>
      </c>
      <c r="D1161" s="238"/>
      <c r="E1161" s="238"/>
    </row>
    <row r="1162" spans="1:5" ht="30">
      <c r="A1162" s="174">
        <v>1</v>
      </c>
      <c r="B1162" s="182" t="s">
        <v>657</v>
      </c>
      <c r="C1162" s="183">
        <v>71</v>
      </c>
      <c r="D1162" s="238"/>
      <c r="E1162" s="238"/>
    </row>
    <row r="1163" spans="1:5" ht="28.5">
      <c r="A1163" s="186" t="s">
        <v>658</v>
      </c>
      <c r="B1163" s="198" t="s">
        <v>379</v>
      </c>
      <c r="C1163" s="184">
        <f>C1164</f>
        <v>68</v>
      </c>
      <c r="D1163" s="238"/>
      <c r="E1163" s="238"/>
    </row>
    <row r="1164" spans="1:5" ht="14.25">
      <c r="A1164" s="175"/>
      <c r="B1164" s="175" t="s">
        <v>599</v>
      </c>
      <c r="C1164" s="189">
        <f>C1167+C1168+C1165+C1166</f>
        <v>68</v>
      </c>
      <c r="D1164" s="238"/>
      <c r="E1164" s="238"/>
    </row>
    <row r="1165" spans="1:5" ht="15">
      <c r="A1165" s="174">
        <v>1</v>
      </c>
      <c r="B1165" s="182" t="s">
        <v>659</v>
      </c>
      <c r="C1165" s="183">
        <v>7</v>
      </c>
      <c r="D1165" s="238"/>
      <c r="E1165" s="238"/>
    </row>
    <row r="1166" spans="1:5" ht="30">
      <c r="A1166" s="174">
        <v>2</v>
      </c>
      <c r="B1166" s="182" t="s">
        <v>660</v>
      </c>
      <c r="C1166" s="183">
        <v>12</v>
      </c>
      <c r="D1166" s="238"/>
      <c r="E1166" s="238"/>
    </row>
    <row r="1167" spans="1:5" ht="30">
      <c r="A1167" s="174">
        <v>3</v>
      </c>
      <c r="B1167" s="182" t="s">
        <v>661</v>
      </c>
      <c r="C1167" s="183">
        <v>38</v>
      </c>
      <c r="D1167" s="238"/>
      <c r="E1167" s="238"/>
    </row>
    <row r="1168" spans="1:5" ht="30">
      <c r="A1168" s="174">
        <v>4</v>
      </c>
      <c r="B1168" s="182" t="s">
        <v>662</v>
      </c>
      <c r="C1168" s="183">
        <v>11</v>
      </c>
      <c r="D1168" s="238"/>
      <c r="E1168" s="238"/>
    </row>
    <row r="1169" spans="1:5" ht="28.5">
      <c r="A1169" s="186" t="s">
        <v>663</v>
      </c>
      <c r="B1169" s="198" t="s">
        <v>381</v>
      </c>
      <c r="C1169" s="184">
        <f>C1170</f>
        <v>24</v>
      </c>
      <c r="D1169" s="238"/>
      <c r="E1169" s="238"/>
    </row>
    <row r="1170" spans="1:5" ht="15">
      <c r="A1170" s="174"/>
      <c r="B1170" s="175" t="s">
        <v>599</v>
      </c>
      <c r="C1170" s="189">
        <f>C1171</f>
        <v>24</v>
      </c>
      <c r="D1170" s="238"/>
      <c r="E1170" s="238"/>
    </row>
    <row r="1171" spans="1:5" ht="30">
      <c r="A1171" s="174">
        <v>1</v>
      </c>
      <c r="B1171" s="182" t="s">
        <v>664</v>
      </c>
      <c r="C1171" s="183">
        <v>24</v>
      </c>
      <c r="D1171" s="238"/>
      <c r="E1171" s="238"/>
    </row>
    <row r="1172" spans="1:5" ht="28.5">
      <c r="A1172" s="186" t="s">
        <v>665</v>
      </c>
      <c r="B1172" s="198" t="s">
        <v>666</v>
      </c>
      <c r="C1172" s="184">
        <f>C1173</f>
        <v>37</v>
      </c>
      <c r="D1172" s="238"/>
      <c r="E1172" s="238"/>
    </row>
    <row r="1173" spans="1:5" ht="15">
      <c r="A1173" s="174"/>
      <c r="B1173" s="175" t="s">
        <v>599</v>
      </c>
      <c r="C1173" s="189">
        <f>C1174</f>
        <v>37</v>
      </c>
      <c r="D1173" s="238"/>
      <c r="E1173" s="238"/>
    </row>
    <row r="1174" spans="1:5" ht="15">
      <c r="A1174" s="174">
        <v>1</v>
      </c>
      <c r="B1174" s="182" t="s">
        <v>667</v>
      </c>
      <c r="C1174" s="183">
        <v>37</v>
      </c>
      <c r="D1174" s="238"/>
      <c r="E1174" s="238"/>
    </row>
    <row r="1175" spans="1:5" ht="28.5">
      <c r="A1175" s="186" t="s">
        <v>670</v>
      </c>
      <c r="B1175" s="206" t="s">
        <v>668</v>
      </c>
      <c r="C1175" s="184"/>
      <c r="D1175" s="238"/>
      <c r="E1175" s="238"/>
    </row>
    <row r="1176" spans="1:5" ht="14.25">
      <c r="A1176" s="196"/>
      <c r="B1176" s="175" t="s">
        <v>599</v>
      </c>
      <c r="C1176" s="189">
        <f t="shared" ref="C1176" si="896">C1177</f>
        <v>0</v>
      </c>
      <c r="D1176" s="238"/>
      <c r="E1176" s="238"/>
    </row>
    <row r="1177" spans="1:5" ht="15">
      <c r="A1177" s="174">
        <v>1</v>
      </c>
      <c r="B1177" s="46" t="s">
        <v>669</v>
      </c>
      <c r="C1177" s="183"/>
      <c r="D1177" s="238"/>
      <c r="E1177" s="238"/>
    </row>
    <row r="1178" spans="1:5" ht="14.25">
      <c r="A1178" s="186" t="s">
        <v>673</v>
      </c>
      <c r="B1178" s="199" t="s">
        <v>671</v>
      </c>
      <c r="C1178" s="163">
        <f>C1179</f>
        <v>35</v>
      </c>
      <c r="D1178" s="238"/>
      <c r="E1178" s="238"/>
    </row>
    <row r="1179" spans="1:5" ht="14.25">
      <c r="A1179" s="175"/>
      <c r="B1179" s="175" t="s">
        <v>599</v>
      </c>
      <c r="C1179" s="176">
        <f>C1180</f>
        <v>35</v>
      </c>
      <c r="D1179" s="238"/>
      <c r="E1179" s="238"/>
    </row>
    <row r="1180" spans="1:5" ht="15">
      <c r="A1180" s="174">
        <v>1</v>
      </c>
      <c r="B1180" s="180" t="s">
        <v>672</v>
      </c>
      <c r="C1180" s="183">
        <v>35</v>
      </c>
      <c r="D1180" s="238"/>
      <c r="E1180" s="238"/>
    </row>
    <row r="1181" spans="1:5" ht="14.25">
      <c r="A1181" s="186" t="s">
        <v>688</v>
      </c>
      <c r="B1181" s="199" t="s">
        <v>674</v>
      </c>
      <c r="C1181" s="163">
        <f>C1182</f>
        <v>1145</v>
      </c>
      <c r="D1181" s="238"/>
      <c r="E1181" s="238"/>
    </row>
    <row r="1182" spans="1:5" ht="14.25">
      <c r="A1182" s="175"/>
      <c r="B1182" s="175" t="s">
        <v>599</v>
      </c>
      <c r="C1182" s="176">
        <f>SUM(C1183:C1195)</f>
        <v>1145</v>
      </c>
      <c r="D1182" s="238"/>
      <c r="E1182" s="238"/>
    </row>
    <row r="1183" spans="1:5" ht="45">
      <c r="A1183" s="174">
        <v>1</v>
      </c>
      <c r="B1183" s="169" t="s">
        <v>675</v>
      </c>
      <c r="C1183" s="207">
        <v>550</v>
      </c>
      <c r="D1183" s="238"/>
      <c r="E1183" s="238"/>
    </row>
    <row r="1184" spans="1:5" ht="30">
      <c r="A1184" s="174">
        <v>2</v>
      </c>
      <c r="B1184" s="182" t="s">
        <v>676</v>
      </c>
      <c r="C1184" s="208">
        <v>253</v>
      </c>
      <c r="D1184" s="238"/>
      <c r="E1184" s="238"/>
    </row>
    <row r="1185" spans="1:5" ht="15">
      <c r="A1185" s="174">
        <v>3</v>
      </c>
      <c r="B1185" s="182" t="s">
        <v>677</v>
      </c>
      <c r="C1185" s="208">
        <v>14</v>
      </c>
      <c r="D1185" s="238"/>
      <c r="E1185" s="238"/>
    </row>
    <row r="1186" spans="1:5" ht="15">
      <c r="A1186" s="174">
        <v>4</v>
      </c>
      <c r="B1186" s="182" t="s">
        <v>678</v>
      </c>
      <c r="C1186" s="208">
        <v>6</v>
      </c>
      <c r="D1186" s="238"/>
      <c r="E1186" s="238"/>
    </row>
    <row r="1187" spans="1:5" ht="15">
      <c r="A1187" s="174">
        <v>5</v>
      </c>
      <c r="B1187" s="182" t="s">
        <v>679</v>
      </c>
      <c r="C1187" s="208">
        <v>24</v>
      </c>
      <c r="D1187" s="238"/>
      <c r="E1187" s="238"/>
    </row>
    <row r="1188" spans="1:5" ht="15">
      <c r="A1188" s="174">
        <v>6</v>
      </c>
      <c r="B1188" s="182" t="s">
        <v>680</v>
      </c>
      <c r="C1188" s="208">
        <v>10</v>
      </c>
      <c r="D1188" s="238"/>
      <c r="E1188" s="238"/>
    </row>
    <row r="1189" spans="1:5" ht="15">
      <c r="A1189" s="174">
        <v>7</v>
      </c>
      <c r="B1189" s="182" t="s">
        <v>681</v>
      </c>
      <c r="C1189" s="208">
        <v>81</v>
      </c>
      <c r="D1189" s="238"/>
      <c r="E1189" s="238"/>
    </row>
    <row r="1190" spans="1:5" ht="15">
      <c r="A1190" s="174">
        <v>8</v>
      </c>
      <c r="B1190" s="182" t="s">
        <v>682</v>
      </c>
      <c r="C1190" s="208">
        <v>3</v>
      </c>
      <c r="D1190" s="238"/>
      <c r="E1190" s="238"/>
    </row>
    <row r="1191" spans="1:5" ht="15">
      <c r="A1191" s="174">
        <v>9</v>
      </c>
      <c r="B1191" s="182" t="s">
        <v>683</v>
      </c>
      <c r="C1191" s="208">
        <v>11</v>
      </c>
      <c r="D1191" s="238"/>
      <c r="E1191" s="238"/>
    </row>
    <row r="1192" spans="1:5" ht="15">
      <c r="A1192" s="174">
        <v>10</v>
      </c>
      <c r="B1192" s="182" t="s">
        <v>684</v>
      </c>
      <c r="C1192" s="208">
        <v>12</v>
      </c>
      <c r="D1192" s="238"/>
      <c r="E1192" s="238"/>
    </row>
    <row r="1193" spans="1:5" ht="15">
      <c r="A1193" s="174">
        <v>11</v>
      </c>
      <c r="B1193" s="182" t="s">
        <v>685</v>
      </c>
      <c r="C1193" s="208">
        <v>22</v>
      </c>
      <c r="D1193" s="238"/>
      <c r="E1193" s="238"/>
    </row>
    <row r="1194" spans="1:5" ht="30">
      <c r="A1194" s="174">
        <v>12</v>
      </c>
      <c r="B1194" s="182" t="s">
        <v>686</v>
      </c>
      <c r="C1194" s="208">
        <v>104</v>
      </c>
      <c r="D1194" s="238"/>
      <c r="E1194" s="238"/>
    </row>
    <row r="1195" spans="1:5" ht="15">
      <c r="A1195" s="174">
        <v>13</v>
      </c>
      <c r="B1195" s="182" t="s">
        <v>687</v>
      </c>
      <c r="C1195" s="208">
        <v>55</v>
      </c>
      <c r="D1195" s="238"/>
      <c r="E1195" s="238"/>
    </row>
    <row r="1196" spans="1:5" ht="28.5">
      <c r="A1196" s="230" t="s">
        <v>792</v>
      </c>
      <c r="B1196" s="198" t="s">
        <v>689</v>
      </c>
      <c r="C1196" s="184">
        <f>C1198+C1199</f>
        <v>72</v>
      </c>
      <c r="D1196" s="238"/>
      <c r="E1196" s="238"/>
    </row>
    <row r="1197" spans="1:5" ht="14.25">
      <c r="A1197" s="231"/>
      <c r="B1197" s="175" t="s">
        <v>599</v>
      </c>
      <c r="C1197" s="189">
        <f t="shared" ref="C1197" si="897">C1198+C1199</f>
        <v>72</v>
      </c>
      <c r="D1197" s="238"/>
      <c r="E1197" s="238"/>
    </row>
    <row r="1198" spans="1:5" ht="15">
      <c r="A1198" s="174">
        <v>1</v>
      </c>
      <c r="B1198" s="180" t="s">
        <v>690</v>
      </c>
      <c r="C1198" s="183">
        <v>63</v>
      </c>
      <c r="D1198" s="238"/>
      <c r="E1198" s="238"/>
    </row>
    <row r="1199" spans="1:5" ht="15">
      <c r="A1199" s="174">
        <v>2</v>
      </c>
      <c r="B1199" s="180" t="s">
        <v>669</v>
      </c>
      <c r="C1199" s="183">
        <v>9</v>
      </c>
      <c r="D1199" s="238"/>
      <c r="E1199" s="238"/>
    </row>
    <row r="1200" spans="1:5" ht="14.25">
      <c r="A1200" s="162">
        <v>7</v>
      </c>
      <c r="B1200" s="162" t="s">
        <v>691</v>
      </c>
      <c r="C1200" s="163">
        <f>C1201</f>
        <v>324</v>
      </c>
      <c r="D1200" s="238"/>
      <c r="E1200" s="238"/>
    </row>
    <row r="1201" spans="1:5" ht="14.25">
      <c r="A1201" s="186" t="s">
        <v>692</v>
      </c>
      <c r="B1201" s="199" t="s">
        <v>407</v>
      </c>
      <c r="C1201" s="163">
        <f>C1202</f>
        <v>324</v>
      </c>
      <c r="D1201" s="238"/>
      <c r="E1201" s="238"/>
    </row>
    <row r="1202" spans="1:5" ht="15">
      <c r="A1202" s="174"/>
      <c r="B1202" s="175" t="s">
        <v>599</v>
      </c>
      <c r="C1202" s="176">
        <f>C1203+C1204+C1205+C1206</f>
        <v>324</v>
      </c>
      <c r="D1202" s="238"/>
      <c r="E1202" s="238"/>
    </row>
    <row r="1203" spans="1:5" ht="15">
      <c r="A1203" s="174">
        <v>1</v>
      </c>
      <c r="B1203" s="180" t="s">
        <v>693</v>
      </c>
      <c r="C1203" s="178">
        <v>150</v>
      </c>
      <c r="D1203" s="238"/>
      <c r="E1203" s="238"/>
    </row>
    <row r="1204" spans="1:5" ht="15">
      <c r="A1204" s="174">
        <v>2</v>
      </c>
      <c r="B1204" s="180" t="s">
        <v>694</v>
      </c>
      <c r="C1204" s="178">
        <v>54</v>
      </c>
      <c r="D1204" s="238"/>
      <c r="E1204" s="238"/>
    </row>
    <row r="1205" spans="1:5" ht="15">
      <c r="A1205" s="174">
        <v>3</v>
      </c>
      <c r="B1205" s="180" t="s">
        <v>695</v>
      </c>
      <c r="C1205" s="209">
        <v>20</v>
      </c>
      <c r="D1205" s="238"/>
      <c r="E1205" s="238"/>
    </row>
    <row r="1206" spans="1:5" ht="15">
      <c r="A1206" s="174">
        <v>4</v>
      </c>
      <c r="B1206" s="180" t="s">
        <v>696</v>
      </c>
      <c r="C1206" s="183">
        <v>100</v>
      </c>
      <c r="D1206" s="238"/>
      <c r="E1206" s="238"/>
    </row>
    <row r="1207" spans="1:5" ht="14.25">
      <c r="A1207" s="162">
        <v>8</v>
      </c>
      <c r="B1207" s="162" t="s">
        <v>793</v>
      </c>
      <c r="C1207" s="163">
        <f>C1208</f>
        <v>957</v>
      </c>
      <c r="D1207" s="238"/>
      <c r="E1207" s="238"/>
    </row>
    <row r="1208" spans="1:5" ht="14.25">
      <c r="A1208" s="196" t="s">
        <v>794</v>
      </c>
      <c r="B1208" s="232" t="s">
        <v>795</v>
      </c>
      <c r="C1208" s="189">
        <v>957</v>
      </c>
      <c r="D1208" s="238"/>
      <c r="E1208" s="238"/>
    </row>
    <row r="1209" spans="1:5" ht="14.25">
      <c r="A1209" s="162">
        <v>9</v>
      </c>
      <c r="B1209" s="162" t="s">
        <v>697</v>
      </c>
      <c r="C1209" s="163">
        <f>C1210+C1213+C1223+C1229+C1238</f>
        <v>11802</v>
      </c>
      <c r="D1209" s="238"/>
      <c r="E1209" s="238"/>
    </row>
    <row r="1210" spans="1:5" ht="14.25">
      <c r="A1210" s="164"/>
      <c r="B1210" s="164" t="s">
        <v>587</v>
      </c>
      <c r="C1210" s="176">
        <f>C1211+C1212</f>
        <v>90</v>
      </c>
      <c r="D1210" s="238"/>
      <c r="E1210" s="238"/>
    </row>
    <row r="1211" spans="1:5" ht="75">
      <c r="A1211" s="166">
        <v>1</v>
      </c>
      <c r="B1211" s="167" t="s">
        <v>698</v>
      </c>
      <c r="C1211" s="178">
        <v>70</v>
      </c>
      <c r="D1211" s="238"/>
      <c r="E1211" s="238"/>
    </row>
    <row r="1212" spans="1:5" ht="60">
      <c r="A1212" s="166">
        <v>2</v>
      </c>
      <c r="B1212" s="248" t="s">
        <v>799</v>
      </c>
      <c r="C1212" s="178">
        <v>20</v>
      </c>
      <c r="D1212" s="238"/>
      <c r="E1212" s="238"/>
    </row>
    <row r="1213" spans="1:5" ht="14.25">
      <c r="A1213" s="164"/>
      <c r="B1213" s="164" t="s">
        <v>699</v>
      </c>
      <c r="C1213" s="176">
        <f>SUM(C1214:C1222)</f>
        <v>1905</v>
      </c>
      <c r="D1213" s="238"/>
      <c r="E1213" s="238"/>
    </row>
    <row r="1214" spans="1:5" ht="45">
      <c r="A1214" s="166">
        <v>1</v>
      </c>
      <c r="B1214" s="182" t="s">
        <v>700</v>
      </c>
      <c r="C1214" s="178">
        <v>93</v>
      </c>
      <c r="D1214" s="238"/>
      <c r="E1214" s="238"/>
    </row>
    <row r="1215" spans="1:5" ht="45">
      <c r="A1215" s="166">
        <v>2</v>
      </c>
      <c r="B1215" s="182" t="s">
        <v>701</v>
      </c>
      <c r="C1215" s="178">
        <v>96</v>
      </c>
      <c r="D1215" s="238"/>
      <c r="E1215" s="238"/>
    </row>
    <row r="1216" spans="1:5" ht="30">
      <c r="A1216" s="166">
        <v>3</v>
      </c>
      <c r="B1216" s="222" t="s">
        <v>702</v>
      </c>
      <c r="C1216" s="178">
        <v>132</v>
      </c>
      <c r="D1216" s="238"/>
      <c r="E1216" s="238"/>
    </row>
    <row r="1217" spans="1:5" ht="30">
      <c r="A1217" s="166">
        <v>4</v>
      </c>
      <c r="B1217" s="222" t="s">
        <v>703</v>
      </c>
      <c r="C1217" s="178">
        <v>411</v>
      </c>
      <c r="D1217" s="238"/>
      <c r="E1217" s="238"/>
    </row>
    <row r="1218" spans="1:5" ht="45">
      <c r="A1218" s="166">
        <v>5</v>
      </c>
      <c r="B1218" s="222" t="s">
        <v>704</v>
      </c>
      <c r="C1218" s="178">
        <v>231</v>
      </c>
      <c r="D1218" s="238"/>
      <c r="E1218" s="238"/>
    </row>
    <row r="1219" spans="1:5" ht="45">
      <c r="A1219" s="166">
        <v>6</v>
      </c>
      <c r="B1219" s="222" t="s">
        <v>705</v>
      </c>
      <c r="C1219" s="178">
        <v>154</v>
      </c>
      <c r="D1219" s="238"/>
      <c r="E1219" s="238"/>
    </row>
    <row r="1220" spans="1:5" ht="45">
      <c r="A1220" s="166">
        <v>7</v>
      </c>
      <c r="B1220" s="222" t="s">
        <v>706</v>
      </c>
      <c r="C1220" s="178">
        <v>468</v>
      </c>
      <c r="D1220" s="238"/>
      <c r="E1220" s="238"/>
    </row>
    <row r="1221" spans="1:5" ht="30">
      <c r="A1221" s="166">
        <v>8</v>
      </c>
      <c r="B1221" s="222" t="s">
        <v>707</v>
      </c>
      <c r="C1221" s="178">
        <v>144</v>
      </c>
      <c r="D1221" s="238"/>
      <c r="E1221" s="238"/>
    </row>
    <row r="1222" spans="1:5" ht="45">
      <c r="A1222" s="166">
        <v>9</v>
      </c>
      <c r="B1222" s="222" t="s">
        <v>708</v>
      </c>
      <c r="C1222" s="178">
        <v>176</v>
      </c>
      <c r="D1222" s="238"/>
      <c r="E1222" s="238"/>
    </row>
    <row r="1223" spans="1:5" ht="15">
      <c r="A1223" s="174"/>
      <c r="B1223" s="175" t="s">
        <v>709</v>
      </c>
      <c r="C1223" s="176">
        <f>C1224+C1225+C1226+C1227+C1228</f>
        <v>4317</v>
      </c>
      <c r="D1223" s="238"/>
      <c r="E1223" s="238"/>
    </row>
    <row r="1224" spans="1:5" ht="15">
      <c r="A1224" s="174">
        <v>1</v>
      </c>
      <c r="B1224" s="180" t="s">
        <v>710</v>
      </c>
      <c r="C1224" s="178">
        <v>1519</v>
      </c>
      <c r="D1224" s="238"/>
      <c r="E1224" s="238"/>
    </row>
    <row r="1225" spans="1:5" ht="15">
      <c r="A1225" s="174">
        <v>2</v>
      </c>
      <c r="B1225" s="180" t="s">
        <v>711</v>
      </c>
      <c r="C1225" s="178">
        <v>1165</v>
      </c>
      <c r="D1225" s="238"/>
      <c r="E1225" s="238"/>
    </row>
    <row r="1226" spans="1:5" ht="15">
      <c r="A1226" s="174">
        <v>3</v>
      </c>
      <c r="B1226" s="180" t="s">
        <v>712</v>
      </c>
      <c r="C1226" s="178">
        <v>1525</v>
      </c>
      <c r="D1226" s="238"/>
      <c r="E1226" s="238"/>
    </row>
    <row r="1227" spans="1:5" ht="15">
      <c r="A1227" s="174">
        <v>4</v>
      </c>
      <c r="B1227" s="180" t="s">
        <v>713</v>
      </c>
      <c r="C1227" s="178">
        <v>79</v>
      </c>
      <c r="D1227" s="238"/>
      <c r="E1227" s="238"/>
    </row>
    <row r="1228" spans="1:5" ht="15">
      <c r="A1228" s="174">
        <v>5</v>
      </c>
      <c r="B1228" s="180" t="s">
        <v>714</v>
      </c>
      <c r="C1228" s="178">
        <v>29</v>
      </c>
      <c r="D1228" s="238"/>
      <c r="E1228" s="238"/>
    </row>
    <row r="1229" spans="1:5" ht="15">
      <c r="A1229" s="174"/>
      <c r="B1229" s="232" t="s">
        <v>715</v>
      </c>
      <c r="C1229" s="176">
        <f>SUM(C1230:C1237)</f>
        <v>4544</v>
      </c>
      <c r="D1229" s="238"/>
      <c r="E1229" s="238"/>
    </row>
    <row r="1230" spans="1:5" ht="15">
      <c r="A1230" s="174"/>
      <c r="B1230" s="182"/>
      <c r="C1230" s="168"/>
      <c r="D1230" s="238"/>
      <c r="E1230" s="238"/>
    </row>
    <row r="1231" spans="1:5" ht="30">
      <c r="A1231" s="174">
        <v>1</v>
      </c>
      <c r="B1231" s="182" t="s">
        <v>716</v>
      </c>
      <c r="C1231" s="168">
        <v>700</v>
      </c>
      <c r="D1231" s="238"/>
      <c r="E1231" s="238"/>
    </row>
    <row r="1232" spans="1:5" ht="39.75" customHeight="1">
      <c r="A1232" s="174">
        <f>A1231+1</f>
        <v>2</v>
      </c>
      <c r="B1232" s="222" t="s">
        <v>717</v>
      </c>
      <c r="C1232" s="168">
        <v>700</v>
      </c>
      <c r="D1232" s="238"/>
      <c r="E1232" s="238"/>
    </row>
    <row r="1233" spans="1:5" ht="45">
      <c r="A1233" s="174">
        <f t="shared" ref="A1233:A1237" si="898">A1232+1</f>
        <v>3</v>
      </c>
      <c r="B1233" s="233" t="s">
        <v>718</v>
      </c>
      <c r="C1233" s="168">
        <v>380</v>
      </c>
      <c r="D1233" s="238"/>
      <c r="E1233" s="238"/>
    </row>
    <row r="1234" spans="1:5" ht="30">
      <c r="A1234" s="174">
        <f t="shared" si="898"/>
        <v>4</v>
      </c>
      <c r="B1234" s="234" t="s">
        <v>719</v>
      </c>
      <c r="C1234" s="168">
        <v>300</v>
      </c>
      <c r="D1234" s="238"/>
      <c r="E1234" s="238"/>
    </row>
    <row r="1235" spans="1:5" ht="45">
      <c r="A1235" s="174">
        <f t="shared" si="898"/>
        <v>5</v>
      </c>
      <c r="B1235" s="210" t="s">
        <v>720</v>
      </c>
      <c r="C1235" s="168">
        <v>900</v>
      </c>
      <c r="D1235" s="238"/>
      <c r="E1235" s="238"/>
    </row>
    <row r="1236" spans="1:5" ht="30">
      <c r="A1236" s="174">
        <f t="shared" si="898"/>
        <v>6</v>
      </c>
      <c r="B1236" s="235" t="s">
        <v>721</v>
      </c>
      <c r="C1236" s="168">
        <v>1500</v>
      </c>
      <c r="D1236" s="238"/>
      <c r="E1236" s="238"/>
    </row>
    <row r="1237" spans="1:5" ht="30">
      <c r="A1237" s="174">
        <f t="shared" si="898"/>
        <v>7</v>
      </c>
      <c r="B1237" s="182" t="s">
        <v>722</v>
      </c>
      <c r="C1237" s="168">
        <v>64</v>
      </c>
      <c r="D1237" s="238"/>
      <c r="E1237" s="238"/>
    </row>
    <row r="1238" spans="1:5" ht="57.75">
      <c r="A1238" s="174"/>
      <c r="B1238" s="211" t="s">
        <v>796</v>
      </c>
      <c r="C1238" s="212">
        <f>SUM(C1239:C1244)</f>
        <v>946</v>
      </c>
      <c r="D1238" s="238"/>
      <c r="E1238" s="238"/>
    </row>
    <row r="1239" spans="1:5" ht="60">
      <c r="A1239" s="174">
        <v>1</v>
      </c>
      <c r="B1239" s="236" t="s">
        <v>723</v>
      </c>
      <c r="C1239" s="178">
        <v>14</v>
      </c>
      <c r="D1239" s="238"/>
      <c r="E1239" s="238"/>
    </row>
    <row r="1240" spans="1:5" ht="60">
      <c r="A1240" s="174">
        <v>2</v>
      </c>
      <c r="B1240" s="236" t="s">
        <v>724</v>
      </c>
      <c r="C1240" s="178">
        <v>27</v>
      </c>
      <c r="D1240" s="238"/>
      <c r="E1240" s="238"/>
    </row>
    <row r="1241" spans="1:5" ht="60">
      <c r="A1241" s="174">
        <v>3</v>
      </c>
      <c r="B1241" s="236" t="s">
        <v>725</v>
      </c>
      <c r="C1241" s="178">
        <v>114</v>
      </c>
    </row>
    <row r="1242" spans="1:5" ht="60">
      <c r="A1242" s="174">
        <v>4</v>
      </c>
      <c r="B1242" s="236" t="s">
        <v>726</v>
      </c>
      <c r="C1242" s="178">
        <v>77</v>
      </c>
    </row>
    <row r="1243" spans="1:5" ht="60">
      <c r="A1243" s="174">
        <v>5</v>
      </c>
      <c r="B1243" s="182" t="s">
        <v>727</v>
      </c>
      <c r="C1243" s="178">
        <v>200</v>
      </c>
    </row>
    <row r="1244" spans="1:5" ht="60">
      <c r="A1244" s="174">
        <v>6</v>
      </c>
      <c r="B1244" s="182" t="s">
        <v>728</v>
      </c>
      <c r="C1244" s="178">
        <v>514</v>
      </c>
    </row>
    <row r="1245" spans="1:5" ht="14.25">
      <c r="A1245" s="162">
        <v>10</v>
      </c>
      <c r="B1245" s="162" t="s">
        <v>729</v>
      </c>
      <c r="C1245" s="163">
        <f>C1247</f>
        <v>15907</v>
      </c>
    </row>
    <row r="1246" spans="1:5" ht="14.25">
      <c r="A1246" s="164"/>
      <c r="B1246" s="164" t="s">
        <v>730</v>
      </c>
      <c r="C1246" s="165">
        <f>C1247</f>
        <v>15907</v>
      </c>
    </row>
    <row r="1247" spans="1:5" ht="30">
      <c r="A1247" s="174">
        <v>1</v>
      </c>
      <c r="B1247" s="167" t="s">
        <v>731</v>
      </c>
      <c r="C1247" s="178">
        <v>15907</v>
      </c>
    </row>
    <row r="1248" spans="1:5" ht="15.75">
      <c r="A1248" s="213"/>
      <c r="B1248" s="213" t="s">
        <v>797</v>
      </c>
      <c r="C1248" s="214">
        <f>C1028+C1056+C1060+C1064+C1129+C1145+C1200+C1209+C1245+C1207</f>
        <v>77686</v>
      </c>
    </row>
  </sheetData>
  <mergeCells count="7">
    <mergeCell ref="B2:C2"/>
    <mergeCell ref="A5:K5"/>
    <mergeCell ref="A6:K6"/>
    <mergeCell ref="B7:K7"/>
    <mergeCell ref="A9:A10"/>
    <mergeCell ref="D9:I9"/>
    <mergeCell ref="J9:L9"/>
  </mergeCells>
  <pageMargins left="0.39" right="0.16" top="0.27" bottom="0.24" header="0.17" footer="0.2"/>
  <pageSetup paperSize="9" orientation="landscape" r:id="rId1"/>
  <headerFooter alignWithMargins="0">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ANEXA 1 FINAL </vt:lpstr>
      <vt:lpstr>'ANEXA 1 FINAL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corina</dc:creator>
  <cp:lastModifiedBy>larisa</cp:lastModifiedBy>
  <cp:lastPrinted>2019-05-06T12:14:53Z</cp:lastPrinted>
  <dcterms:created xsi:type="dcterms:W3CDTF">2017-03-22T13:01:52Z</dcterms:created>
  <dcterms:modified xsi:type="dcterms:W3CDTF">2019-06-03T08:52:27Z</dcterms:modified>
</cp:coreProperties>
</file>