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3165" yWindow="150" windowWidth="23955" windowHeight="9780"/>
  </bookViews>
  <sheets>
    <sheet name="ANEXA 1" sheetId="5" r:id="rId1"/>
  </sheets>
  <definedNames>
    <definedName name="_xlnm.Print_Titles" localSheetId="0">'ANEXA 1'!$8:$10</definedName>
  </definedNames>
  <calcPr calcId="125725"/>
</workbook>
</file>

<file path=xl/calcChain.xml><?xml version="1.0" encoding="utf-8"?>
<calcChain xmlns="http://schemas.openxmlformats.org/spreadsheetml/2006/main">
  <c r="N750" i="5"/>
  <c r="M750"/>
  <c r="L750"/>
  <c r="K750"/>
  <c r="J750"/>
  <c r="J569"/>
  <c r="N569"/>
  <c r="M569"/>
  <c r="L569"/>
  <c r="K569"/>
  <c r="J538"/>
  <c r="N538"/>
  <c r="M538"/>
  <c r="L538"/>
  <c r="K538"/>
  <c r="K61"/>
  <c r="J61"/>
  <c r="Q713" l="1"/>
  <c r="K749"/>
  <c r="L749"/>
  <c r="M749"/>
  <c r="N749"/>
  <c r="O749"/>
  <c r="P749"/>
  <c r="Q749"/>
  <c r="J749"/>
  <c r="K537"/>
  <c r="L537"/>
  <c r="M537"/>
  <c r="N537"/>
  <c r="O537"/>
  <c r="P537"/>
  <c r="Q537"/>
  <c r="J537"/>
  <c r="K568"/>
  <c r="L568"/>
  <c r="M568"/>
  <c r="N568"/>
  <c r="O568"/>
  <c r="P568"/>
  <c r="Q568"/>
  <c r="J568"/>
  <c r="N15"/>
  <c r="L15"/>
  <c r="K15"/>
  <c r="K580"/>
  <c r="N580"/>
  <c r="M580"/>
  <c r="M578" s="1"/>
  <c r="L580"/>
  <c r="J580"/>
  <c r="J578" s="1"/>
  <c r="L579"/>
  <c r="K579"/>
  <c r="N579"/>
  <c r="Q423"/>
  <c r="P423"/>
  <c r="O423"/>
  <c r="Q422"/>
  <c r="P422"/>
  <c r="O422"/>
  <c r="J798"/>
  <c r="J797"/>
  <c r="M798"/>
  <c r="M797"/>
  <c r="M15"/>
  <c r="M323"/>
  <c r="K323"/>
  <c r="P271"/>
  <c r="Q271"/>
  <c r="O271"/>
  <c r="J632"/>
  <c r="K632"/>
  <c r="J423"/>
  <c r="J422"/>
  <c r="M423"/>
  <c r="M422"/>
  <c r="L423"/>
  <c r="L422"/>
  <c r="K60"/>
  <c r="J60"/>
  <c r="M674"/>
  <c r="L674"/>
  <c r="M673"/>
  <c r="J674"/>
  <c r="J673"/>
  <c r="K487"/>
  <c r="J487"/>
  <c r="K702"/>
  <c r="K701"/>
  <c r="J889"/>
  <c r="L889"/>
  <c r="J255"/>
  <c r="L255"/>
  <c r="C989"/>
  <c r="C990"/>
  <c r="K891"/>
  <c r="J891"/>
  <c r="N255"/>
  <c r="K255"/>
  <c r="K666"/>
  <c r="N254"/>
  <c r="K254"/>
  <c r="K271"/>
  <c r="J271"/>
  <c r="L578" l="1"/>
  <c r="K578"/>
  <c r="N578"/>
  <c r="Q632"/>
  <c r="P632"/>
  <c r="O632"/>
  <c r="C915"/>
  <c r="Q96"/>
  <c r="P96"/>
  <c r="O96"/>
  <c r="O901"/>
  <c r="O902"/>
  <c r="K900"/>
  <c r="L900"/>
  <c r="M900"/>
  <c r="N900"/>
  <c r="P900"/>
  <c r="Q900"/>
  <c r="J900"/>
  <c r="O304"/>
  <c r="O305"/>
  <c r="K303"/>
  <c r="L303"/>
  <c r="M303"/>
  <c r="N303"/>
  <c r="P303"/>
  <c r="Q303"/>
  <c r="J303"/>
  <c r="Q299"/>
  <c r="Q300"/>
  <c r="P299"/>
  <c r="P298" s="1"/>
  <c r="O299"/>
  <c r="O298" s="1"/>
  <c r="L298"/>
  <c r="M298"/>
  <c r="N298"/>
  <c r="K298"/>
  <c r="J298"/>
  <c r="K197"/>
  <c r="L197"/>
  <c r="M197"/>
  <c r="N197"/>
  <c r="K196"/>
  <c r="L196"/>
  <c r="M196"/>
  <c r="N196"/>
  <c r="K195"/>
  <c r="L195"/>
  <c r="M195"/>
  <c r="N195"/>
  <c r="J195"/>
  <c r="J196"/>
  <c r="J96"/>
  <c r="J197" s="1"/>
  <c r="N633"/>
  <c r="M633"/>
  <c r="L633"/>
  <c r="N471"/>
  <c r="M471"/>
  <c r="L471"/>
  <c r="N19"/>
  <c r="M19"/>
  <c r="L19"/>
  <c r="N22"/>
  <c r="O900" l="1"/>
  <c r="O303"/>
  <c r="Q298"/>
  <c r="M30"/>
  <c r="L30"/>
  <c r="K30"/>
  <c r="N323"/>
  <c r="L632"/>
  <c r="J436" l="1"/>
  <c r="J445"/>
  <c r="J454"/>
  <c r="J463"/>
  <c r="J477"/>
  <c r="N603"/>
  <c r="M603"/>
  <c r="L603"/>
  <c r="K603"/>
  <c r="P471" l="1"/>
  <c r="Q471"/>
  <c r="O471"/>
  <c r="K47"/>
  <c r="L47"/>
  <c r="L42" s="1"/>
  <c r="L139" s="1"/>
  <c r="M47"/>
  <c r="N47"/>
  <c r="O47"/>
  <c r="O42" s="1"/>
  <c r="P47"/>
  <c r="P42" s="1"/>
  <c r="Q47"/>
  <c r="Q42" s="1"/>
  <c r="K42"/>
  <c r="M42"/>
  <c r="N42"/>
  <c r="K889"/>
  <c r="N720"/>
  <c r="L720"/>
  <c r="K680"/>
  <c r="L701"/>
  <c r="L694"/>
  <c r="K694"/>
  <c r="L680"/>
  <c r="L673"/>
  <c r="K673"/>
  <c r="K422"/>
  <c r="K454"/>
  <c r="K253"/>
  <c r="N673"/>
  <c r="M714"/>
  <c r="J681"/>
  <c r="J680"/>
  <c r="L687"/>
  <c r="K687"/>
  <c r="M20"/>
  <c r="K20"/>
  <c r="K19"/>
  <c r="N20"/>
  <c r="J272"/>
  <c r="N905"/>
  <c r="M905"/>
  <c r="L905"/>
  <c r="K905"/>
  <c r="N904"/>
  <c r="M904"/>
  <c r="L904"/>
  <c r="K904"/>
  <c r="N903"/>
  <c r="M903"/>
  <c r="L903"/>
  <c r="K903"/>
  <c r="N899"/>
  <c r="M899"/>
  <c r="L899"/>
  <c r="K899"/>
  <c r="N898"/>
  <c r="M898"/>
  <c r="L898"/>
  <c r="K898"/>
  <c r="N892"/>
  <c r="M892"/>
  <c r="L892"/>
  <c r="K892"/>
  <c r="N890"/>
  <c r="M890"/>
  <c r="L890"/>
  <c r="K890"/>
  <c r="N887"/>
  <c r="M887"/>
  <c r="L887"/>
  <c r="K887"/>
  <c r="N886"/>
  <c r="M886"/>
  <c r="L886"/>
  <c r="K886"/>
  <c r="N885"/>
  <c r="M885"/>
  <c r="L885"/>
  <c r="N883"/>
  <c r="M883"/>
  <c r="L883"/>
  <c r="K883"/>
  <c r="N882"/>
  <c r="M882"/>
  <c r="L882"/>
  <c r="K882"/>
  <c r="N880"/>
  <c r="M880"/>
  <c r="L880"/>
  <c r="K880"/>
  <c r="N879"/>
  <c r="M879"/>
  <c r="L879"/>
  <c r="K879"/>
  <c r="N878"/>
  <c r="M878"/>
  <c r="L878"/>
  <c r="K878"/>
  <c r="N877"/>
  <c r="M877"/>
  <c r="L877"/>
  <c r="K877"/>
  <c r="N876"/>
  <c r="M876"/>
  <c r="K876"/>
  <c r="N875"/>
  <c r="M875"/>
  <c r="L875"/>
  <c r="N859"/>
  <c r="M859"/>
  <c r="L859"/>
  <c r="K859"/>
  <c r="N858"/>
  <c r="M858"/>
  <c r="L858"/>
  <c r="K858"/>
  <c r="N857"/>
  <c r="M857"/>
  <c r="L857"/>
  <c r="K857"/>
  <c r="N855"/>
  <c r="M855"/>
  <c r="L855"/>
  <c r="K855"/>
  <c r="N854"/>
  <c r="M854"/>
  <c r="L854"/>
  <c r="K854"/>
  <c r="N853"/>
  <c r="M853"/>
  <c r="L853"/>
  <c r="K853"/>
  <c r="N852"/>
  <c r="M852"/>
  <c r="L852"/>
  <c r="K852"/>
  <c r="N851"/>
  <c r="M851"/>
  <c r="L851"/>
  <c r="K851"/>
  <c r="N850"/>
  <c r="M850"/>
  <c r="L850"/>
  <c r="K850"/>
  <c r="N849"/>
  <c r="M849"/>
  <c r="L849"/>
  <c r="K849"/>
  <c r="N848"/>
  <c r="M848"/>
  <c r="L848"/>
  <c r="K848"/>
  <c r="N847"/>
  <c r="M847"/>
  <c r="L847"/>
  <c r="K847"/>
  <c r="N845"/>
  <c r="M845"/>
  <c r="L845"/>
  <c r="K845"/>
  <c r="N844"/>
  <c r="M844"/>
  <c r="L844"/>
  <c r="K844"/>
  <c r="N843"/>
  <c r="M843"/>
  <c r="L843"/>
  <c r="K843"/>
  <c r="N842"/>
  <c r="M842"/>
  <c r="L842"/>
  <c r="K842"/>
  <c r="N841"/>
  <c r="M841"/>
  <c r="L841"/>
  <c r="K841"/>
  <c r="N840"/>
  <c r="M840"/>
  <c r="L840"/>
  <c r="K840"/>
  <c r="N839"/>
  <c r="M839"/>
  <c r="L839"/>
  <c r="K839"/>
  <c r="N838"/>
  <c r="M838"/>
  <c r="L838"/>
  <c r="K838"/>
  <c r="N837"/>
  <c r="M837"/>
  <c r="K837"/>
  <c r="N836"/>
  <c r="M836"/>
  <c r="L836"/>
  <c r="K836"/>
  <c r="N835"/>
  <c r="M835"/>
  <c r="K835"/>
  <c r="N834"/>
  <c r="M834"/>
  <c r="K834"/>
  <c r="N833"/>
  <c r="M833"/>
  <c r="N829"/>
  <c r="M829"/>
  <c r="L829"/>
  <c r="K829"/>
  <c r="N828"/>
  <c r="M828"/>
  <c r="M827" s="1"/>
  <c r="L828"/>
  <c r="K828"/>
  <c r="N827"/>
  <c r="L827"/>
  <c r="K827"/>
  <c r="N825"/>
  <c r="M825"/>
  <c r="L825"/>
  <c r="K825"/>
  <c r="N824"/>
  <c r="M824"/>
  <c r="L824"/>
  <c r="L821" s="1"/>
  <c r="K824"/>
  <c r="N823"/>
  <c r="M823"/>
  <c r="L823"/>
  <c r="L817" s="1"/>
  <c r="L775" s="1"/>
  <c r="K823"/>
  <c r="K817" s="1"/>
  <c r="N822"/>
  <c r="M822"/>
  <c r="L822"/>
  <c r="K822"/>
  <c r="N821"/>
  <c r="K821"/>
  <c r="N817"/>
  <c r="N815"/>
  <c r="M815"/>
  <c r="L815"/>
  <c r="K815"/>
  <c r="N811"/>
  <c r="M811"/>
  <c r="L811"/>
  <c r="K811"/>
  <c r="N809"/>
  <c r="M809"/>
  <c r="L809"/>
  <c r="K809"/>
  <c r="N808"/>
  <c r="M808"/>
  <c r="L808"/>
  <c r="K808"/>
  <c r="N807"/>
  <c r="M807"/>
  <c r="L807"/>
  <c r="K807"/>
  <c r="N803"/>
  <c r="M803"/>
  <c r="L803"/>
  <c r="K803"/>
  <c r="N802"/>
  <c r="M802"/>
  <c r="L802"/>
  <c r="K802"/>
  <c r="N801"/>
  <c r="M801"/>
  <c r="L801"/>
  <c r="K801"/>
  <c r="N799"/>
  <c r="M799"/>
  <c r="L799"/>
  <c r="K799"/>
  <c r="N796"/>
  <c r="M796"/>
  <c r="L796"/>
  <c r="K796"/>
  <c r="N795"/>
  <c r="M795"/>
  <c r="L795"/>
  <c r="K795"/>
  <c r="N794"/>
  <c r="M794"/>
  <c r="L794"/>
  <c r="K794"/>
  <c r="N793"/>
  <c r="M793"/>
  <c r="L793"/>
  <c r="K793"/>
  <c r="N792"/>
  <c r="M792"/>
  <c r="L792"/>
  <c r="K792"/>
  <c r="N791"/>
  <c r="M791"/>
  <c r="L791"/>
  <c r="K791"/>
  <c r="N790"/>
  <c r="M790"/>
  <c r="L790"/>
  <c r="K790"/>
  <c r="N789"/>
  <c r="M789"/>
  <c r="M779" s="1"/>
  <c r="L789"/>
  <c r="K789"/>
  <c r="N788"/>
  <c r="M788"/>
  <c r="M778" s="1"/>
  <c r="L788"/>
  <c r="K788"/>
  <c r="N787"/>
  <c r="M787"/>
  <c r="L787"/>
  <c r="K787"/>
  <c r="N786"/>
  <c r="M786"/>
  <c r="L786"/>
  <c r="K786"/>
  <c r="N785"/>
  <c r="M785"/>
  <c r="L785"/>
  <c r="K785"/>
  <c r="N784"/>
  <c r="M784"/>
  <c r="L784"/>
  <c r="K784"/>
  <c r="N783"/>
  <c r="M783"/>
  <c r="L783"/>
  <c r="K783"/>
  <c r="N782"/>
  <c r="M782"/>
  <c r="L782"/>
  <c r="K782"/>
  <c r="N780"/>
  <c r="K780"/>
  <c r="N779"/>
  <c r="L779"/>
  <c r="K779"/>
  <c r="N778"/>
  <c r="L778"/>
  <c r="K778"/>
  <c r="N777"/>
  <c r="M777"/>
  <c r="L777"/>
  <c r="K777"/>
  <c r="N776"/>
  <c r="M776"/>
  <c r="L776"/>
  <c r="K776"/>
  <c r="N775"/>
  <c r="N773"/>
  <c r="M773"/>
  <c r="L773"/>
  <c r="K773"/>
  <c r="N772"/>
  <c r="M772"/>
  <c r="L772"/>
  <c r="K772"/>
  <c r="N771"/>
  <c r="M771"/>
  <c r="L771"/>
  <c r="K771"/>
  <c r="N769"/>
  <c r="M769"/>
  <c r="L769"/>
  <c r="K769"/>
  <c r="N766"/>
  <c r="M766"/>
  <c r="L766"/>
  <c r="K766"/>
  <c r="N765"/>
  <c r="M765"/>
  <c r="L765"/>
  <c r="K765"/>
  <c r="N764"/>
  <c r="M764"/>
  <c r="L764"/>
  <c r="K764"/>
  <c r="N763"/>
  <c r="M763"/>
  <c r="L763"/>
  <c r="K763"/>
  <c r="N761"/>
  <c r="M761"/>
  <c r="L761"/>
  <c r="K761"/>
  <c r="N758"/>
  <c r="M758"/>
  <c r="L758"/>
  <c r="K758"/>
  <c r="N757"/>
  <c r="M757"/>
  <c r="L757"/>
  <c r="K757"/>
  <c r="N756"/>
  <c r="M756"/>
  <c r="L756"/>
  <c r="K756"/>
  <c r="N755"/>
  <c r="M755"/>
  <c r="L755"/>
  <c r="K755"/>
  <c r="N753"/>
  <c r="M753"/>
  <c r="L753"/>
  <c r="K753"/>
  <c r="N748"/>
  <c r="M748"/>
  <c r="L748"/>
  <c r="L747" s="1"/>
  <c r="K748"/>
  <c r="K747" s="1"/>
  <c r="N747"/>
  <c r="N746" s="1"/>
  <c r="M747"/>
  <c r="M746" s="1"/>
  <c r="N744"/>
  <c r="M744"/>
  <c r="L744"/>
  <c r="K744"/>
  <c r="N741"/>
  <c r="M741"/>
  <c r="L741"/>
  <c r="K741"/>
  <c r="N740"/>
  <c r="M740"/>
  <c r="L740"/>
  <c r="K740"/>
  <c r="N739"/>
  <c r="M739"/>
  <c r="L739"/>
  <c r="K739"/>
  <c r="N738"/>
  <c r="M738"/>
  <c r="L738"/>
  <c r="K738"/>
  <c r="N733"/>
  <c r="M733"/>
  <c r="L733"/>
  <c r="K733"/>
  <c r="N732"/>
  <c r="M732"/>
  <c r="L732"/>
  <c r="K732"/>
  <c r="N731"/>
  <c r="M731"/>
  <c r="L731"/>
  <c r="K731"/>
  <c r="N730"/>
  <c r="M730"/>
  <c r="L730"/>
  <c r="K730"/>
  <c r="N729"/>
  <c r="M729"/>
  <c r="L729"/>
  <c r="K729"/>
  <c r="N728"/>
  <c r="M728"/>
  <c r="L728"/>
  <c r="K728"/>
  <c r="N727"/>
  <c r="N622" s="1"/>
  <c r="M727"/>
  <c r="M622" s="1"/>
  <c r="L727"/>
  <c r="L622" s="1"/>
  <c r="K727"/>
  <c r="N726"/>
  <c r="M726"/>
  <c r="K726"/>
  <c r="N725"/>
  <c r="M725"/>
  <c r="N722"/>
  <c r="M722"/>
  <c r="L722"/>
  <c r="K722"/>
  <c r="N719"/>
  <c r="M719"/>
  <c r="L719"/>
  <c r="K719"/>
  <c r="N718"/>
  <c r="M718"/>
  <c r="M717" s="1"/>
  <c r="L718"/>
  <c r="L717" s="1"/>
  <c r="K718"/>
  <c r="K717" s="1"/>
  <c r="N717"/>
  <c r="N715"/>
  <c r="M715"/>
  <c r="L715"/>
  <c r="K715"/>
  <c r="N712"/>
  <c r="M712"/>
  <c r="L712"/>
  <c r="K712"/>
  <c r="K711" s="1"/>
  <c r="K710" s="1"/>
  <c r="N711"/>
  <c r="N710" s="1"/>
  <c r="M711"/>
  <c r="M710" s="1"/>
  <c r="L711"/>
  <c r="L710"/>
  <c r="N703"/>
  <c r="M703"/>
  <c r="L703"/>
  <c r="K703"/>
  <c r="N700"/>
  <c r="M700"/>
  <c r="L700"/>
  <c r="L699" s="1"/>
  <c r="L698" s="1"/>
  <c r="K700"/>
  <c r="K699" s="1"/>
  <c r="K698" s="1"/>
  <c r="N699"/>
  <c r="N698" s="1"/>
  <c r="M699"/>
  <c r="M698" s="1"/>
  <c r="N696"/>
  <c r="M696"/>
  <c r="L696"/>
  <c r="K696"/>
  <c r="N693"/>
  <c r="M693"/>
  <c r="L693"/>
  <c r="K693"/>
  <c r="N692"/>
  <c r="M692"/>
  <c r="L692"/>
  <c r="K692"/>
  <c r="N691"/>
  <c r="M691"/>
  <c r="L691"/>
  <c r="K691"/>
  <c r="N689"/>
  <c r="M689"/>
  <c r="L689"/>
  <c r="K689"/>
  <c r="N686"/>
  <c r="M686"/>
  <c r="L686"/>
  <c r="K686"/>
  <c r="N685"/>
  <c r="M685"/>
  <c r="L685"/>
  <c r="K685"/>
  <c r="N684"/>
  <c r="M684"/>
  <c r="L684"/>
  <c r="K684"/>
  <c r="N682"/>
  <c r="M682"/>
  <c r="L682"/>
  <c r="K682"/>
  <c r="N679"/>
  <c r="N678" s="1"/>
  <c r="N677" s="1"/>
  <c r="M679"/>
  <c r="M678" s="1"/>
  <c r="L679"/>
  <c r="L678" s="1"/>
  <c r="L677" s="1"/>
  <c r="K679"/>
  <c r="K678" s="1"/>
  <c r="N675"/>
  <c r="M675"/>
  <c r="L675"/>
  <c r="K675"/>
  <c r="M672"/>
  <c r="M671" s="1"/>
  <c r="M670" s="1"/>
  <c r="L672"/>
  <c r="L671" s="1"/>
  <c r="L670" s="1"/>
  <c r="K672"/>
  <c r="K671" s="1"/>
  <c r="N668"/>
  <c r="M668"/>
  <c r="L668"/>
  <c r="K668"/>
  <c r="N665"/>
  <c r="M665"/>
  <c r="L665"/>
  <c r="L658" s="1"/>
  <c r="K665"/>
  <c r="N664"/>
  <c r="M664"/>
  <c r="L664"/>
  <c r="K664"/>
  <c r="N663"/>
  <c r="M663"/>
  <c r="L663"/>
  <c r="K663"/>
  <c r="N662"/>
  <c r="M662"/>
  <c r="L662"/>
  <c r="K662"/>
  <c r="N661"/>
  <c r="M661"/>
  <c r="L661"/>
  <c r="K661"/>
  <c r="N660"/>
  <c r="N621" s="1"/>
  <c r="M660"/>
  <c r="L660"/>
  <c r="L621" s="1"/>
  <c r="K660"/>
  <c r="K621" s="1"/>
  <c r="M659"/>
  <c r="M620" s="1"/>
  <c r="L659"/>
  <c r="K659"/>
  <c r="K620" s="1"/>
  <c r="N650"/>
  <c r="M650"/>
  <c r="L650"/>
  <c r="K650"/>
  <c r="N644"/>
  <c r="M644"/>
  <c r="L644"/>
  <c r="K644"/>
  <c r="N641"/>
  <c r="N623" s="1"/>
  <c r="M641"/>
  <c r="L641"/>
  <c r="K641"/>
  <c r="K623" s="1"/>
  <c r="N639"/>
  <c r="N80" s="1"/>
  <c r="M639"/>
  <c r="M80" s="1"/>
  <c r="L639"/>
  <c r="L80" s="1"/>
  <c r="N631"/>
  <c r="M631"/>
  <c r="L631"/>
  <c r="K631"/>
  <c r="N630"/>
  <c r="M630"/>
  <c r="L630"/>
  <c r="K630"/>
  <c r="N629"/>
  <c r="M629"/>
  <c r="L629"/>
  <c r="K629"/>
  <c r="N628"/>
  <c r="M628"/>
  <c r="L628"/>
  <c r="N627"/>
  <c r="M627"/>
  <c r="L627"/>
  <c r="K627"/>
  <c r="N626"/>
  <c r="M626"/>
  <c r="L626"/>
  <c r="K626"/>
  <c r="N625"/>
  <c r="M625"/>
  <c r="L625"/>
  <c r="N624"/>
  <c r="M624"/>
  <c r="L624"/>
  <c r="K624"/>
  <c r="M623"/>
  <c r="L623"/>
  <c r="L620"/>
  <c r="N615"/>
  <c r="M615"/>
  <c r="L615"/>
  <c r="K615"/>
  <c r="N614"/>
  <c r="M614"/>
  <c r="L614"/>
  <c r="K614"/>
  <c r="N613"/>
  <c r="M613"/>
  <c r="L613"/>
  <c r="K613"/>
  <c r="N610"/>
  <c r="M610"/>
  <c r="L610"/>
  <c r="K610"/>
  <c r="N607"/>
  <c r="M607"/>
  <c r="L607"/>
  <c r="K607"/>
  <c r="N606"/>
  <c r="M606"/>
  <c r="L606"/>
  <c r="K606"/>
  <c r="N605"/>
  <c r="M605"/>
  <c r="L605"/>
  <c r="K605"/>
  <c r="N604"/>
  <c r="M604"/>
  <c r="L604"/>
  <c r="K604"/>
  <c r="N602"/>
  <c r="M602"/>
  <c r="L602"/>
  <c r="K602"/>
  <c r="N601"/>
  <c r="N600" s="1"/>
  <c r="M601"/>
  <c r="M600" s="1"/>
  <c r="L601"/>
  <c r="L600" s="1"/>
  <c r="N598"/>
  <c r="M598"/>
  <c r="L598"/>
  <c r="K598"/>
  <c r="N595"/>
  <c r="M595"/>
  <c r="L595"/>
  <c r="K595"/>
  <c r="N594"/>
  <c r="M594"/>
  <c r="L594"/>
  <c r="K594"/>
  <c r="N593"/>
  <c r="M593"/>
  <c r="L593"/>
  <c r="K593"/>
  <c r="N592"/>
  <c r="M592"/>
  <c r="L592"/>
  <c r="K592"/>
  <c r="N590"/>
  <c r="M590"/>
  <c r="L590"/>
  <c r="K590"/>
  <c r="N587"/>
  <c r="M587"/>
  <c r="L587"/>
  <c r="K587"/>
  <c r="N586"/>
  <c r="M586"/>
  <c r="L586"/>
  <c r="K586"/>
  <c r="N585"/>
  <c r="M585"/>
  <c r="L585"/>
  <c r="K585"/>
  <c r="N584"/>
  <c r="M584"/>
  <c r="L584"/>
  <c r="K584"/>
  <c r="N582"/>
  <c r="M582"/>
  <c r="L582"/>
  <c r="K582"/>
  <c r="N577"/>
  <c r="M577"/>
  <c r="M576" s="1"/>
  <c r="M575" s="1"/>
  <c r="L577"/>
  <c r="K577"/>
  <c r="K576" s="1"/>
  <c r="K575" s="1"/>
  <c r="N576"/>
  <c r="N575" s="1"/>
  <c r="L576"/>
  <c r="L575" s="1"/>
  <c r="N572"/>
  <c r="M572"/>
  <c r="L572"/>
  <c r="K572"/>
  <c r="N567"/>
  <c r="M567"/>
  <c r="M566" s="1"/>
  <c r="M565" s="1"/>
  <c r="L567"/>
  <c r="K567"/>
  <c r="K566" s="1"/>
  <c r="K565" s="1"/>
  <c r="N566"/>
  <c r="N565" s="1"/>
  <c r="L566"/>
  <c r="L565" s="1"/>
  <c r="N561"/>
  <c r="M561"/>
  <c r="L561"/>
  <c r="K561"/>
  <c r="N560"/>
  <c r="M560"/>
  <c r="L560"/>
  <c r="K560"/>
  <c r="N559"/>
  <c r="M559"/>
  <c r="L559"/>
  <c r="K559"/>
  <c r="N555"/>
  <c r="M555"/>
  <c r="L555"/>
  <c r="K555"/>
  <c r="N554"/>
  <c r="M554"/>
  <c r="L554"/>
  <c r="K554"/>
  <c r="N553"/>
  <c r="M553"/>
  <c r="L553"/>
  <c r="K553"/>
  <c r="N551"/>
  <c r="M551"/>
  <c r="L551"/>
  <c r="K551"/>
  <c r="N548"/>
  <c r="M548"/>
  <c r="L548"/>
  <c r="K548"/>
  <c r="N547"/>
  <c r="M547"/>
  <c r="L547"/>
  <c r="K547"/>
  <c r="N546"/>
  <c r="M546"/>
  <c r="M545" s="1"/>
  <c r="L546"/>
  <c r="L545" s="1"/>
  <c r="K546"/>
  <c r="K545" s="1"/>
  <c r="N545"/>
  <c r="N542"/>
  <c r="M542"/>
  <c r="L542"/>
  <c r="K542"/>
  <c r="N536"/>
  <c r="N535" s="1"/>
  <c r="N534" s="1"/>
  <c r="M536"/>
  <c r="L536"/>
  <c r="L535" s="1"/>
  <c r="L534" s="1"/>
  <c r="K536"/>
  <c r="K535" s="1"/>
  <c r="K534" s="1"/>
  <c r="M535"/>
  <c r="M534" s="1"/>
  <c r="N533"/>
  <c r="M533"/>
  <c r="L533"/>
  <c r="K533"/>
  <c r="N532"/>
  <c r="M532"/>
  <c r="L532"/>
  <c r="K532"/>
  <c r="N531"/>
  <c r="M531"/>
  <c r="L531"/>
  <c r="K531"/>
  <c r="N530"/>
  <c r="M530"/>
  <c r="L530"/>
  <c r="K530"/>
  <c r="N529"/>
  <c r="M529"/>
  <c r="L529"/>
  <c r="K529"/>
  <c r="N528"/>
  <c r="M528"/>
  <c r="L528"/>
  <c r="K528"/>
  <c r="N526"/>
  <c r="M526"/>
  <c r="L526"/>
  <c r="K526"/>
  <c r="N520"/>
  <c r="M520"/>
  <c r="L520"/>
  <c r="K520"/>
  <c r="N519"/>
  <c r="M519"/>
  <c r="L519"/>
  <c r="K519"/>
  <c r="N518"/>
  <c r="M518"/>
  <c r="L518"/>
  <c r="K518"/>
  <c r="N517"/>
  <c r="M517"/>
  <c r="L517"/>
  <c r="K517"/>
  <c r="N514"/>
  <c r="M514"/>
  <c r="L514"/>
  <c r="K514"/>
  <c r="N513"/>
  <c r="M513"/>
  <c r="L513"/>
  <c r="K513"/>
  <c r="N512"/>
  <c r="M512"/>
  <c r="L512"/>
  <c r="K512"/>
  <c r="N511"/>
  <c r="M511"/>
  <c r="L511"/>
  <c r="K511"/>
  <c r="N508"/>
  <c r="M508"/>
  <c r="L508"/>
  <c r="K508"/>
  <c r="N507"/>
  <c r="M507"/>
  <c r="L507"/>
  <c r="K507"/>
  <c r="N506"/>
  <c r="M506"/>
  <c r="L506"/>
  <c r="K506"/>
  <c r="N505"/>
  <c r="M505"/>
  <c r="L505"/>
  <c r="K505"/>
  <c r="N502"/>
  <c r="M502"/>
  <c r="L502"/>
  <c r="K502"/>
  <c r="N501"/>
  <c r="M501"/>
  <c r="L501"/>
  <c r="K501"/>
  <c r="N500"/>
  <c r="M500"/>
  <c r="L500"/>
  <c r="K500"/>
  <c r="N499"/>
  <c r="M499"/>
  <c r="L499"/>
  <c r="K499"/>
  <c r="N496"/>
  <c r="M496"/>
  <c r="L496"/>
  <c r="K496"/>
  <c r="N495"/>
  <c r="M495"/>
  <c r="L495"/>
  <c r="K495"/>
  <c r="N494"/>
  <c r="M494"/>
  <c r="L494"/>
  <c r="K494"/>
  <c r="N493"/>
  <c r="M493"/>
  <c r="L493"/>
  <c r="K493"/>
  <c r="N492"/>
  <c r="M492"/>
  <c r="L492"/>
  <c r="K492"/>
  <c r="N491"/>
  <c r="M491"/>
  <c r="L491"/>
  <c r="K491"/>
  <c r="N490"/>
  <c r="M490"/>
  <c r="L490"/>
  <c r="K490"/>
  <c r="N489"/>
  <c r="M489"/>
  <c r="L489"/>
  <c r="K489"/>
  <c r="N486"/>
  <c r="M486"/>
  <c r="L486"/>
  <c r="K486"/>
  <c r="N484"/>
  <c r="M484"/>
  <c r="L484"/>
  <c r="K484"/>
  <c r="N483"/>
  <c r="M483"/>
  <c r="L483"/>
  <c r="K483"/>
  <c r="N482"/>
  <c r="M482"/>
  <c r="L482"/>
  <c r="K482"/>
  <c r="N481"/>
  <c r="M481"/>
  <c r="L481"/>
  <c r="K481"/>
  <c r="N480"/>
  <c r="M480"/>
  <c r="L480"/>
  <c r="K480"/>
  <c r="N478"/>
  <c r="M478"/>
  <c r="L478"/>
  <c r="K478"/>
  <c r="N474"/>
  <c r="M474"/>
  <c r="L474"/>
  <c r="K474"/>
  <c r="N473"/>
  <c r="M473"/>
  <c r="L473"/>
  <c r="K473"/>
  <c r="N472"/>
  <c r="M472"/>
  <c r="L472"/>
  <c r="K472"/>
  <c r="N469"/>
  <c r="M469"/>
  <c r="L469"/>
  <c r="K469"/>
  <c r="N468"/>
  <c r="M468"/>
  <c r="L468"/>
  <c r="K468"/>
  <c r="N467"/>
  <c r="M467"/>
  <c r="L467"/>
  <c r="K467"/>
  <c r="N465"/>
  <c r="M465"/>
  <c r="L465"/>
  <c r="K465"/>
  <c r="N460"/>
  <c r="M460"/>
  <c r="M459" s="1"/>
  <c r="L460"/>
  <c r="L459" s="1"/>
  <c r="K460"/>
  <c r="K459" s="1"/>
  <c r="K458" s="1"/>
  <c r="N459"/>
  <c r="N458" s="1"/>
  <c r="N456"/>
  <c r="M456"/>
  <c r="L456"/>
  <c r="K456"/>
  <c r="N451"/>
  <c r="M451"/>
  <c r="L451"/>
  <c r="K451"/>
  <c r="N450"/>
  <c r="M450"/>
  <c r="L450"/>
  <c r="K450"/>
  <c r="N449"/>
  <c r="M449"/>
  <c r="L449"/>
  <c r="K449"/>
  <c r="N447"/>
  <c r="M447"/>
  <c r="L447"/>
  <c r="K447"/>
  <c r="N442"/>
  <c r="M442"/>
  <c r="L442"/>
  <c r="K442"/>
  <c r="N441"/>
  <c r="M441"/>
  <c r="L441"/>
  <c r="K441"/>
  <c r="N440"/>
  <c r="M440"/>
  <c r="L440"/>
  <c r="K440"/>
  <c r="N438"/>
  <c r="M438"/>
  <c r="L438"/>
  <c r="K438"/>
  <c r="N433"/>
  <c r="M433"/>
  <c r="L433"/>
  <c r="K433"/>
  <c r="N432"/>
  <c r="M432"/>
  <c r="L432"/>
  <c r="K432"/>
  <c r="N431"/>
  <c r="M431"/>
  <c r="L431"/>
  <c r="K431"/>
  <c r="N425"/>
  <c r="M425"/>
  <c r="L425"/>
  <c r="K425"/>
  <c r="N419"/>
  <c r="M419"/>
  <c r="M418" s="1"/>
  <c r="M417" s="1"/>
  <c r="L419"/>
  <c r="L418" s="1"/>
  <c r="L417" s="1"/>
  <c r="K419"/>
  <c r="K418" s="1"/>
  <c r="K417" s="1"/>
  <c r="N418"/>
  <c r="N417" s="1"/>
  <c r="N416"/>
  <c r="M416"/>
  <c r="L416"/>
  <c r="K416"/>
  <c r="N415"/>
  <c r="M415"/>
  <c r="L415"/>
  <c r="K415"/>
  <c r="N414"/>
  <c r="M414"/>
  <c r="L414"/>
  <c r="K414"/>
  <c r="N413"/>
  <c r="N403" s="1"/>
  <c r="M413"/>
  <c r="M403" s="1"/>
  <c r="M387" s="1"/>
  <c r="L413"/>
  <c r="L403" s="1"/>
  <c r="L387" s="1"/>
  <c r="K413"/>
  <c r="K403" s="1"/>
  <c r="N412"/>
  <c r="N401" s="1"/>
  <c r="M412"/>
  <c r="M401" s="1"/>
  <c r="L412"/>
  <c r="L401" s="1"/>
  <c r="K412"/>
  <c r="K401" s="1"/>
  <c r="N411"/>
  <c r="M411"/>
  <c r="L411"/>
  <c r="K411"/>
  <c r="N410"/>
  <c r="M410"/>
  <c r="L410"/>
  <c r="K410"/>
  <c r="N409"/>
  <c r="N399" s="1"/>
  <c r="N406"/>
  <c r="M406"/>
  <c r="L406"/>
  <c r="K406"/>
  <c r="N405"/>
  <c r="M405"/>
  <c r="L405"/>
  <c r="K405"/>
  <c r="N404"/>
  <c r="M404"/>
  <c r="L404"/>
  <c r="K404"/>
  <c r="N402"/>
  <c r="M402"/>
  <c r="L402"/>
  <c r="K402"/>
  <c r="N400"/>
  <c r="M400"/>
  <c r="L400"/>
  <c r="K400"/>
  <c r="N396"/>
  <c r="M396"/>
  <c r="L396"/>
  <c r="N395"/>
  <c r="M395"/>
  <c r="L395"/>
  <c r="K395"/>
  <c r="N394"/>
  <c r="M394"/>
  <c r="L394"/>
  <c r="K394"/>
  <c r="N393"/>
  <c r="M393"/>
  <c r="L393"/>
  <c r="K393"/>
  <c r="N392"/>
  <c r="M392"/>
  <c r="L392"/>
  <c r="K392"/>
  <c r="N391"/>
  <c r="M391"/>
  <c r="L391"/>
  <c r="K391"/>
  <c r="N390"/>
  <c r="M390"/>
  <c r="L390"/>
  <c r="N388"/>
  <c r="M388"/>
  <c r="L388"/>
  <c r="K388"/>
  <c r="N378"/>
  <c r="M378"/>
  <c r="L378"/>
  <c r="K378"/>
  <c r="N377"/>
  <c r="M377"/>
  <c r="L377"/>
  <c r="K377"/>
  <c r="N373"/>
  <c r="M373"/>
  <c r="L373"/>
  <c r="K373"/>
  <c r="N372"/>
  <c r="M372"/>
  <c r="L372"/>
  <c r="K372"/>
  <c r="N371"/>
  <c r="M371"/>
  <c r="L371"/>
  <c r="K371"/>
  <c r="K370" s="1"/>
  <c r="N370"/>
  <c r="M370"/>
  <c r="L370"/>
  <c r="N368"/>
  <c r="M368"/>
  <c r="L368"/>
  <c r="K368"/>
  <c r="N367"/>
  <c r="M367"/>
  <c r="L367"/>
  <c r="K367"/>
  <c r="N366"/>
  <c r="M366"/>
  <c r="L366"/>
  <c r="K366"/>
  <c r="N362"/>
  <c r="M362"/>
  <c r="L362"/>
  <c r="K362"/>
  <c r="N361"/>
  <c r="M361"/>
  <c r="L361"/>
  <c r="K361"/>
  <c r="N359"/>
  <c r="M359"/>
  <c r="L359"/>
  <c r="K359"/>
  <c r="N358"/>
  <c r="M358"/>
  <c r="L358"/>
  <c r="K358"/>
  <c r="N357"/>
  <c r="M357"/>
  <c r="L357"/>
  <c r="K357"/>
  <c r="N356"/>
  <c r="M356"/>
  <c r="L356"/>
  <c r="K356"/>
  <c r="N355"/>
  <c r="M355"/>
  <c r="L355"/>
  <c r="K355"/>
  <c r="N354"/>
  <c r="M354"/>
  <c r="L354"/>
  <c r="K354"/>
  <c r="N353"/>
  <c r="M353"/>
  <c r="L353"/>
  <c r="K353"/>
  <c r="N352"/>
  <c r="M352"/>
  <c r="L352"/>
  <c r="K352"/>
  <c r="N351"/>
  <c r="M351"/>
  <c r="L351"/>
  <c r="K351"/>
  <c r="N350"/>
  <c r="M350"/>
  <c r="L350"/>
  <c r="K350"/>
  <c r="N349"/>
  <c r="M349"/>
  <c r="L349"/>
  <c r="K349"/>
  <c r="N348"/>
  <c r="M348"/>
  <c r="L348"/>
  <c r="N345"/>
  <c r="M345"/>
  <c r="M236" s="1"/>
  <c r="M213" s="1"/>
  <c r="L345"/>
  <c r="K345"/>
  <c r="N343"/>
  <c r="M343"/>
  <c r="L343"/>
  <c r="K343"/>
  <c r="N342"/>
  <c r="M342"/>
  <c r="L342"/>
  <c r="K342"/>
  <c r="N341"/>
  <c r="M341"/>
  <c r="L341"/>
  <c r="K341"/>
  <c r="N330"/>
  <c r="M330"/>
  <c r="L330"/>
  <c r="K330"/>
  <c r="N329"/>
  <c r="M329"/>
  <c r="M242" s="1"/>
  <c r="M219" s="1"/>
  <c r="L329"/>
  <c r="K329"/>
  <c r="N328"/>
  <c r="M328"/>
  <c r="L328"/>
  <c r="K328"/>
  <c r="N327"/>
  <c r="M327"/>
  <c r="L327"/>
  <c r="K327"/>
  <c r="N325"/>
  <c r="M325"/>
  <c r="L325"/>
  <c r="K325"/>
  <c r="N322"/>
  <c r="M322"/>
  <c r="L322"/>
  <c r="K322"/>
  <c r="K321" s="1"/>
  <c r="K320" s="1"/>
  <c r="K319" s="1"/>
  <c r="N321"/>
  <c r="M321"/>
  <c r="M320" s="1"/>
  <c r="M319" s="1"/>
  <c r="L321"/>
  <c r="N320"/>
  <c r="L320"/>
  <c r="L319" s="1"/>
  <c r="N319"/>
  <c r="N314" s="1"/>
  <c r="N317"/>
  <c r="M317"/>
  <c r="L317"/>
  <c r="K317"/>
  <c r="N316"/>
  <c r="M316"/>
  <c r="L316"/>
  <c r="K316"/>
  <c r="N315"/>
  <c r="M315"/>
  <c r="L315"/>
  <c r="L314" s="1"/>
  <c r="K315"/>
  <c r="N312"/>
  <c r="M312"/>
  <c r="L312"/>
  <c r="K312"/>
  <c r="N311"/>
  <c r="N310" s="1"/>
  <c r="M311"/>
  <c r="M310" s="1"/>
  <c r="L311"/>
  <c r="L310" s="1"/>
  <c r="N308"/>
  <c r="M308"/>
  <c r="M307" s="1"/>
  <c r="M306" s="1"/>
  <c r="L308"/>
  <c r="L307" s="1"/>
  <c r="L306" s="1"/>
  <c r="K308"/>
  <c r="N307"/>
  <c r="N306" s="1"/>
  <c r="K307"/>
  <c r="N302"/>
  <c r="N301" s="1"/>
  <c r="L302"/>
  <c r="L301" s="1"/>
  <c r="K302"/>
  <c r="K301" s="1"/>
  <c r="M302"/>
  <c r="M301" s="1"/>
  <c r="N297"/>
  <c r="N296" s="1"/>
  <c r="K297"/>
  <c r="K296" s="1"/>
  <c r="M297"/>
  <c r="L297"/>
  <c r="L296" s="1"/>
  <c r="M296"/>
  <c r="N293"/>
  <c r="M293"/>
  <c r="L293"/>
  <c r="L266" s="1"/>
  <c r="L249" s="1"/>
  <c r="L228" s="1"/>
  <c r="K293"/>
  <c r="N292"/>
  <c r="M292"/>
  <c r="K292"/>
  <c r="N291"/>
  <c r="M291"/>
  <c r="K291"/>
  <c r="N289"/>
  <c r="M289"/>
  <c r="L289"/>
  <c r="L288" s="1"/>
  <c r="K289"/>
  <c r="N288"/>
  <c r="M288"/>
  <c r="K288"/>
  <c r="N267"/>
  <c r="M267"/>
  <c r="L267"/>
  <c r="L250" s="1"/>
  <c r="L229" s="1"/>
  <c r="K267"/>
  <c r="K250" s="1"/>
  <c r="N266"/>
  <c r="N249" s="1"/>
  <c r="N265"/>
  <c r="N248" s="1"/>
  <c r="N227" s="1"/>
  <c r="M265"/>
  <c r="K265"/>
  <c r="N263"/>
  <c r="N247" s="1"/>
  <c r="N226" s="1"/>
  <c r="M263"/>
  <c r="L263"/>
  <c r="K263"/>
  <c r="N261"/>
  <c r="M261"/>
  <c r="L261"/>
  <c r="K261"/>
  <c r="N253"/>
  <c r="N252" s="1"/>
  <c r="M253"/>
  <c r="M252" s="1"/>
  <c r="L253"/>
  <c r="L252" s="1"/>
  <c r="N250"/>
  <c r="M250"/>
  <c r="M229" s="1"/>
  <c r="M248"/>
  <c r="K248"/>
  <c r="M247"/>
  <c r="M226" s="1"/>
  <c r="L247"/>
  <c r="K247"/>
  <c r="N246"/>
  <c r="M246"/>
  <c r="M225" s="1"/>
  <c r="L246"/>
  <c r="K246"/>
  <c r="N245"/>
  <c r="M245"/>
  <c r="M222" s="1"/>
  <c r="L245"/>
  <c r="K245"/>
  <c r="N243"/>
  <c r="M243"/>
  <c r="M220" s="1"/>
  <c r="L243"/>
  <c r="K243"/>
  <c r="N242"/>
  <c r="L242"/>
  <c r="L219" s="1"/>
  <c r="K242"/>
  <c r="N241"/>
  <c r="M241"/>
  <c r="L241"/>
  <c r="L218" s="1"/>
  <c r="K241"/>
  <c r="N240"/>
  <c r="M240"/>
  <c r="L240"/>
  <c r="K240"/>
  <c r="N239"/>
  <c r="M239"/>
  <c r="L239"/>
  <c r="L216" s="1"/>
  <c r="K239"/>
  <c r="N238"/>
  <c r="M238"/>
  <c r="L238"/>
  <c r="N237"/>
  <c r="M237"/>
  <c r="L237"/>
  <c r="K237"/>
  <c r="K214" s="1"/>
  <c r="N236"/>
  <c r="L236"/>
  <c r="L213" s="1"/>
  <c r="K236"/>
  <c r="N235"/>
  <c r="M235"/>
  <c r="L235"/>
  <c r="K235"/>
  <c r="N234"/>
  <c r="M234"/>
  <c r="L234"/>
  <c r="K234"/>
  <c r="N230"/>
  <c r="M230"/>
  <c r="L230"/>
  <c r="K230"/>
  <c r="N229"/>
  <c r="K227"/>
  <c r="L226"/>
  <c r="K226"/>
  <c r="N225"/>
  <c r="N224"/>
  <c r="M224"/>
  <c r="L224"/>
  <c r="K224"/>
  <c r="N223"/>
  <c r="M223"/>
  <c r="L223"/>
  <c r="K223"/>
  <c r="N222"/>
  <c r="N220"/>
  <c r="L220"/>
  <c r="K220"/>
  <c r="N219"/>
  <c r="N218"/>
  <c r="M218"/>
  <c r="N216"/>
  <c r="M216"/>
  <c r="K216"/>
  <c r="N214"/>
  <c r="M214"/>
  <c r="L214"/>
  <c r="N213"/>
  <c r="K213"/>
  <c r="N200"/>
  <c r="M200"/>
  <c r="L200"/>
  <c r="K200"/>
  <c r="N199"/>
  <c r="M199"/>
  <c r="L199"/>
  <c r="K199"/>
  <c r="K198" s="1"/>
  <c r="N198"/>
  <c r="M198"/>
  <c r="L198"/>
  <c r="N192"/>
  <c r="M192"/>
  <c r="L192"/>
  <c r="K192"/>
  <c r="N190"/>
  <c r="M190"/>
  <c r="L190"/>
  <c r="K190"/>
  <c r="N187"/>
  <c r="M187"/>
  <c r="L187"/>
  <c r="K187"/>
  <c r="N182"/>
  <c r="M182"/>
  <c r="L182"/>
  <c r="K182"/>
  <c r="N179"/>
  <c r="M179"/>
  <c r="L179"/>
  <c r="K179"/>
  <c r="N173"/>
  <c r="M173"/>
  <c r="L173"/>
  <c r="K173"/>
  <c r="N169"/>
  <c r="M169"/>
  <c r="L169"/>
  <c r="K169"/>
  <c r="N157"/>
  <c r="M157"/>
  <c r="L157"/>
  <c r="K157"/>
  <c r="N155"/>
  <c r="M155"/>
  <c r="L155"/>
  <c r="K155"/>
  <c r="N154"/>
  <c r="M154"/>
  <c r="L154"/>
  <c r="K154"/>
  <c r="N153"/>
  <c r="M153"/>
  <c r="L153"/>
  <c r="K153"/>
  <c r="N152"/>
  <c r="M152"/>
  <c r="L152"/>
  <c r="K152"/>
  <c r="N151"/>
  <c r="M151"/>
  <c r="L151"/>
  <c r="K151"/>
  <c r="N150"/>
  <c r="M150"/>
  <c r="L150"/>
  <c r="K150"/>
  <c r="N148"/>
  <c r="M148"/>
  <c r="L148"/>
  <c r="K148"/>
  <c r="N147"/>
  <c r="M147"/>
  <c r="L147"/>
  <c r="K147"/>
  <c r="N146"/>
  <c r="M146"/>
  <c r="L146"/>
  <c r="K146"/>
  <c r="N145"/>
  <c r="M145"/>
  <c r="L145"/>
  <c r="K145"/>
  <c r="N144"/>
  <c r="M144"/>
  <c r="L144"/>
  <c r="K144"/>
  <c r="N142"/>
  <c r="M142"/>
  <c r="L142"/>
  <c r="K142"/>
  <c r="N138"/>
  <c r="M138"/>
  <c r="L138"/>
  <c r="K138"/>
  <c r="N137"/>
  <c r="M137"/>
  <c r="L137"/>
  <c r="K137"/>
  <c r="N136"/>
  <c r="M136"/>
  <c r="L136"/>
  <c r="K136"/>
  <c r="N135"/>
  <c r="M135"/>
  <c r="L135"/>
  <c r="K135"/>
  <c r="N133"/>
  <c r="M133"/>
  <c r="L133"/>
  <c r="K133"/>
  <c r="N132"/>
  <c r="M132"/>
  <c r="L132"/>
  <c r="K132"/>
  <c r="N131"/>
  <c r="M131"/>
  <c r="L131"/>
  <c r="K131"/>
  <c r="N130"/>
  <c r="M130"/>
  <c r="L130"/>
  <c r="K130"/>
  <c r="N129"/>
  <c r="M129"/>
  <c r="L129"/>
  <c r="K129"/>
  <c r="N128"/>
  <c r="M128"/>
  <c r="L128"/>
  <c r="K128"/>
  <c r="N125"/>
  <c r="M125"/>
  <c r="L125"/>
  <c r="K125"/>
  <c r="N124"/>
  <c r="M124"/>
  <c r="L124"/>
  <c r="K124"/>
  <c r="N123"/>
  <c r="M123"/>
  <c r="L123"/>
  <c r="K123"/>
  <c r="N122"/>
  <c r="M122"/>
  <c r="L122"/>
  <c r="K122"/>
  <c r="N121"/>
  <c r="M121"/>
  <c r="L121"/>
  <c r="K121"/>
  <c r="N118"/>
  <c r="M118"/>
  <c r="L118"/>
  <c r="K118"/>
  <c r="N117"/>
  <c r="N116" s="1"/>
  <c r="M117"/>
  <c r="M116" s="1"/>
  <c r="L117"/>
  <c r="L116" s="1"/>
  <c r="K117"/>
  <c r="K116" s="1"/>
  <c r="N115"/>
  <c r="M115"/>
  <c r="L115"/>
  <c r="K115"/>
  <c r="N114"/>
  <c r="M114"/>
  <c r="L114"/>
  <c r="K114"/>
  <c r="N109"/>
  <c r="M109"/>
  <c r="L109"/>
  <c r="K109"/>
  <c r="N101"/>
  <c r="M101"/>
  <c r="L101"/>
  <c r="K101"/>
  <c r="N97"/>
  <c r="M97"/>
  <c r="L97"/>
  <c r="K97"/>
  <c r="N93"/>
  <c r="N194" s="1"/>
  <c r="M93"/>
  <c r="M194" s="1"/>
  <c r="L93"/>
  <c r="L194" s="1"/>
  <c r="K93"/>
  <c r="K92" s="1"/>
  <c r="N92"/>
  <c r="N193" s="1"/>
  <c r="M92"/>
  <c r="M193" s="1"/>
  <c r="L92"/>
  <c r="L193" s="1"/>
  <c r="N84"/>
  <c r="N170" s="1"/>
  <c r="M84"/>
  <c r="M170" s="1"/>
  <c r="L84"/>
  <c r="L170" s="1"/>
  <c r="K84"/>
  <c r="K170" s="1"/>
  <c r="N64"/>
  <c r="M64"/>
  <c r="L64"/>
  <c r="K64"/>
  <c r="N56"/>
  <c r="M56"/>
  <c r="L56"/>
  <c r="K56"/>
  <c r="N54"/>
  <c r="M54"/>
  <c r="L54"/>
  <c r="K54"/>
  <c r="N49"/>
  <c r="M49"/>
  <c r="L49"/>
  <c r="K49"/>
  <c r="N139"/>
  <c r="M139"/>
  <c r="K139"/>
  <c r="N38"/>
  <c r="M38"/>
  <c r="L38"/>
  <c r="K38"/>
  <c r="N29"/>
  <c r="N127" s="1"/>
  <c r="M29"/>
  <c r="M127" s="1"/>
  <c r="L29"/>
  <c r="L127" s="1"/>
  <c r="K29"/>
  <c r="K127" s="1"/>
  <c r="N24"/>
  <c r="N126" s="1"/>
  <c r="N120" s="1"/>
  <c r="N119" s="1"/>
  <c r="M24"/>
  <c r="M126" s="1"/>
  <c r="L24"/>
  <c r="L126" s="1"/>
  <c r="K24"/>
  <c r="K126" s="1"/>
  <c r="N18"/>
  <c r="N17" s="1"/>
  <c r="M18"/>
  <c r="M17" s="1"/>
  <c r="K18"/>
  <c r="K17" s="1"/>
  <c r="N14"/>
  <c r="M14"/>
  <c r="L14"/>
  <c r="K14"/>
  <c r="N12"/>
  <c r="M12"/>
  <c r="L12"/>
  <c r="K12"/>
  <c r="J633"/>
  <c r="K746" l="1"/>
  <c r="K725"/>
  <c r="L265"/>
  <c r="L248" s="1"/>
  <c r="M314"/>
  <c r="L780"/>
  <c r="L292"/>
  <c r="L291" s="1"/>
  <c r="K120"/>
  <c r="K119" s="1"/>
  <c r="N168"/>
  <c r="N71"/>
  <c r="N70" s="1"/>
  <c r="M71"/>
  <c r="M70" s="1"/>
  <c r="M168"/>
  <c r="L168"/>
  <c r="L71"/>
  <c r="L70" s="1"/>
  <c r="N164"/>
  <c r="N163" s="1"/>
  <c r="K724"/>
  <c r="M227"/>
  <c r="M164"/>
  <c r="M163" s="1"/>
  <c r="L260"/>
  <c r="L225"/>
  <c r="L164"/>
  <c r="L163" s="1"/>
  <c r="N724"/>
  <c r="K775"/>
  <c r="L833"/>
  <c r="K314"/>
  <c r="M724"/>
  <c r="L835"/>
  <c r="L837"/>
  <c r="L726"/>
  <c r="L725"/>
  <c r="L746"/>
  <c r="L724" s="1"/>
  <c r="K193"/>
  <c r="K194"/>
  <c r="M525"/>
  <c r="K238"/>
  <c r="L384"/>
  <c r="K384"/>
  <c r="M384"/>
  <c r="M211" s="1"/>
  <c r="L227"/>
  <c r="L876"/>
  <c r="L834" s="1"/>
  <c r="K885"/>
  <c r="M266"/>
  <c r="M249" s="1"/>
  <c r="M228" s="1"/>
  <c r="M817"/>
  <c r="M775" s="1"/>
  <c r="M821"/>
  <c r="M780" s="1"/>
  <c r="L244"/>
  <c r="K311"/>
  <c r="K266"/>
  <c r="K249" s="1"/>
  <c r="K228" s="1"/>
  <c r="M527"/>
  <c r="L120"/>
  <c r="L119" s="1"/>
  <c r="L18"/>
  <c r="L17" s="1"/>
  <c r="K306"/>
  <c r="N244"/>
  <c r="N221" s="1"/>
  <c r="N228"/>
  <c r="N260"/>
  <c r="K219"/>
  <c r="M386"/>
  <c r="M215" s="1"/>
  <c r="K622"/>
  <c r="M658"/>
  <c r="M619" s="1"/>
  <c r="K677"/>
  <c r="L656"/>
  <c r="L617" s="1"/>
  <c r="L657"/>
  <c r="K657"/>
  <c r="K658"/>
  <c r="L385"/>
  <c r="L212" s="1"/>
  <c r="K385"/>
  <c r="K212" s="1"/>
  <c r="K639"/>
  <c r="K80" s="1"/>
  <c r="N387"/>
  <c r="N217" s="1"/>
  <c r="K387"/>
  <c r="L524"/>
  <c r="L525"/>
  <c r="L527"/>
  <c r="L386" s="1"/>
  <c r="L215" s="1"/>
  <c r="K527"/>
  <c r="N524"/>
  <c r="M524"/>
  <c r="N523"/>
  <c r="N525"/>
  <c r="M523"/>
  <c r="L523"/>
  <c r="K525"/>
  <c r="L233"/>
  <c r="N233"/>
  <c r="M233"/>
  <c r="N232"/>
  <c r="M232"/>
  <c r="L232"/>
  <c r="L251"/>
  <c r="L231" s="1"/>
  <c r="L211"/>
  <c r="K252"/>
  <c r="K233"/>
  <c r="K222"/>
  <c r="K225"/>
  <c r="K670"/>
  <c r="K656" s="1"/>
  <c r="K617" s="1"/>
  <c r="K625"/>
  <c r="K628"/>
  <c r="L217"/>
  <c r="K217"/>
  <c r="N408"/>
  <c r="N398" s="1"/>
  <c r="K408"/>
  <c r="K398" s="1"/>
  <c r="N407"/>
  <c r="N397" s="1"/>
  <c r="K407"/>
  <c r="K397" s="1"/>
  <c r="K409"/>
  <c r="K399" s="1"/>
  <c r="L458"/>
  <c r="L407" s="1"/>
  <c r="L397" s="1"/>
  <c r="L409"/>
  <c r="L399" s="1"/>
  <c r="L408"/>
  <c r="L398" s="1"/>
  <c r="M458"/>
  <c r="M407" s="1"/>
  <c r="M397" s="1"/>
  <c r="M409"/>
  <c r="M399" s="1"/>
  <c r="M408"/>
  <c r="M398" s="1"/>
  <c r="N385"/>
  <c r="N212" s="1"/>
  <c r="N672"/>
  <c r="N658" s="1"/>
  <c r="N619" s="1"/>
  <c r="N659"/>
  <c r="N620" s="1"/>
  <c r="N384" s="1"/>
  <c r="N211" s="1"/>
  <c r="M621"/>
  <c r="M677"/>
  <c r="M656" s="1"/>
  <c r="M617" s="1"/>
  <c r="M657"/>
  <c r="M618" s="1"/>
  <c r="K211"/>
  <c r="N527"/>
  <c r="K601"/>
  <c r="K218"/>
  <c r="M120"/>
  <c r="M119" s="1"/>
  <c r="M217"/>
  <c r="L221"/>
  <c r="K348"/>
  <c r="L222"/>
  <c r="M244" l="1"/>
  <c r="M221" s="1"/>
  <c r="M61" s="1"/>
  <c r="K71"/>
  <c r="K70" s="1"/>
  <c r="K168"/>
  <c r="K164" s="1"/>
  <c r="K163" s="1"/>
  <c r="L619"/>
  <c r="L383" s="1"/>
  <c r="L210" s="1"/>
  <c r="L618"/>
  <c r="L382" s="1"/>
  <c r="L209" s="1"/>
  <c r="N383"/>
  <c r="N210" s="1"/>
  <c r="K875"/>
  <c r="M385"/>
  <c r="M260"/>
  <c r="M251" s="1"/>
  <c r="M231" s="1"/>
  <c r="L61"/>
  <c r="N61"/>
  <c r="K310"/>
  <c r="K244"/>
  <c r="K260"/>
  <c r="N251"/>
  <c r="N231" s="1"/>
  <c r="K386"/>
  <c r="K215" s="1"/>
  <c r="M383"/>
  <c r="M210" s="1"/>
  <c r="K618"/>
  <c r="K619"/>
  <c r="K383" s="1"/>
  <c r="L381"/>
  <c r="L208" s="1"/>
  <c r="K232"/>
  <c r="K390"/>
  <c r="K396"/>
  <c r="M382"/>
  <c r="M209" s="1"/>
  <c r="N671"/>
  <c r="M212"/>
  <c r="M381"/>
  <c r="N386"/>
  <c r="K600"/>
  <c r="K524"/>
  <c r="N62" l="1"/>
  <c r="N59" s="1"/>
  <c r="N37" s="1"/>
  <c r="N11" s="1"/>
  <c r="M62"/>
  <c r="M59" s="1"/>
  <c r="M37" s="1"/>
  <c r="M11" s="1"/>
  <c r="L158"/>
  <c r="L156" s="1"/>
  <c r="L134" s="1"/>
  <c r="L113" s="1"/>
  <c r="M208"/>
  <c r="K833"/>
  <c r="L62"/>
  <c r="L59" s="1"/>
  <c r="L37" s="1"/>
  <c r="L11" s="1"/>
  <c r="L908" s="1"/>
  <c r="L178"/>
  <c r="L177" s="1"/>
  <c r="L176" s="1"/>
  <c r="N158"/>
  <c r="M158"/>
  <c r="K251"/>
  <c r="K210"/>
  <c r="K221"/>
  <c r="K229"/>
  <c r="N670"/>
  <c r="N656" s="1"/>
  <c r="N657"/>
  <c r="N618" s="1"/>
  <c r="N382" s="1"/>
  <c r="N209" s="1"/>
  <c r="N215"/>
  <c r="K523"/>
  <c r="K382"/>
  <c r="M908" l="1"/>
  <c r="N178"/>
  <c r="N177" s="1"/>
  <c r="N176" s="1"/>
  <c r="N156"/>
  <c r="N134" s="1"/>
  <c r="N113" s="1"/>
  <c r="M156"/>
  <c r="M134" s="1"/>
  <c r="M113" s="1"/>
  <c r="M178"/>
  <c r="M177" s="1"/>
  <c r="M176" s="1"/>
  <c r="K231"/>
  <c r="N617"/>
  <c r="K381"/>
  <c r="K209"/>
  <c r="K158" l="1"/>
  <c r="K62"/>
  <c r="N381"/>
  <c r="N208" s="1"/>
  <c r="K208"/>
  <c r="K59" l="1"/>
  <c r="K37" s="1"/>
  <c r="N908"/>
  <c r="K178"/>
  <c r="K156"/>
  <c r="K11" l="1"/>
  <c r="K134"/>
  <c r="K177"/>
  <c r="O890"/>
  <c r="P890"/>
  <c r="Q890"/>
  <c r="O241"/>
  <c r="P241"/>
  <c r="Q241"/>
  <c r="J241"/>
  <c r="Q254"/>
  <c r="P254"/>
  <c r="P253" s="1"/>
  <c r="O254"/>
  <c r="O253" s="1"/>
  <c r="J254"/>
  <c r="J253" s="1"/>
  <c r="Q253"/>
  <c r="C972"/>
  <c r="C971" s="1"/>
  <c r="J704"/>
  <c r="K908" l="1"/>
  <c r="K113"/>
  <c r="K176"/>
  <c r="J695"/>
  <c r="J694"/>
  <c r="J667"/>
  <c r="J666"/>
  <c r="J892"/>
  <c r="C920"/>
  <c r="C998"/>
  <c r="C999"/>
  <c r="J905"/>
  <c r="J904" s="1"/>
  <c r="J903" s="1"/>
  <c r="C993" l="1"/>
  <c r="C992"/>
  <c r="C987"/>
  <c r="C986" s="1"/>
  <c r="C980"/>
  <c r="C979" s="1"/>
  <c r="C977"/>
  <c r="C975"/>
  <c r="C973"/>
  <c r="C969"/>
  <c r="C963"/>
  <c r="C958"/>
  <c r="C956"/>
  <c r="C954"/>
  <c r="C948"/>
  <c r="C946"/>
  <c r="D905"/>
  <c r="D904" s="1"/>
  <c r="D903" s="1"/>
  <c r="Q899"/>
  <c r="Q898" s="1"/>
  <c r="P899"/>
  <c r="P898" s="1"/>
  <c r="O899"/>
  <c r="O898" s="1"/>
  <c r="J899"/>
  <c r="I899"/>
  <c r="I898" s="1"/>
  <c r="H899"/>
  <c r="H898" s="1"/>
  <c r="G899"/>
  <c r="G898" s="1"/>
  <c r="F899"/>
  <c r="F898" s="1"/>
  <c r="E899"/>
  <c r="E898" s="1"/>
  <c r="D899"/>
  <c r="D898" s="1"/>
  <c r="C899"/>
  <c r="C898" s="1"/>
  <c r="J890"/>
  <c r="I891"/>
  <c r="I890" s="1"/>
  <c r="G891"/>
  <c r="G883" s="1"/>
  <c r="G845" s="1"/>
  <c r="E891"/>
  <c r="E890" s="1"/>
  <c r="H890"/>
  <c r="F890"/>
  <c r="D890"/>
  <c r="Q879"/>
  <c r="P879"/>
  <c r="O879"/>
  <c r="J887"/>
  <c r="E889"/>
  <c r="E879" s="1"/>
  <c r="I887"/>
  <c r="I886" s="1"/>
  <c r="H887"/>
  <c r="H886" s="1"/>
  <c r="G887"/>
  <c r="G877" s="1"/>
  <c r="F887"/>
  <c r="F877" s="1"/>
  <c r="D887"/>
  <c r="D886" s="1"/>
  <c r="Q846"/>
  <c r="Q230" s="1"/>
  <c r="P846"/>
  <c r="P230" s="1"/>
  <c r="O846"/>
  <c r="O230" s="1"/>
  <c r="I884"/>
  <c r="I846" s="1"/>
  <c r="I230" s="1"/>
  <c r="H884"/>
  <c r="H846" s="1"/>
  <c r="H230" s="1"/>
  <c r="G884"/>
  <c r="G846" s="1"/>
  <c r="G230" s="1"/>
  <c r="F884"/>
  <c r="F846" s="1"/>
  <c r="F230" s="1"/>
  <c r="E884"/>
  <c r="E846" s="1"/>
  <c r="E230" s="1"/>
  <c r="D884"/>
  <c r="D846" s="1"/>
  <c r="D230" s="1"/>
  <c r="Q883"/>
  <c r="Q845" s="1"/>
  <c r="P883"/>
  <c r="P845" s="1"/>
  <c r="O883"/>
  <c r="O845" s="1"/>
  <c r="H883"/>
  <c r="H845" s="1"/>
  <c r="F883"/>
  <c r="D883"/>
  <c r="D845" s="1"/>
  <c r="Q882"/>
  <c r="P882"/>
  <c r="O882"/>
  <c r="J882"/>
  <c r="I882"/>
  <c r="H882"/>
  <c r="H880" s="1"/>
  <c r="G882"/>
  <c r="F882"/>
  <c r="E882"/>
  <c r="D882"/>
  <c r="J879"/>
  <c r="I879"/>
  <c r="I876" s="1"/>
  <c r="H879"/>
  <c r="G879"/>
  <c r="G876" s="1"/>
  <c r="F879"/>
  <c r="F876" s="1"/>
  <c r="D879"/>
  <c r="D876" s="1"/>
  <c r="Q878"/>
  <c r="P878"/>
  <c r="P836" s="1"/>
  <c r="O878"/>
  <c r="J878"/>
  <c r="J836" s="1"/>
  <c r="I878"/>
  <c r="H878"/>
  <c r="H836" s="1"/>
  <c r="G878"/>
  <c r="G836" s="1"/>
  <c r="F878"/>
  <c r="F836" s="1"/>
  <c r="E878"/>
  <c r="D878"/>
  <c r="D836" s="1"/>
  <c r="H876"/>
  <c r="I873"/>
  <c r="E873"/>
  <c r="D873"/>
  <c r="I870"/>
  <c r="I869" s="1"/>
  <c r="I868" s="1"/>
  <c r="I867" s="1"/>
  <c r="I866" s="1"/>
  <c r="I865" s="1"/>
  <c r="E870"/>
  <c r="E869" s="1"/>
  <c r="E868" s="1"/>
  <c r="E867" s="1"/>
  <c r="E866" s="1"/>
  <c r="E865" s="1"/>
  <c r="D870"/>
  <c r="D869" s="1"/>
  <c r="D868" s="1"/>
  <c r="D867" s="1"/>
  <c r="D866" s="1"/>
  <c r="D865" s="1"/>
  <c r="I863"/>
  <c r="I862" s="1"/>
  <c r="I861" s="1"/>
  <c r="E863"/>
  <c r="E862" s="1"/>
  <c r="E861" s="1"/>
  <c r="D863"/>
  <c r="D862" s="1"/>
  <c r="D861" s="1"/>
  <c r="Q859"/>
  <c r="Q849" s="1"/>
  <c r="P859"/>
  <c r="P858" s="1"/>
  <c r="P857" s="1"/>
  <c r="O859"/>
  <c r="O858" s="1"/>
  <c r="J859"/>
  <c r="J858" s="1"/>
  <c r="I859"/>
  <c r="I858" s="1"/>
  <c r="I857" s="1"/>
  <c r="H859"/>
  <c r="H858" s="1"/>
  <c r="H857" s="1"/>
  <c r="G859"/>
  <c r="G858" s="1"/>
  <c r="F859"/>
  <c r="F858" s="1"/>
  <c r="E859"/>
  <c r="E858" s="1"/>
  <c r="E857" s="1"/>
  <c r="D859"/>
  <c r="D858" s="1"/>
  <c r="D857" s="1"/>
  <c r="Q855"/>
  <c r="Q854" s="1"/>
  <c r="P855"/>
  <c r="P854" s="1"/>
  <c r="O855"/>
  <c r="J855"/>
  <c r="J852" s="1"/>
  <c r="I855"/>
  <c r="I854" s="1"/>
  <c r="H855"/>
  <c r="H854" s="1"/>
  <c r="G855"/>
  <c r="F855"/>
  <c r="F854" s="1"/>
  <c r="E855"/>
  <c r="E854" s="1"/>
  <c r="D855"/>
  <c r="D854" s="1"/>
  <c r="O854"/>
  <c r="J854"/>
  <c r="G854"/>
  <c r="Q853"/>
  <c r="Q841" s="1"/>
  <c r="P853"/>
  <c r="P841" s="1"/>
  <c r="O853"/>
  <c r="O841" s="1"/>
  <c r="J853"/>
  <c r="J841" s="1"/>
  <c r="I853"/>
  <c r="I841" s="1"/>
  <c r="H853"/>
  <c r="H841" s="1"/>
  <c r="G853"/>
  <c r="G841" s="1"/>
  <c r="F853"/>
  <c r="F841" s="1"/>
  <c r="E853"/>
  <c r="E841" s="1"/>
  <c r="D853"/>
  <c r="D841" s="1"/>
  <c r="O852"/>
  <c r="G852"/>
  <c r="Q851"/>
  <c r="Q839" s="1"/>
  <c r="P851"/>
  <c r="P839" s="1"/>
  <c r="O851"/>
  <c r="J851"/>
  <c r="J839" s="1"/>
  <c r="I851"/>
  <c r="I839" s="1"/>
  <c r="H851"/>
  <c r="H839" s="1"/>
  <c r="G851"/>
  <c r="F851"/>
  <c r="F839" s="1"/>
  <c r="E851"/>
  <c r="E839" s="1"/>
  <c r="D851"/>
  <c r="D839" s="1"/>
  <c r="Q850"/>
  <c r="P850"/>
  <c r="O850"/>
  <c r="J850"/>
  <c r="I850"/>
  <c r="H850"/>
  <c r="H837" s="1"/>
  <c r="G850"/>
  <c r="G837" s="1"/>
  <c r="F850"/>
  <c r="E850"/>
  <c r="D850"/>
  <c r="D849"/>
  <c r="F845"/>
  <c r="Q843"/>
  <c r="P843"/>
  <c r="O843"/>
  <c r="J843"/>
  <c r="I843"/>
  <c r="H843"/>
  <c r="G843"/>
  <c r="F843"/>
  <c r="E843"/>
  <c r="D843"/>
  <c r="Q842"/>
  <c r="P842"/>
  <c r="O842"/>
  <c r="J842"/>
  <c r="I842"/>
  <c r="H842"/>
  <c r="G842"/>
  <c r="F842"/>
  <c r="E842"/>
  <c r="D842"/>
  <c r="O839"/>
  <c r="G839"/>
  <c r="Q838"/>
  <c r="P838"/>
  <c r="O838"/>
  <c r="J838"/>
  <c r="H838"/>
  <c r="G838"/>
  <c r="F838"/>
  <c r="Q836"/>
  <c r="O836"/>
  <c r="I836"/>
  <c r="E836"/>
  <c r="I832"/>
  <c r="I829" s="1"/>
  <c r="I828" s="1"/>
  <c r="I827" s="1"/>
  <c r="E832"/>
  <c r="Q829"/>
  <c r="Q828" s="1"/>
  <c r="Q827" s="1"/>
  <c r="P829"/>
  <c r="P828" s="1"/>
  <c r="P827" s="1"/>
  <c r="O829"/>
  <c r="O828" s="1"/>
  <c r="O827" s="1"/>
  <c r="J829"/>
  <c r="H829"/>
  <c r="H828" s="1"/>
  <c r="H827" s="1"/>
  <c r="G829"/>
  <c r="G828" s="1"/>
  <c r="G827" s="1"/>
  <c r="F829"/>
  <c r="F828" s="1"/>
  <c r="F827" s="1"/>
  <c r="E829"/>
  <c r="E828" s="1"/>
  <c r="E827" s="1"/>
  <c r="D829"/>
  <c r="D828" s="1"/>
  <c r="D827" s="1"/>
  <c r="Q825"/>
  <c r="Q824" s="1"/>
  <c r="P825"/>
  <c r="O825"/>
  <c r="J825"/>
  <c r="I825"/>
  <c r="I824" s="1"/>
  <c r="H825"/>
  <c r="H824" s="1"/>
  <c r="G825"/>
  <c r="G824" s="1"/>
  <c r="G823" s="1"/>
  <c r="F825"/>
  <c r="E825"/>
  <c r="E824" s="1"/>
  <c r="D825"/>
  <c r="O824"/>
  <c r="O823" s="1"/>
  <c r="Q815"/>
  <c r="Q811" s="1"/>
  <c r="P815"/>
  <c r="P811" s="1"/>
  <c r="O815"/>
  <c r="O811" s="1"/>
  <c r="J815"/>
  <c r="J811" s="1"/>
  <c r="I815"/>
  <c r="H815"/>
  <c r="H811" s="1"/>
  <c r="G815"/>
  <c r="G811" s="1"/>
  <c r="F815"/>
  <c r="F811" s="1"/>
  <c r="E815"/>
  <c r="D815"/>
  <c r="I813"/>
  <c r="I812" s="1"/>
  <c r="E813"/>
  <c r="E812" s="1"/>
  <c r="D813"/>
  <c r="D812" s="1"/>
  <c r="Q809"/>
  <c r="Q807" s="1"/>
  <c r="P809"/>
  <c r="P807" s="1"/>
  <c r="O809"/>
  <c r="O808" s="1"/>
  <c r="J809"/>
  <c r="J807" s="1"/>
  <c r="I809"/>
  <c r="I808" s="1"/>
  <c r="H809"/>
  <c r="H807" s="1"/>
  <c r="G809"/>
  <c r="G808" s="1"/>
  <c r="F809"/>
  <c r="F807" s="1"/>
  <c r="E809"/>
  <c r="E807" s="1"/>
  <c r="D809"/>
  <c r="D807" s="1"/>
  <c r="Q803"/>
  <c r="Q802" s="1"/>
  <c r="Q801" s="1"/>
  <c r="P803"/>
  <c r="P802" s="1"/>
  <c r="P801" s="1"/>
  <c r="O803"/>
  <c r="O791" s="1"/>
  <c r="J803"/>
  <c r="I803"/>
  <c r="I802" s="1"/>
  <c r="I801" s="1"/>
  <c r="H803"/>
  <c r="H802" s="1"/>
  <c r="H801" s="1"/>
  <c r="G803"/>
  <c r="G791" s="1"/>
  <c r="F803"/>
  <c r="E803"/>
  <c r="E802" s="1"/>
  <c r="E801" s="1"/>
  <c r="D803"/>
  <c r="D802" s="1"/>
  <c r="D801" s="1"/>
  <c r="Q799"/>
  <c r="P799"/>
  <c r="O799"/>
  <c r="J799"/>
  <c r="I799"/>
  <c r="H799"/>
  <c r="G799"/>
  <c r="F799"/>
  <c r="E799"/>
  <c r="D799"/>
  <c r="D798"/>
  <c r="D796" s="1"/>
  <c r="Q796"/>
  <c r="Q795" s="1"/>
  <c r="P796"/>
  <c r="P787" s="1"/>
  <c r="P777" s="1"/>
  <c r="O796"/>
  <c r="J796"/>
  <c r="I796"/>
  <c r="I795" s="1"/>
  <c r="H796"/>
  <c r="H795" s="1"/>
  <c r="G796"/>
  <c r="F796"/>
  <c r="F795" s="1"/>
  <c r="E796"/>
  <c r="E795" s="1"/>
  <c r="Q793"/>
  <c r="Q784" s="1"/>
  <c r="P793"/>
  <c r="P784" s="1"/>
  <c r="O793"/>
  <c r="J793"/>
  <c r="I793"/>
  <c r="I784" s="1"/>
  <c r="H793"/>
  <c r="H784" s="1"/>
  <c r="G793"/>
  <c r="F793"/>
  <c r="E793"/>
  <c r="E784" s="1"/>
  <c r="D793"/>
  <c r="D784" s="1"/>
  <c r="Q792"/>
  <c r="P792"/>
  <c r="O792"/>
  <c r="O783" s="1"/>
  <c r="J792"/>
  <c r="J783" s="1"/>
  <c r="I792"/>
  <c r="H792"/>
  <c r="G792"/>
  <c r="G783" s="1"/>
  <c r="F792"/>
  <c r="F783" s="1"/>
  <c r="E792"/>
  <c r="D792"/>
  <c r="Q791"/>
  <c r="Q789"/>
  <c r="Q779" s="1"/>
  <c r="P789"/>
  <c r="P779" s="1"/>
  <c r="O789"/>
  <c r="O779" s="1"/>
  <c r="J789"/>
  <c r="I789"/>
  <c r="I779" s="1"/>
  <c r="H789"/>
  <c r="H779" s="1"/>
  <c r="G789"/>
  <c r="F789"/>
  <c r="F779" s="1"/>
  <c r="E789"/>
  <c r="E779" s="1"/>
  <c r="D789"/>
  <c r="D779" s="1"/>
  <c r="Q788"/>
  <c r="Q778" s="1"/>
  <c r="P788"/>
  <c r="P778" s="1"/>
  <c r="O788"/>
  <c r="O778" s="1"/>
  <c r="J788"/>
  <c r="I788"/>
  <c r="H788"/>
  <c r="H778" s="1"/>
  <c r="G788"/>
  <c r="G778" s="1"/>
  <c r="F788"/>
  <c r="F778" s="1"/>
  <c r="E788"/>
  <c r="E778" s="1"/>
  <c r="D788"/>
  <c r="D778" s="1"/>
  <c r="I787"/>
  <c r="I777" s="1"/>
  <c r="E787"/>
  <c r="E777" s="1"/>
  <c r="O784"/>
  <c r="J784"/>
  <c r="G784"/>
  <c r="F784"/>
  <c r="Q783"/>
  <c r="P783"/>
  <c r="I783"/>
  <c r="H783"/>
  <c r="E783"/>
  <c r="D783"/>
  <c r="G779"/>
  <c r="I778"/>
  <c r="Q773"/>
  <c r="Q772" s="1"/>
  <c r="Q771" s="1"/>
  <c r="P773"/>
  <c r="P772" s="1"/>
  <c r="P771" s="1"/>
  <c r="O773"/>
  <c r="O772" s="1"/>
  <c r="O771" s="1"/>
  <c r="G774"/>
  <c r="G773" s="1"/>
  <c r="G772" s="1"/>
  <c r="G771" s="1"/>
  <c r="F774"/>
  <c r="F773" s="1"/>
  <c r="F772" s="1"/>
  <c r="F771" s="1"/>
  <c r="J773"/>
  <c r="J772" s="1"/>
  <c r="J771" s="1"/>
  <c r="I773"/>
  <c r="I772" s="1"/>
  <c r="I771" s="1"/>
  <c r="H773"/>
  <c r="H772" s="1"/>
  <c r="H771" s="1"/>
  <c r="E773"/>
  <c r="E772" s="1"/>
  <c r="E771" s="1"/>
  <c r="D773"/>
  <c r="D772" s="1"/>
  <c r="D771" s="1"/>
  <c r="Q769"/>
  <c r="P769"/>
  <c r="O769"/>
  <c r="J769"/>
  <c r="I769"/>
  <c r="H769"/>
  <c r="G769"/>
  <c r="F769"/>
  <c r="E769"/>
  <c r="D769"/>
  <c r="D768"/>
  <c r="E767"/>
  <c r="E766" s="1"/>
  <c r="E765" s="1"/>
  <c r="E764" s="1"/>
  <c r="Q766"/>
  <c r="Q765" s="1"/>
  <c r="Q764" s="1"/>
  <c r="Q763" s="1"/>
  <c r="P766"/>
  <c r="P765" s="1"/>
  <c r="P764" s="1"/>
  <c r="P763" s="1"/>
  <c r="O766"/>
  <c r="O765" s="1"/>
  <c r="O764" s="1"/>
  <c r="O763" s="1"/>
  <c r="J766"/>
  <c r="J765" s="1"/>
  <c r="J764" s="1"/>
  <c r="J763" s="1"/>
  <c r="I766"/>
  <c r="I765" s="1"/>
  <c r="I764" s="1"/>
  <c r="I763" s="1"/>
  <c r="H766"/>
  <c r="H765" s="1"/>
  <c r="H764" s="1"/>
  <c r="H763" s="1"/>
  <c r="G766"/>
  <c r="G765" s="1"/>
  <c r="G764" s="1"/>
  <c r="G763" s="1"/>
  <c r="F766"/>
  <c r="F765" s="1"/>
  <c r="F764" s="1"/>
  <c r="F763" s="1"/>
  <c r="D766"/>
  <c r="D765" s="1"/>
  <c r="D764" s="1"/>
  <c r="Q761"/>
  <c r="P761"/>
  <c r="O761"/>
  <c r="O729" s="1"/>
  <c r="O626" s="1"/>
  <c r="J761"/>
  <c r="I761"/>
  <c r="H761"/>
  <c r="G761"/>
  <c r="G729" s="1"/>
  <c r="G626" s="1"/>
  <c r="F761"/>
  <c r="E761"/>
  <c r="D761"/>
  <c r="D760"/>
  <c r="D758" s="1"/>
  <c r="D757" s="1"/>
  <c r="D756" s="1"/>
  <c r="Q758"/>
  <c r="Q757" s="1"/>
  <c r="Q756" s="1"/>
  <c r="Q755" s="1"/>
  <c r="P758"/>
  <c r="O758"/>
  <c r="O757" s="1"/>
  <c r="O756" s="1"/>
  <c r="J758"/>
  <c r="J757" s="1"/>
  <c r="J756" s="1"/>
  <c r="I758"/>
  <c r="I757" s="1"/>
  <c r="I756" s="1"/>
  <c r="I755" s="1"/>
  <c r="H758"/>
  <c r="H757" s="1"/>
  <c r="H756" s="1"/>
  <c r="G758"/>
  <c r="G757" s="1"/>
  <c r="G756" s="1"/>
  <c r="F758"/>
  <c r="F757" s="1"/>
  <c r="F756" s="1"/>
  <c r="F755" s="1"/>
  <c r="E758"/>
  <c r="E757" s="1"/>
  <c r="E756" s="1"/>
  <c r="E755" s="1"/>
  <c r="P757"/>
  <c r="P756" s="1"/>
  <c r="Q753"/>
  <c r="P753"/>
  <c r="O753"/>
  <c r="J753"/>
  <c r="I753"/>
  <c r="H753"/>
  <c r="G753"/>
  <c r="F753"/>
  <c r="E753"/>
  <c r="D753"/>
  <c r="D751"/>
  <c r="D749" s="1"/>
  <c r="Q748"/>
  <c r="Q747" s="1"/>
  <c r="P748"/>
  <c r="P747" s="1"/>
  <c r="J748"/>
  <c r="I749"/>
  <c r="I748" s="1"/>
  <c r="I747" s="1"/>
  <c r="H749"/>
  <c r="H748" s="1"/>
  <c r="H747" s="1"/>
  <c r="G749"/>
  <c r="G748" s="1"/>
  <c r="G747" s="1"/>
  <c r="G746" s="1"/>
  <c r="F749"/>
  <c r="F748" s="1"/>
  <c r="F747" s="1"/>
  <c r="E749"/>
  <c r="E748" s="1"/>
  <c r="E747" s="1"/>
  <c r="O748"/>
  <c r="O747" s="1"/>
  <c r="D748"/>
  <c r="D747" s="1"/>
  <c r="J747"/>
  <c r="Q744"/>
  <c r="P744"/>
  <c r="O744"/>
  <c r="J744"/>
  <c r="I744"/>
  <c r="H744"/>
  <c r="G744"/>
  <c r="F744"/>
  <c r="E744"/>
  <c r="D744"/>
  <c r="D743"/>
  <c r="D741" s="1"/>
  <c r="D740" s="1"/>
  <c r="Q741"/>
  <c r="P741"/>
  <c r="O741"/>
  <c r="O740" s="1"/>
  <c r="O739" s="1"/>
  <c r="J741"/>
  <c r="J740" s="1"/>
  <c r="J739" s="1"/>
  <c r="J738" s="1"/>
  <c r="I741"/>
  <c r="H741"/>
  <c r="G741"/>
  <c r="G740" s="1"/>
  <c r="G739" s="1"/>
  <c r="F741"/>
  <c r="F740" s="1"/>
  <c r="F739" s="1"/>
  <c r="F738" s="1"/>
  <c r="E741"/>
  <c r="I736"/>
  <c r="E736"/>
  <c r="D736"/>
  <c r="J735"/>
  <c r="D735"/>
  <c r="D733" s="1"/>
  <c r="J734"/>
  <c r="Q733"/>
  <c r="P733"/>
  <c r="O733"/>
  <c r="O732" s="1"/>
  <c r="O731" s="1"/>
  <c r="O730" s="1"/>
  <c r="I733"/>
  <c r="I732" s="1"/>
  <c r="I731" s="1"/>
  <c r="H733"/>
  <c r="H732" s="1"/>
  <c r="H731" s="1"/>
  <c r="H730" s="1"/>
  <c r="G733"/>
  <c r="G732" s="1"/>
  <c r="G731" s="1"/>
  <c r="F733"/>
  <c r="F732" s="1"/>
  <c r="E733"/>
  <c r="E732" s="1"/>
  <c r="E731" s="1"/>
  <c r="E730" s="1"/>
  <c r="Q732"/>
  <c r="Q731" s="1"/>
  <c r="Q730" s="1"/>
  <c r="P732"/>
  <c r="P731" s="1"/>
  <c r="P730" s="1"/>
  <c r="D732"/>
  <c r="D731" s="1"/>
  <c r="J729"/>
  <c r="F729"/>
  <c r="E729"/>
  <c r="E626" s="1"/>
  <c r="Q722"/>
  <c r="P722"/>
  <c r="O722"/>
  <c r="J722"/>
  <c r="I722"/>
  <c r="H722"/>
  <c r="G722"/>
  <c r="F722"/>
  <c r="E722"/>
  <c r="D722"/>
  <c r="E721"/>
  <c r="E720"/>
  <c r="Q719"/>
  <c r="Q718" s="1"/>
  <c r="Q717" s="1"/>
  <c r="P719"/>
  <c r="P718" s="1"/>
  <c r="P717" s="1"/>
  <c r="O719"/>
  <c r="O718" s="1"/>
  <c r="O717" s="1"/>
  <c r="J719"/>
  <c r="J718" s="1"/>
  <c r="J717" s="1"/>
  <c r="I719"/>
  <c r="I718" s="1"/>
  <c r="I717" s="1"/>
  <c r="H719"/>
  <c r="H718" s="1"/>
  <c r="H717" s="1"/>
  <c r="G719"/>
  <c r="G718" s="1"/>
  <c r="G717" s="1"/>
  <c r="F719"/>
  <c r="F718" s="1"/>
  <c r="F717" s="1"/>
  <c r="D719"/>
  <c r="D718" s="1"/>
  <c r="D717" s="1"/>
  <c r="Q715"/>
  <c r="P715"/>
  <c r="O715"/>
  <c r="J715"/>
  <c r="I715"/>
  <c r="H715"/>
  <c r="G715"/>
  <c r="F715"/>
  <c r="E715"/>
  <c r="D715"/>
  <c r="Q712"/>
  <c r="Q711" s="1"/>
  <c r="P712"/>
  <c r="P711" s="1"/>
  <c r="P710" s="1"/>
  <c r="O712"/>
  <c r="O711" s="1"/>
  <c r="J712"/>
  <c r="J711" s="1"/>
  <c r="I712"/>
  <c r="I711" s="1"/>
  <c r="H712"/>
  <c r="H711" s="1"/>
  <c r="G712"/>
  <c r="G711" s="1"/>
  <c r="F712"/>
  <c r="F711" s="1"/>
  <c r="E712"/>
  <c r="E711" s="1"/>
  <c r="D712"/>
  <c r="D711" s="1"/>
  <c r="I707"/>
  <c r="I706" s="1"/>
  <c r="I705" s="1"/>
  <c r="E707"/>
  <c r="E706" s="1"/>
  <c r="E705" s="1"/>
  <c r="D707"/>
  <c r="D706" s="1"/>
  <c r="D705" s="1"/>
  <c r="Q703"/>
  <c r="P703"/>
  <c r="O703"/>
  <c r="J703"/>
  <c r="I703"/>
  <c r="H703"/>
  <c r="G703"/>
  <c r="F703"/>
  <c r="E703"/>
  <c r="D703"/>
  <c r="Q700"/>
  <c r="Q699" s="1"/>
  <c r="Q698" s="1"/>
  <c r="P700"/>
  <c r="P699" s="1"/>
  <c r="O700"/>
  <c r="O699" s="1"/>
  <c r="O698" s="1"/>
  <c r="J700"/>
  <c r="I700"/>
  <c r="H700"/>
  <c r="H699" s="1"/>
  <c r="G700"/>
  <c r="G699" s="1"/>
  <c r="G698" s="1"/>
  <c r="F700"/>
  <c r="F699" s="1"/>
  <c r="E700"/>
  <c r="E699" s="1"/>
  <c r="D700"/>
  <c r="D699" s="1"/>
  <c r="I699"/>
  <c r="Q696"/>
  <c r="P696"/>
  <c r="O696"/>
  <c r="J696"/>
  <c r="I696"/>
  <c r="H696"/>
  <c r="G696"/>
  <c r="F696"/>
  <c r="E696"/>
  <c r="D696"/>
  <c r="Q693"/>
  <c r="Q692" s="1"/>
  <c r="P693"/>
  <c r="P692" s="1"/>
  <c r="O693"/>
  <c r="O692" s="1"/>
  <c r="J693"/>
  <c r="J692" s="1"/>
  <c r="I693"/>
  <c r="I692" s="1"/>
  <c r="H693"/>
  <c r="H692" s="1"/>
  <c r="G693"/>
  <c r="G692" s="1"/>
  <c r="F693"/>
  <c r="F692" s="1"/>
  <c r="F691" s="1"/>
  <c r="E693"/>
  <c r="E692" s="1"/>
  <c r="D693"/>
  <c r="D692" s="1"/>
  <c r="Q689"/>
  <c r="P689"/>
  <c r="O689"/>
  <c r="J689"/>
  <c r="I689"/>
  <c r="H689"/>
  <c r="G689"/>
  <c r="F689"/>
  <c r="E689"/>
  <c r="D689"/>
  <c r="E688"/>
  <c r="E687"/>
  <c r="Q686"/>
  <c r="Q685" s="1"/>
  <c r="Q684" s="1"/>
  <c r="P686"/>
  <c r="O686"/>
  <c r="J686"/>
  <c r="J685" s="1"/>
  <c r="J684" s="1"/>
  <c r="I686"/>
  <c r="I685" s="1"/>
  <c r="I684" s="1"/>
  <c r="H686"/>
  <c r="H685" s="1"/>
  <c r="H684" s="1"/>
  <c r="G686"/>
  <c r="G685" s="1"/>
  <c r="G684" s="1"/>
  <c r="F686"/>
  <c r="F685" s="1"/>
  <c r="F684" s="1"/>
  <c r="D686"/>
  <c r="D685" s="1"/>
  <c r="P685"/>
  <c r="P684" s="1"/>
  <c r="O685"/>
  <c r="O684" s="1"/>
  <c r="J683"/>
  <c r="C967" s="1"/>
  <c r="Q682"/>
  <c r="P682"/>
  <c r="O682"/>
  <c r="J682"/>
  <c r="I682"/>
  <c r="H682"/>
  <c r="G682"/>
  <c r="F682"/>
  <c r="E682"/>
  <c r="D682"/>
  <c r="E681"/>
  <c r="E679" s="1"/>
  <c r="E678" s="1"/>
  <c r="E677" s="1"/>
  <c r="Q679"/>
  <c r="Q678" s="1"/>
  <c r="P679"/>
  <c r="P678" s="1"/>
  <c r="O679"/>
  <c r="O678" s="1"/>
  <c r="J679"/>
  <c r="I679"/>
  <c r="I678" s="1"/>
  <c r="H679"/>
  <c r="H678" s="1"/>
  <c r="G679"/>
  <c r="G678" s="1"/>
  <c r="F679"/>
  <c r="F678" s="1"/>
  <c r="D679"/>
  <c r="D678" s="1"/>
  <c r="J676"/>
  <c r="C965" s="1"/>
  <c r="Q675"/>
  <c r="P675"/>
  <c r="O675"/>
  <c r="J675"/>
  <c r="I675"/>
  <c r="H675"/>
  <c r="G675"/>
  <c r="F675"/>
  <c r="E675"/>
  <c r="D675"/>
  <c r="Q672"/>
  <c r="Q671" s="1"/>
  <c r="P672"/>
  <c r="P671" s="1"/>
  <c r="O672"/>
  <c r="J672"/>
  <c r="I672"/>
  <c r="I671" s="1"/>
  <c r="H672"/>
  <c r="H671" s="1"/>
  <c r="G672"/>
  <c r="G671" s="1"/>
  <c r="F672"/>
  <c r="F671" s="1"/>
  <c r="E672"/>
  <c r="E671" s="1"/>
  <c r="D672"/>
  <c r="D671" s="1"/>
  <c r="O671"/>
  <c r="Q668"/>
  <c r="P668"/>
  <c r="O668"/>
  <c r="J668"/>
  <c r="I668"/>
  <c r="H668"/>
  <c r="G668"/>
  <c r="F668"/>
  <c r="E668"/>
  <c r="D668"/>
  <c r="Q665"/>
  <c r="P665"/>
  <c r="O665"/>
  <c r="J665"/>
  <c r="I665"/>
  <c r="H665"/>
  <c r="G665"/>
  <c r="G664" s="1"/>
  <c r="F665"/>
  <c r="F664" s="1"/>
  <c r="E665"/>
  <c r="D665"/>
  <c r="O664"/>
  <c r="J664"/>
  <c r="Q662"/>
  <c r="P662"/>
  <c r="O662"/>
  <c r="I662"/>
  <c r="H662"/>
  <c r="G662"/>
  <c r="F662"/>
  <c r="E662"/>
  <c r="D662"/>
  <c r="Q660"/>
  <c r="Q621" s="1"/>
  <c r="P660"/>
  <c r="O660"/>
  <c r="J660"/>
  <c r="I660"/>
  <c r="I621" s="1"/>
  <c r="H660"/>
  <c r="G660"/>
  <c r="F660"/>
  <c r="F621" s="1"/>
  <c r="D660"/>
  <c r="D621" s="1"/>
  <c r="Q659"/>
  <c r="P659"/>
  <c r="O659"/>
  <c r="O620" s="1"/>
  <c r="J659"/>
  <c r="I659"/>
  <c r="H659"/>
  <c r="G659"/>
  <c r="G620" s="1"/>
  <c r="F659"/>
  <c r="F620" s="1"/>
  <c r="E659"/>
  <c r="D659"/>
  <c r="J654"/>
  <c r="J650" s="1"/>
  <c r="E654"/>
  <c r="E650" s="1"/>
  <c r="E628" s="1"/>
  <c r="Q650"/>
  <c r="P650"/>
  <c r="P644" s="1"/>
  <c r="O650"/>
  <c r="O644" s="1"/>
  <c r="I650"/>
  <c r="I628" s="1"/>
  <c r="H650"/>
  <c r="G650"/>
  <c r="G644" s="1"/>
  <c r="F650"/>
  <c r="F644" s="1"/>
  <c r="D650"/>
  <c r="I645"/>
  <c r="I627" s="1"/>
  <c r="E645"/>
  <c r="D645"/>
  <c r="D627" s="1"/>
  <c r="Q644"/>
  <c r="Q641"/>
  <c r="Q639" s="1"/>
  <c r="Q80" s="1"/>
  <c r="Q168" s="1"/>
  <c r="P641"/>
  <c r="P623" s="1"/>
  <c r="O641"/>
  <c r="O639" s="1"/>
  <c r="J641"/>
  <c r="J639" s="1"/>
  <c r="I641"/>
  <c r="I639" s="1"/>
  <c r="I80" s="1"/>
  <c r="H641"/>
  <c r="H639" s="1"/>
  <c r="H80" s="1"/>
  <c r="H168" s="1"/>
  <c r="G641"/>
  <c r="G623" s="1"/>
  <c r="F641"/>
  <c r="E641"/>
  <c r="E639" s="1"/>
  <c r="D641"/>
  <c r="D623" s="1"/>
  <c r="J634"/>
  <c r="E632"/>
  <c r="Q631"/>
  <c r="Q630" s="1"/>
  <c r="P631"/>
  <c r="P630" s="1"/>
  <c r="O631"/>
  <c r="O630" s="1"/>
  <c r="I631"/>
  <c r="I630" s="1"/>
  <c r="H631"/>
  <c r="H630" s="1"/>
  <c r="G631"/>
  <c r="G630" s="1"/>
  <c r="G629" s="1"/>
  <c r="F631"/>
  <c r="F630" s="1"/>
  <c r="E631"/>
  <c r="E630" s="1"/>
  <c r="D631"/>
  <c r="D630" s="1"/>
  <c r="Q627"/>
  <c r="P627"/>
  <c r="O627"/>
  <c r="J627"/>
  <c r="H627"/>
  <c r="G627"/>
  <c r="F627"/>
  <c r="E627"/>
  <c r="J626"/>
  <c r="F626"/>
  <c r="Q624"/>
  <c r="P624"/>
  <c r="O624"/>
  <c r="J624"/>
  <c r="I624"/>
  <c r="H624"/>
  <c r="G624"/>
  <c r="F624"/>
  <c r="E624"/>
  <c r="D624"/>
  <c r="E623"/>
  <c r="P621"/>
  <c r="O621"/>
  <c r="H621"/>
  <c r="G621"/>
  <c r="Q620"/>
  <c r="P620"/>
  <c r="I620"/>
  <c r="H620"/>
  <c r="E620"/>
  <c r="D620"/>
  <c r="J616"/>
  <c r="J614" s="1"/>
  <c r="J613" s="1"/>
  <c r="Q615"/>
  <c r="P615"/>
  <c r="O615"/>
  <c r="J615"/>
  <c r="I615"/>
  <c r="H615"/>
  <c r="G615"/>
  <c r="F615"/>
  <c r="E615"/>
  <c r="D615"/>
  <c r="Q614"/>
  <c r="Q613" s="1"/>
  <c r="P614"/>
  <c r="P613" s="1"/>
  <c r="O614"/>
  <c r="O613" s="1"/>
  <c r="I614"/>
  <c r="I613" s="1"/>
  <c r="H614"/>
  <c r="H613" s="1"/>
  <c r="G614"/>
  <c r="F614"/>
  <c r="F613" s="1"/>
  <c r="E614"/>
  <c r="E613" s="1"/>
  <c r="D614"/>
  <c r="D613" s="1"/>
  <c r="G613"/>
  <c r="Q610"/>
  <c r="P610"/>
  <c r="O610"/>
  <c r="J610"/>
  <c r="I610"/>
  <c r="H610"/>
  <c r="G610"/>
  <c r="F610"/>
  <c r="E610"/>
  <c r="D610"/>
  <c r="D609"/>
  <c r="D607" s="1"/>
  <c r="D606" s="1"/>
  <c r="D605" s="1"/>
  <c r="Q607"/>
  <c r="Q606" s="1"/>
  <c r="Q605" s="1"/>
  <c r="P607"/>
  <c r="P606" s="1"/>
  <c r="P605" s="1"/>
  <c r="O607"/>
  <c r="O606" s="1"/>
  <c r="O605" s="1"/>
  <c r="J607"/>
  <c r="J606" s="1"/>
  <c r="J605" s="1"/>
  <c r="I607"/>
  <c r="I606" s="1"/>
  <c r="I605" s="1"/>
  <c r="H607"/>
  <c r="H606" s="1"/>
  <c r="H605" s="1"/>
  <c r="G607"/>
  <c r="G606" s="1"/>
  <c r="G605" s="1"/>
  <c r="F607"/>
  <c r="E607"/>
  <c r="E606" s="1"/>
  <c r="E605" s="1"/>
  <c r="I603"/>
  <c r="I602" s="1"/>
  <c r="I601" s="1"/>
  <c r="I600" s="1"/>
  <c r="H603"/>
  <c r="H602" s="1"/>
  <c r="H601" s="1"/>
  <c r="H600" s="1"/>
  <c r="E603"/>
  <c r="Q602"/>
  <c r="Q601" s="1"/>
  <c r="Q600" s="1"/>
  <c r="P602"/>
  <c r="P601" s="1"/>
  <c r="P600" s="1"/>
  <c r="O602"/>
  <c r="O601" s="1"/>
  <c r="O600" s="1"/>
  <c r="J602"/>
  <c r="J601" s="1"/>
  <c r="J600" s="1"/>
  <c r="G602"/>
  <c r="G601" s="1"/>
  <c r="G600" s="1"/>
  <c r="F602"/>
  <c r="F601" s="1"/>
  <c r="F600" s="1"/>
  <c r="E602"/>
  <c r="E601" s="1"/>
  <c r="E600" s="1"/>
  <c r="D602"/>
  <c r="D601" s="1"/>
  <c r="D600" s="1"/>
  <c r="Q598"/>
  <c r="P598"/>
  <c r="O598"/>
  <c r="J598"/>
  <c r="I598"/>
  <c r="H598"/>
  <c r="G598"/>
  <c r="F598"/>
  <c r="E598"/>
  <c r="D598"/>
  <c r="D597"/>
  <c r="Q595"/>
  <c r="Q594" s="1"/>
  <c r="Q593" s="1"/>
  <c r="P595"/>
  <c r="P594" s="1"/>
  <c r="P593" s="1"/>
  <c r="O595"/>
  <c r="J595"/>
  <c r="I595"/>
  <c r="I594" s="1"/>
  <c r="I593" s="1"/>
  <c r="H595"/>
  <c r="H594" s="1"/>
  <c r="H593" s="1"/>
  <c r="H592" s="1"/>
  <c r="G595"/>
  <c r="G594" s="1"/>
  <c r="G593" s="1"/>
  <c r="F595"/>
  <c r="F594" s="1"/>
  <c r="F593" s="1"/>
  <c r="E595"/>
  <c r="E594" s="1"/>
  <c r="E593" s="1"/>
  <c r="D595"/>
  <c r="D594" s="1"/>
  <c r="D593" s="1"/>
  <c r="D592" s="1"/>
  <c r="O594"/>
  <c r="O593" s="1"/>
  <c r="J594"/>
  <c r="J593" s="1"/>
  <c r="Q590"/>
  <c r="P590"/>
  <c r="O590"/>
  <c r="J590"/>
  <c r="I590"/>
  <c r="H590"/>
  <c r="G590"/>
  <c r="F590"/>
  <c r="E590"/>
  <c r="D590"/>
  <c r="H589"/>
  <c r="D589"/>
  <c r="D587" s="1"/>
  <c r="D586" s="1"/>
  <c r="D585" s="1"/>
  <c r="I588"/>
  <c r="I587" s="1"/>
  <c r="I586" s="1"/>
  <c r="I585" s="1"/>
  <c r="I584" s="1"/>
  <c r="Q587"/>
  <c r="Q586" s="1"/>
  <c r="Q585" s="1"/>
  <c r="P587"/>
  <c r="P586" s="1"/>
  <c r="P585" s="1"/>
  <c r="O587"/>
  <c r="O586" s="1"/>
  <c r="O585" s="1"/>
  <c r="J587"/>
  <c r="J586" s="1"/>
  <c r="J585" s="1"/>
  <c r="H587"/>
  <c r="H586" s="1"/>
  <c r="H585" s="1"/>
  <c r="H584" s="1"/>
  <c r="G587"/>
  <c r="G586" s="1"/>
  <c r="G585" s="1"/>
  <c r="F587"/>
  <c r="F586" s="1"/>
  <c r="F585" s="1"/>
  <c r="E587"/>
  <c r="E586" s="1"/>
  <c r="E585" s="1"/>
  <c r="J583"/>
  <c r="C952" s="1"/>
  <c r="E583"/>
  <c r="Q582"/>
  <c r="P582"/>
  <c r="O582"/>
  <c r="I582"/>
  <c r="H582"/>
  <c r="G582"/>
  <c r="F582"/>
  <c r="E582"/>
  <c r="D582"/>
  <c r="E580"/>
  <c r="E578" s="1"/>
  <c r="D580"/>
  <c r="D578" s="1"/>
  <c r="D577" s="1"/>
  <c r="D576" s="1"/>
  <c r="Q578"/>
  <c r="P578"/>
  <c r="P577" s="1"/>
  <c r="P576" s="1"/>
  <c r="O578"/>
  <c r="O577" s="1"/>
  <c r="O576" s="1"/>
  <c r="J577"/>
  <c r="I578"/>
  <c r="I577" s="1"/>
  <c r="I576" s="1"/>
  <c r="I575" s="1"/>
  <c r="H578"/>
  <c r="H577" s="1"/>
  <c r="H576" s="1"/>
  <c r="H575" s="1"/>
  <c r="G578"/>
  <c r="G577" s="1"/>
  <c r="G576" s="1"/>
  <c r="G575" s="1"/>
  <c r="F578"/>
  <c r="F577" s="1"/>
  <c r="F576" s="1"/>
  <c r="F575" s="1"/>
  <c r="Q577"/>
  <c r="Q576" s="1"/>
  <c r="J574"/>
  <c r="C950" s="1"/>
  <c r="Q572"/>
  <c r="P572"/>
  <c r="O572"/>
  <c r="J572"/>
  <c r="I572"/>
  <c r="H572"/>
  <c r="G572"/>
  <c r="F572"/>
  <c r="E572"/>
  <c r="D572"/>
  <c r="D570"/>
  <c r="Q567"/>
  <c r="Q566" s="1"/>
  <c r="P567"/>
  <c r="P566" s="1"/>
  <c r="O567"/>
  <c r="O566" s="1"/>
  <c r="J567"/>
  <c r="I568"/>
  <c r="I567" s="1"/>
  <c r="I566" s="1"/>
  <c r="H568"/>
  <c r="H567" s="1"/>
  <c r="H566" s="1"/>
  <c r="G568"/>
  <c r="G567" s="1"/>
  <c r="G566" s="1"/>
  <c r="F568"/>
  <c r="E568"/>
  <c r="E567" s="1"/>
  <c r="E566" s="1"/>
  <c r="D568"/>
  <c r="D567" s="1"/>
  <c r="D566" s="1"/>
  <c r="F567"/>
  <c r="F566" s="1"/>
  <c r="Q561"/>
  <c r="Q560" s="1"/>
  <c r="Q559" s="1"/>
  <c r="P561"/>
  <c r="P560" s="1"/>
  <c r="P559" s="1"/>
  <c r="O561"/>
  <c r="O560" s="1"/>
  <c r="O559" s="1"/>
  <c r="J561"/>
  <c r="J560" s="1"/>
  <c r="J559" s="1"/>
  <c r="I561"/>
  <c r="H561"/>
  <c r="H560" s="1"/>
  <c r="H559" s="1"/>
  <c r="G561"/>
  <c r="G560" s="1"/>
  <c r="F561"/>
  <c r="F560" s="1"/>
  <c r="F559" s="1"/>
  <c r="E561"/>
  <c r="D561"/>
  <c r="D560" s="1"/>
  <c r="D559" s="1"/>
  <c r="I560"/>
  <c r="I559" s="1"/>
  <c r="E560"/>
  <c r="E559" s="1"/>
  <c r="Q555"/>
  <c r="Q554" s="1"/>
  <c r="Q553" s="1"/>
  <c r="P555"/>
  <c r="P554" s="1"/>
  <c r="P553" s="1"/>
  <c r="O555"/>
  <c r="O554" s="1"/>
  <c r="O553" s="1"/>
  <c r="J555"/>
  <c r="I555"/>
  <c r="I554" s="1"/>
  <c r="I553" s="1"/>
  <c r="H555"/>
  <c r="H554" s="1"/>
  <c r="H553" s="1"/>
  <c r="G555"/>
  <c r="G554" s="1"/>
  <c r="G553" s="1"/>
  <c r="F555"/>
  <c r="E555"/>
  <c r="E554" s="1"/>
  <c r="E553" s="1"/>
  <c r="D555"/>
  <c r="D554" s="1"/>
  <c r="D553" s="1"/>
  <c r="J552"/>
  <c r="C944" s="1"/>
  <c r="C945" s="1"/>
  <c r="Q551"/>
  <c r="P551"/>
  <c r="O551"/>
  <c r="J551"/>
  <c r="I551"/>
  <c r="H551"/>
  <c r="G551"/>
  <c r="F551"/>
  <c r="E551"/>
  <c r="D551"/>
  <c r="D550"/>
  <c r="D548" s="1"/>
  <c r="D547" s="1"/>
  <c r="D546" s="1"/>
  <c r="Q548"/>
  <c r="Q547" s="1"/>
  <c r="Q546" s="1"/>
  <c r="P548"/>
  <c r="P547" s="1"/>
  <c r="P546" s="1"/>
  <c r="O548"/>
  <c r="O547" s="1"/>
  <c r="O546" s="1"/>
  <c r="O545" s="1"/>
  <c r="J548"/>
  <c r="I548"/>
  <c r="I547" s="1"/>
  <c r="I546" s="1"/>
  <c r="I545" s="1"/>
  <c r="H548"/>
  <c r="H547" s="1"/>
  <c r="H546" s="1"/>
  <c r="G548"/>
  <c r="G547" s="1"/>
  <c r="G546" s="1"/>
  <c r="G545" s="1"/>
  <c r="F548"/>
  <c r="E548"/>
  <c r="E547" s="1"/>
  <c r="E546" s="1"/>
  <c r="J547"/>
  <c r="J546" s="1"/>
  <c r="F547"/>
  <c r="F546" s="1"/>
  <c r="P542"/>
  <c r="O542"/>
  <c r="J544"/>
  <c r="C942" s="1"/>
  <c r="G544"/>
  <c r="G542" s="1"/>
  <c r="F544"/>
  <c r="F542" s="1"/>
  <c r="E544"/>
  <c r="E531" s="1"/>
  <c r="Q542"/>
  <c r="I542"/>
  <c r="H542"/>
  <c r="E542"/>
  <c r="D542"/>
  <c r="D539"/>
  <c r="Q536"/>
  <c r="P536"/>
  <c r="I537"/>
  <c r="I536" s="1"/>
  <c r="H537"/>
  <c r="H536" s="1"/>
  <c r="G537"/>
  <c r="G536" s="1"/>
  <c r="G535" s="1"/>
  <c r="F537"/>
  <c r="F536" s="1"/>
  <c r="F535" s="1"/>
  <c r="E537"/>
  <c r="E536" s="1"/>
  <c r="D537"/>
  <c r="D536" s="1"/>
  <c r="O536"/>
  <c r="O535" s="1"/>
  <c r="J536"/>
  <c r="H533"/>
  <c r="Q532"/>
  <c r="P532"/>
  <c r="O532"/>
  <c r="J532"/>
  <c r="I532"/>
  <c r="H532"/>
  <c r="G532"/>
  <c r="F532"/>
  <c r="E532"/>
  <c r="D532"/>
  <c r="Q531"/>
  <c r="I531"/>
  <c r="H531"/>
  <c r="G531"/>
  <c r="D531"/>
  <c r="Q529"/>
  <c r="P529"/>
  <c r="O529"/>
  <c r="J529"/>
  <c r="I529"/>
  <c r="H529"/>
  <c r="G529"/>
  <c r="F529"/>
  <c r="E529"/>
  <c r="D529"/>
  <c r="Q528"/>
  <c r="P528"/>
  <c r="P388" s="1"/>
  <c r="O528"/>
  <c r="J528"/>
  <c r="H528"/>
  <c r="G528"/>
  <c r="F528"/>
  <c r="E528"/>
  <c r="D528"/>
  <c r="D388" s="1"/>
  <c r="J527"/>
  <c r="Q526"/>
  <c r="P526"/>
  <c r="O526"/>
  <c r="J526"/>
  <c r="I526"/>
  <c r="H526"/>
  <c r="G526"/>
  <c r="F526"/>
  <c r="E526"/>
  <c r="D526"/>
  <c r="Q520"/>
  <c r="Q519" s="1"/>
  <c r="Q518" s="1"/>
  <c r="Q517" s="1"/>
  <c r="P520"/>
  <c r="P519" s="1"/>
  <c r="P518" s="1"/>
  <c r="P517" s="1"/>
  <c r="O520"/>
  <c r="O519" s="1"/>
  <c r="O518" s="1"/>
  <c r="O517" s="1"/>
  <c r="J520"/>
  <c r="J519" s="1"/>
  <c r="J518" s="1"/>
  <c r="J517" s="1"/>
  <c r="I520"/>
  <c r="I519" s="1"/>
  <c r="I518" s="1"/>
  <c r="I517" s="1"/>
  <c r="H520"/>
  <c r="H519" s="1"/>
  <c r="H518" s="1"/>
  <c r="H517" s="1"/>
  <c r="G520"/>
  <c r="G519" s="1"/>
  <c r="G518" s="1"/>
  <c r="G517" s="1"/>
  <c r="F520"/>
  <c r="F519" s="1"/>
  <c r="F518" s="1"/>
  <c r="F517" s="1"/>
  <c r="E520"/>
  <c r="E519" s="1"/>
  <c r="E518" s="1"/>
  <c r="E517" s="1"/>
  <c r="D520"/>
  <c r="D519"/>
  <c r="D518" s="1"/>
  <c r="D517" s="1"/>
  <c r="Q514"/>
  <c r="Q513" s="1"/>
  <c r="Q512" s="1"/>
  <c r="Q511" s="1"/>
  <c r="P514"/>
  <c r="P513" s="1"/>
  <c r="P512" s="1"/>
  <c r="P511" s="1"/>
  <c r="O514"/>
  <c r="O513" s="1"/>
  <c r="J514"/>
  <c r="J513" s="1"/>
  <c r="I514"/>
  <c r="I513" s="1"/>
  <c r="I512" s="1"/>
  <c r="I511" s="1"/>
  <c r="H514"/>
  <c r="H513" s="1"/>
  <c r="H512" s="1"/>
  <c r="H511" s="1"/>
  <c r="G514"/>
  <c r="G513" s="1"/>
  <c r="F514"/>
  <c r="F513" s="1"/>
  <c r="E514"/>
  <c r="E513" s="1"/>
  <c r="E512" s="1"/>
  <c r="E511" s="1"/>
  <c r="D514"/>
  <c r="D513" s="1"/>
  <c r="D512" s="1"/>
  <c r="D511" s="1"/>
  <c r="E510"/>
  <c r="E509"/>
  <c r="Q508"/>
  <c r="Q507" s="1"/>
  <c r="Q506" s="1"/>
  <c r="Q505" s="1"/>
  <c r="P508"/>
  <c r="P507" s="1"/>
  <c r="P506" s="1"/>
  <c r="P505" s="1"/>
  <c r="O508"/>
  <c r="O507" s="1"/>
  <c r="O506" s="1"/>
  <c r="O505" s="1"/>
  <c r="J508"/>
  <c r="J507" s="1"/>
  <c r="J506" s="1"/>
  <c r="J505" s="1"/>
  <c r="I508"/>
  <c r="I507" s="1"/>
  <c r="I506" s="1"/>
  <c r="I505" s="1"/>
  <c r="H508"/>
  <c r="H507" s="1"/>
  <c r="H506" s="1"/>
  <c r="H505" s="1"/>
  <c r="G508"/>
  <c r="G507" s="1"/>
  <c r="G506" s="1"/>
  <c r="G505" s="1"/>
  <c r="F508"/>
  <c r="F507" s="1"/>
  <c r="F506" s="1"/>
  <c r="F505" s="1"/>
  <c r="D508"/>
  <c r="D507" s="1"/>
  <c r="D506" s="1"/>
  <c r="D505" s="1"/>
  <c r="Q502"/>
  <c r="Q501" s="1"/>
  <c r="Q500" s="1"/>
  <c r="Q499" s="1"/>
  <c r="P502"/>
  <c r="P501" s="1"/>
  <c r="P500" s="1"/>
  <c r="P499" s="1"/>
  <c r="O502"/>
  <c r="J502"/>
  <c r="I502"/>
  <c r="I501" s="1"/>
  <c r="I500" s="1"/>
  <c r="I499" s="1"/>
  <c r="H502"/>
  <c r="H501" s="1"/>
  <c r="H500" s="1"/>
  <c r="H499" s="1"/>
  <c r="G502"/>
  <c r="G501" s="1"/>
  <c r="G500" s="1"/>
  <c r="G499" s="1"/>
  <c r="F502"/>
  <c r="F501" s="1"/>
  <c r="F500" s="1"/>
  <c r="F499" s="1"/>
  <c r="E502"/>
  <c r="E501" s="1"/>
  <c r="E500" s="1"/>
  <c r="E499" s="1"/>
  <c r="D502"/>
  <c r="D501" s="1"/>
  <c r="D500" s="1"/>
  <c r="D499" s="1"/>
  <c r="O501"/>
  <c r="O500" s="1"/>
  <c r="O499" s="1"/>
  <c r="J501"/>
  <c r="J500" s="1"/>
  <c r="J499" s="1"/>
  <c r="Q496"/>
  <c r="Q495" s="1"/>
  <c r="P496"/>
  <c r="P495" s="1"/>
  <c r="O496"/>
  <c r="O495" s="1"/>
  <c r="O494" s="1"/>
  <c r="J496"/>
  <c r="J495" s="1"/>
  <c r="J494" s="1"/>
  <c r="I496"/>
  <c r="I495" s="1"/>
  <c r="H496"/>
  <c r="H495" s="1"/>
  <c r="G496"/>
  <c r="G495" s="1"/>
  <c r="G494" s="1"/>
  <c r="F496"/>
  <c r="F495" s="1"/>
  <c r="F494" s="1"/>
  <c r="E496"/>
  <c r="E495" s="1"/>
  <c r="D496"/>
  <c r="D495" s="1"/>
  <c r="C940"/>
  <c r="C939" s="1"/>
  <c r="Q486"/>
  <c r="P486"/>
  <c r="O486"/>
  <c r="J486"/>
  <c r="I486"/>
  <c r="H486"/>
  <c r="G486"/>
  <c r="F486"/>
  <c r="E486"/>
  <c r="D486"/>
  <c r="Q484"/>
  <c r="Q483" s="1"/>
  <c r="Q482" s="1"/>
  <c r="Q481" s="1"/>
  <c r="P484"/>
  <c r="P483" s="1"/>
  <c r="P482" s="1"/>
  <c r="O484"/>
  <c r="O483" s="1"/>
  <c r="O482" s="1"/>
  <c r="O481" s="1"/>
  <c r="J484"/>
  <c r="J483" s="1"/>
  <c r="J482" s="1"/>
  <c r="I484"/>
  <c r="H484"/>
  <c r="H483" s="1"/>
  <c r="H482" s="1"/>
  <c r="G484"/>
  <c r="G483" s="1"/>
  <c r="G482" s="1"/>
  <c r="G481" s="1"/>
  <c r="F484"/>
  <c r="F483" s="1"/>
  <c r="F482" s="1"/>
  <c r="E484"/>
  <c r="D484"/>
  <c r="D483" s="1"/>
  <c r="D482" s="1"/>
  <c r="I483"/>
  <c r="I482" s="1"/>
  <c r="E483"/>
  <c r="E482" s="1"/>
  <c r="Q478"/>
  <c r="P478"/>
  <c r="O478"/>
  <c r="J478"/>
  <c r="I478"/>
  <c r="H478"/>
  <c r="G478"/>
  <c r="F478"/>
  <c r="E478"/>
  <c r="D478"/>
  <c r="Q474"/>
  <c r="P474"/>
  <c r="P473" s="1"/>
  <c r="O474"/>
  <c r="O473" s="1"/>
  <c r="O472" s="1"/>
  <c r="J474"/>
  <c r="I474"/>
  <c r="H474"/>
  <c r="H473" s="1"/>
  <c r="G474"/>
  <c r="G473" s="1"/>
  <c r="G472" s="1"/>
  <c r="F474"/>
  <c r="F473" s="1"/>
  <c r="E474"/>
  <c r="E473" s="1"/>
  <c r="D474"/>
  <c r="D473" s="1"/>
  <c r="Q473"/>
  <c r="Q472" s="1"/>
  <c r="J473"/>
  <c r="I473"/>
  <c r="I471"/>
  <c r="I469" s="1"/>
  <c r="I468" s="1"/>
  <c r="I467" s="1"/>
  <c r="H471"/>
  <c r="H469" s="1"/>
  <c r="H468" s="1"/>
  <c r="H467" s="1"/>
  <c r="E471"/>
  <c r="E469" s="1"/>
  <c r="E468" s="1"/>
  <c r="E467" s="1"/>
  <c r="Q469"/>
  <c r="Q468" s="1"/>
  <c r="Q467" s="1"/>
  <c r="P469"/>
  <c r="P468" s="1"/>
  <c r="P467" s="1"/>
  <c r="O469"/>
  <c r="O468" s="1"/>
  <c r="O467" s="1"/>
  <c r="J469"/>
  <c r="J468" s="1"/>
  <c r="J467" s="1"/>
  <c r="G469"/>
  <c r="G468" s="1"/>
  <c r="G467" s="1"/>
  <c r="F469"/>
  <c r="F468" s="1"/>
  <c r="F467" s="1"/>
  <c r="D469"/>
  <c r="D468" s="1"/>
  <c r="D467" s="1"/>
  <c r="Q465"/>
  <c r="P465"/>
  <c r="O465"/>
  <c r="J465"/>
  <c r="I465"/>
  <c r="H465"/>
  <c r="G465"/>
  <c r="F465"/>
  <c r="E465"/>
  <c r="D465"/>
  <c r="Q460"/>
  <c r="Q459" s="1"/>
  <c r="P460"/>
  <c r="P459" s="1"/>
  <c r="O460"/>
  <c r="J460"/>
  <c r="I460"/>
  <c r="I459" s="1"/>
  <c r="H460"/>
  <c r="H459" s="1"/>
  <c r="G460"/>
  <c r="G459" s="1"/>
  <c r="F460"/>
  <c r="F459" s="1"/>
  <c r="E460"/>
  <c r="E459" s="1"/>
  <c r="D460"/>
  <c r="D459" s="1"/>
  <c r="O459"/>
  <c r="J459"/>
  <c r="Q456"/>
  <c r="P456"/>
  <c r="O456"/>
  <c r="J456"/>
  <c r="I456"/>
  <c r="H456"/>
  <c r="G456"/>
  <c r="F456"/>
  <c r="E456"/>
  <c r="D456"/>
  <c r="J412"/>
  <c r="Q451"/>
  <c r="Q450" s="1"/>
  <c r="P451"/>
  <c r="P450" s="1"/>
  <c r="O451"/>
  <c r="J451"/>
  <c r="I451"/>
  <c r="I450" s="1"/>
  <c r="H451"/>
  <c r="H450" s="1"/>
  <c r="G451"/>
  <c r="G450" s="1"/>
  <c r="F451"/>
  <c r="F450" s="1"/>
  <c r="E451"/>
  <c r="E450" s="1"/>
  <c r="D451"/>
  <c r="D450" s="1"/>
  <c r="O450"/>
  <c r="Q447"/>
  <c r="P447"/>
  <c r="O447"/>
  <c r="J447"/>
  <c r="I447"/>
  <c r="H447"/>
  <c r="G447"/>
  <c r="F447"/>
  <c r="E447"/>
  <c r="D447"/>
  <c r="Q442"/>
  <c r="Q441" s="1"/>
  <c r="P442"/>
  <c r="P441" s="1"/>
  <c r="O442"/>
  <c r="J442"/>
  <c r="I442"/>
  <c r="I441" s="1"/>
  <c r="H442"/>
  <c r="H441" s="1"/>
  <c r="G442"/>
  <c r="G441" s="1"/>
  <c r="F442"/>
  <c r="F441" s="1"/>
  <c r="E442"/>
  <c r="E441" s="1"/>
  <c r="D442"/>
  <c r="D441" s="1"/>
  <c r="O441"/>
  <c r="Q438"/>
  <c r="P438"/>
  <c r="O438"/>
  <c r="J438"/>
  <c r="I438"/>
  <c r="H438"/>
  <c r="G438"/>
  <c r="F438"/>
  <c r="E438"/>
  <c r="D438"/>
  <c r="Q433"/>
  <c r="P433"/>
  <c r="P432" s="1"/>
  <c r="O433"/>
  <c r="J433"/>
  <c r="I433"/>
  <c r="H433"/>
  <c r="G433"/>
  <c r="G432" s="1"/>
  <c r="F433"/>
  <c r="E433"/>
  <c r="D433"/>
  <c r="D432" s="1"/>
  <c r="O432"/>
  <c r="I430"/>
  <c r="I416" s="1"/>
  <c r="I406" s="1"/>
  <c r="E430"/>
  <c r="E416" s="1"/>
  <c r="E406" s="1"/>
  <c r="I426"/>
  <c r="I415" s="1"/>
  <c r="I405" s="1"/>
  <c r="E426"/>
  <c r="D426"/>
  <c r="D415" s="1"/>
  <c r="D405" s="1"/>
  <c r="Q425"/>
  <c r="P425"/>
  <c r="O425"/>
  <c r="J425"/>
  <c r="H425"/>
  <c r="G425"/>
  <c r="F425"/>
  <c r="D425"/>
  <c r="H420"/>
  <c r="H419" s="1"/>
  <c r="H418" s="1"/>
  <c r="Q419"/>
  <c r="Q418" s="1"/>
  <c r="P419"/>
  <c r="P418" s="1"/>
  <c r="O419"/>
  <c r="O418" s="1"/>
  <c r="J419"/>
  <c r="I419"/>
  <c r="I418" s="1"/>
  <c r="G419"/>
  <c r="G418" s="1"/>
  <c r="F419"/>
  <c r="F418" s="1"/>
  <c r="E419"/>
  <c r="E418" s="1"/>
  <c r="D419"/>
  <c r="D418" s="1"/>
  <c r="Q416"/>
  <c r="Q406" s="1"/>
  <c r="P416"/>
  <c r="P406" s="1"/>
  <c r="O416"/>
  <c r="O406" s="1"/>
  <c r="J416"/>
  <c r="H416"/>
  <c r="H406" s="1"/>
  <c r="G416"/>
  <c r="G406" s="1"/>
  <c r="F416"/>
  <c r="F406" s="1"/>
  <c r="D416"/>
  <c r="D406" s="1"/>
  <c r="Q415"/>
  <c r="Q405" s="1"/>
  <c r="P415"/>
  <c r="P405" s="1"/>
  <c r="O415"/>
  <c r="J415"/>
  <c r="J405" s="1"/>
  <c r="H415"/>
  <c r="H405" s="1"/>
  <c r="G415"/>
  <c r="G405" s="1"/>
  <c r="F415"/>
  <c r="Q413"/>
  <c r="Q403" s="1"/>
  <c r="P413"/>
  <c r="P403" s="1"/>
  <c r="O413"/>
  <c r="O403" s="1"/>
  <c r="J413"/>
  <c r="I413"/>
  <c r="H413"/>
  <c r="H403" s="1"/>
  <c r="G413"/>
  <c r="G403" s="1"/>
  <c r="G387" s="1"/>
  <c r="F413"/>
  <c r="F403" s="1"/>
  <c r="E413"/>
  <c r="D413"/>
  <c r="D403" s="1"/>
  <c r="Q412"/>
  <c r="Q401" s="1"/>
  <c r="P412"/>
  <c r="P401" s="1"/>
  <c r="O412"/>
  <c r="O401" s="1"/>
  <c r="O385" s="1"/>
  <c r="I412"/>
  <c r="I401" s="1"/>
  <c r="H412"/>
  <c r="G412"/>
  <c r="G401" s="1"/>
  <c r="G385" s="1"/>
  <c r="F412"/>
  <c r="F401" s="1"/>
  <c r="E412"/>
  <c r="E401" s="1"/>
  <c r="D412"/>
  <c r="D401" s="1"/>
  <c r="Q411"/>
  <c r="P411"/>
  <c r="O411"/>
  <c r="J411"/>
  <c r="I411"/>
  <c r="H411"/>
  <c r="G411"/>
  <c r="F411"/>
  <c r="E411"/>
  <c r="D411"/>
  <c r="Q410"/>
  <c r="Q400" s="1"/>
  <c r="Q384" s="1"/>
  <c r="P410"/>
  <c r="P400" s="1"/>
  <c r="P384" s="1"/>
  <c r="O410"/>
  <c r="O400" s="1"/>
  <c r="J410"/>
  <c r="I410"/>
  <c r="G410"/>
  <c r="G400" s="1"/>
  <c r="F410"/>
  <c r="F400" s="1"/>
  <c r="E410"/>
  <c r="E400" s="1"/>
  <c r="D410"/>
  <c r="D400" s="1"/>
  <c r="D384" s="1"/>
  <c r="J406"/>
  <c r="O405"/>
  <c r="F405"/>
  <c r="Q402"/>
  <c r="P402"/>
  <c r="O402"/>
  <c r="J402"/>
  <c r="I402"/>
  <c r="H402"/>
  <c r="G402"/>
  <c r="F402"/>
  <c r="E402"/>
  <c r="D402"/>
  <c r="H401"/>
  <c r="I400"/>
  <c r="Q394"/>
  <c r="P394"/>
  <c r="O394"/>
  <c r="J394"/>
  <c r="I394"/>
  <c r="H394"/>
  <c r="G394"/>
  <c r="F394"/>
  <c r="E394"/>
  <c r="D394"/>
  <c r="Q392"/>
  <c r="P392"/>
  <c r="P224" s="1"/>
  <c r="O392"/>
  <c r="J392"/>
  <c r="J224" s="1"/>
  <c r="I392"/>
  <c r="H392"/>
  <c r="H224" s="1"/>
  <c r="G392"/>
  <c r="F392"/>
  <c r="F224" s="1"/>
  <c r="E392"/>
  <c r="D392"/>
  <c r="D224" s="1"/>
  <c r="Q391"/>
  <c r="P391"/>
  <c r="O391"/>
  <c r="J391"/>
  <c r="I391"/>
  <c r="H391"/>
  <c r="H223" s="1"/>
  <c r="G391"/>
  <c r="F391"/>
  <c r="F223" s="1"/>
  <c r="E391"/>
  <c r="D391"/>
  <c r="D223" s="1"/>
  <c r="O388"/>
  <c r="J388"/>
  <c r="H388"/>
  <c r="G388"/>
  <c r="F388"/>
  <c r="Q378"/>
  <c r="Q377" s="1"/>
  <c r="P378"/>
  <c r="O378"/>
  <c r="J378"/>
  <c r="C937" s="1"/>
  <c r="C936" s="1"/>
  <c r="I378"/>
  <c r="I377" s="1"/>
  <c r="H378"/>
  <c r="G378"/>
  <c r="F378"/>
  <c r="F377" s="1"/>
  <c r="E378"/>
  <c r="E377" s="1"/>
  <c r="D378"/>
  <c r="D375"/>
  <c r="D373" s="1"/>
  <c r="D372" s="1"/>
  <c r="Q373"/>
  <c r="Q372" s="1"/>
  <c r="P373"/>
  <c r="P372" s="1"/>
  <c r="O373"/>
  <c r="O372" s="1"/>
  <c r="J373"/>
  <c r="J372" s="1"/>
  <c r="I373"/>
  <c r="I372" s="1"/>
  <c r="H373"/>
  <c r="H372" s="1"/>
  <c r="G373"/>
  <c r="G372" s="1"/>
  <c r="F373"/>
  <c r="F372" s="1"/>
  <c r="E373"/>
  <c r="E372" s="1"/>
  <c r="Q368"/>
  <c r="Q367" s="1"/>
  <c r="P368"/>
  <c r="P367" s="1"/>
  <c r="O368"/>
  <c r="O367" s="1"/>
  <c r="J368"/>
  <c r="J366" s="1"/>
  <c r="I368"/>
  <c r="I366" s="1"/>
  <c r="H368"/>
  <c r="H367" s="1"/>
  <c r="G368"/>
  <c r="G367" s="1"/>
  <c r="F368"/>
  <c r="F366" s="1"/>
  <c r="E368"/>
  <c r="E367" s="1"/>
  <c r="D368"/>
  <c r="D367" s="1"/>
  <c r="O366"/>
  <c r="Q362"/>
  <c r="Q361" s="1"/>
  <c r="P362"/>
  <c r="P361" s="1"/>
  <c r="O362"/>
  <c r="O361" s="1"/>
  <c r="J362"/>
  <c r="C934" s="1"/>
  <c r="C933" s="1"/>
  <c r="I362"/>
  <c r="I361" s="1"/>
  <c r="H362"/>
  <c r="H361" s="1"/>
  <c r="G362"/>
  <c r="G361" s="1"/>
  <c r="F362"/>
  <c r="F361" s="1"/>
  <c r="E362"/>
  <c r="E361" s="1"/>
  <c r="D362"/>
  <c r="D361" s="1"/>
  <c r="Q359"/>
  <c r="Q358" s="1"/>
  <c r="P359"/>
  <c r="P358" s="1"/>
  <c r="O359"/>
  <c r="J359"/>
  <c r="J358" s="1"/>
  <c r="I359"/>
  <c r="I358" s="1"/>
  <c r="H359"/>
  <c r="G359"/>
  <c r="G358" s="1"/>
  <c r="F359"/>
  <c r="F358" s="1"/>
  <c r="E359"/>
  <c r="E358" s="1"/>
  <c r="D359"/>
  <c r="D358" s="1"/>
  <c r="O358"/>
  <c r="Q353"/>
  <c r="P353"/>
  <c r="O353"/>
  <c r="J353"/>
  <c r="I353"/>
  <c r="H353"/>
  <c r="G353"/>
  <c r="F353"/>
  <c r="E353"/>
  <c r="D353"/>
  <c r="Q352"/>
  <c r="P352"/>
  <c r="O352"/>
  <c r="J352"/>
  <c r="I352"/>
  <c r="H352"/>
  <c r="G352"/>
  <c r="F352"/>
  <c r="E352"/>
  <c r="Q351"/>
  <c r="P351"/>
  <c r="O351"/>
  <c r="J351"/>
  <c r="I351"/>
  <c r="H351"/>
  <c r="G351"/>
  <c r="F351"/>
  <c r="E351"/>
  <c r="D351"/>
  <c r="Q345"/>
  <c r="Q343" s="1"/>
  <c r="P345"/>
  <c r="P236" s="1"/>
  <c r="P213" s="1"/>
  <c r="O345"/>
  <c r="J345"/>
  <c r="J343" s="1"/>
  <c r="I345"/>
  <c r="I343" s="1"/>
  <c r="H345"/>
  <c r="H236" s="1"/>
  <c r="H213" s="1"/>
  <c r="G345"/>
  <c r="G343" s="1"/>
  <c r="F345"/>
  <c r="F343" s="1"/>
  <c r="E345"/>
  <c r="E343" s="1"/>
  <c r="D345"/>
  <c r="D236" s="1"/>
  <c r="D213" s="1"/>
  <c r="O343"/>
  <c r="O342" s="1"/>
  <c r="I339"/>
  <c r="I338" s="1"/>
  <c r="I337" s="1"/>
  <c r="E339"/>
  <c r="E338" s="1"/>
  <c r="E337" s="1"/>
  <c r="D339"/>
  <c r="D338" s="1"/>
  <c r="D337" s="1"/>
  <c r="I333"/>
  <c r="E333"/>
  <c r="D333"/>
  <c r="Q330"/>
  <c r="Q329" s="1"/>
  <c r="P330"/>
  <c r="P329" s="1"/>
  <c r="O330"/>
  <c r="O329" s="1"/>
  <c r="J330"/>
  <c r="J329" s="1"/>
  <c r="I330"/>
  <c r="I329" s="1"/>
  <c r="H330"/>
  <c r="H329" s="1"/>
  <c r="G330"/>
  <c r="G329" s="1"/>
  <c r="F330"/>
  <c r="F329" s="1"/>
  <c r="E330"/>
  <c r="E329" s="1"/>
  <c r="D330"/>
  <c r="D329" s="1"/>
  <c r="Q325"/>
  <c r="P325"/>
  <c r="O325"/>
  <c r="J325"/>
  <c r="I325"/>
  <c r="H325"/>
  <c r="G325"/>
  <c r="F325"/>
  <c r="E325"/>
  <c r="D325"/>
  <c r="E324"/>
  <c r="E322" s="1"/>
  <c r="E321" s="1"/>
  <c r="E320" s="1"/>
  <c r="Q322"/>
  <c r="Q321" s="1"/>
  <c r="P322"/>
  <c r="P321" s="1"/>
  <c r="O322"/>
  <c r="O321" s="1"/>
  <c r="O320" s="1"/>
  <c r="J322"/>
  <c r="J321" s="1"/>
  <c r="J320" s="1"/>
  <c r="I322"/>
  <c r="I321" s="1"/>
  <c r="H322"/>
  <c r="H321" s="1"/>
  <c r="G322"/>
  <c r="F322"/>
  <c r="F321" s="1"/>
  <c r="F320" s="1"/>
  <c r="D322"/>
  <c r="D321" s="1"/>
  <c r="G321"/>
  <c r="G320" s="1"/>
  <c r="G319" s="1"/>
  <c r="E318"/>
  <c r="E317" s="1"/>
  <c r="E316" s="1"/>
  <c r="E315" s="1"/>
  <c r="Q317"/>
  <c r="Q316" s="1"/>
  <c r="Q315" s="1"/>
  <c r="P317"/>
  <c r="P316" s="1"/>
  <c r="P315" s="1"/>
  <c r="O317"/>
  <c r="O316" s="1"/>
  <c r="O315" s="1"/>
  <c r="J317"/>
  <c r="J316" s="1"/>
  <c r="J315" s="1"/>
  <c r="I317"/>
  <c r="I316" s="1"/>
  <c r="I315" s="1"/>
  <c r="H317"/>
  <c r="H316" s="1"/>
  <c r="H315" s="1"/>
  <c r="G317"/>
  <c r="G316" s="1"/>
  <c r="G315" s="1"/>
  <c r="F317"/>
  <c r="F316" s="1"/>
  <c r="F315" s="1"/>
  <c r="D317"/>
  <c r="D316" s="1"/>
  <c r="D315" s="1"/>
  <c r="Q312"/>
  <c r="Q311" s="1"/>
  <c r="Q310" s="1"/>
  <c r="P312"/>
  <c r="P311" s="1"/>
  <c r="P310" s="1"/>
  <c r="O312"/>
  <c r="J312"/>
  <c r="I312"/>
  <c r="I311" s="1"/>
  <c r="I310" s="1"/>
  <c r="H312"/>
  <c r="H311" s="1"/>
  <c r="H310" s="1"/>
  <c r="G312"/>
  <c r="G311" s="1"/>
  <c r="G310" s="1"/>
  <c r="F312"/>
  <c r="F311" s="1"/>
  <c r="F310" s="1"/>
  <c r="E312"/>
  <c r="E311" s="1"/>
  <c r="E310" s="1"/>
  <c r="D312"/>
  <c r="D311" s="1"/>
  <c r="D310" s="1"/>
  <c r="O311"/>
  <c r="O310" s="1"/>
  <c r="Q308"/>
  <c r="Q307" s="1"/>
  <c r="Q306" s="1"/>
  <c r="P308"/>
  <c r="P307" s="1"/>
  <c r="P306" s="1"/>
  <c r="O308"/>
  <c r="O307" s="1"/>
  <c r="O306" s="1"/>
  <c r="J308"/>
  <c r="I308"/>
  <c r="I307" s="1"/>
  <c r="I306" s="1"/>
  <c r="H308"/>
  <c r="H307" s="1"/>
  <c r="H306" s="1"/>
  <c r="G308"/>
  <c r="G307" s="1"/>
  <c r="G306" s="1"/>
  <c r="F308"/>
  <c r="F307" s="1"/>
  <c r="F306" s="1"/>
  <c r="E308"/>
  <c r="E307" s="1"/>
  <c r="E306" s="1"/>
  <c r="D308"/>
  <c r="D307" s="1"/>
  <c r="D306" s="1"/>
  <c r="Q302"/>
  <c r="Q301" s="1"/>
  <c r="P302"/>
  <c r="P301" s="1"/>
  <c r="I303"/>
  <c r="I302" s="1"/>
  <c r="I301" s="1"/>
  <c r="H303"/>
  <c r="H302" s="1"/>
  <c r="H301" s="1"/>
  <c r="G303"/>
  <c r="G302" s="1"/>
  <c r="G301" s="1"/>
  <c r="F303"/>
  <c r="F302" s="1"/>
  <c r="F301" s="1"/>
  <c r="E303"/>
  <c r="E302" s="1"/>
  <c r="E301" s="1"/>
  <c r="D303"/>
  <c r="D302" s="1"/>
  <c r="D301" s="1"/>
  <c r="O302"/>
  <c r="O301" s="1"/>
  <c r="Q297"/>
  <c r="Q296" s="1"/>
  <c r="P297"/>
  <c r="P296" s="1"/>
  <c r="O297"/>
  <c r="O296" s="1"/>
  <c r="I298"/>
  <c r="I297" s="1"/>
  <c r="I296" s="1"/>
  <c r="H298"/>
  <c r="H297" s="1"/>
  <c r="H296" s="1"/>
  <c r="G298"/>
  <c r="G297" s="1"/>
  <c r="G296" s="1"/>
  <c r="F298"/>
  <c r="F297" s="1"/>
  <c r="F296" s="1"/>
  <c r="E298"/>
  <c r="E297" s="1"/>
  <c r="E296" s="1"/>
  <c r="D298"/>
  <c r="D297" s="1"/>
  <c r="D296" s="1"/>
  <c r="Q293"/>
  <c r="Q292" s="1"/>
  <c r="Q291" s="1"/>
  <c r="P293"/>
  <c r="P292" s="1"/>
  <c r="P291" s="1"/>
  <c r="O293"/>
  <c r="O265" s="1"/>
  <c r="J293"/>
  <c r="I293"/>
  <c r="I292" s="1"/>
  <c r="I291" s="1"/>
  <c r="H293"/>
  <c r="H292" s="1"/>
  <c r="H291" s="1"/>
  <c r="G293"/>
  <c r="G292" s="1"/>
  <c r="G291" s="1"/>
  <c r="F293"/>
  <c r="F292" s="1"/>
  <c r="F291" s="1"/>
  <c r="E293"/>
  <c r="E292" s="1"/>
  <c r="E291" s="1"/>
  <c r="D293"/>
  <c r="D292" s="1"/>
  <c r="D291" s="1"/>
  <c r="O292"/>
  <c r="O291" s="1"/>
  <c r="Q289"/>
  <c r="Q288" s="1"/>
  <c r="P289"/>
  <c r="P288" s="1"/>
  <c r="O289"/>
  <c r="O288" s="1"/>
  <c r="J289"/>
  <c r="I289"/>
  <c r="I288" s="1"/>
  <c r="H289"/>
  <c r="H288" s="1"/>
  <c r="G289"/>
  <c r="G288" s="1"/>
  <c r="F289"/>
  <c r="F288" s="1"/>
  <c r="E289"/>
  <c r="E288" s="1"/>
  <c r="D289"/>
  <c r="D288" s="1"/>
  <c r="I284"/>
  <c r="I283" s="1"/>
  <c r="I282" s="1"/>
  <c r="E284"/>
  <c r="E283" s="1"/>
  <c r="E282" s="1"/>
  <c r="D284"/>
  <c r="D283" s="1"/>
  <c r="D282" s="1"/>
  <c r="E280"/>
  <c r="E267" s="1"/>
  <c r="E250" s="1"/>
  <c r="J267"/>
  <c r="G270"/>
  <c r="G267" s="1"/>
  <c r="G250" s="1"/>
  <c r="Q267"/>
  <c r="Q250" s="1"/>
  <c r="P267"/>
  <c r="P250" s="1"/>
  <c r="O267"/>
  <c r="O250" s="1"/>
  <c r="I267"/>
  <c r="H267"/>
  <c r="H250" s="1"/>
  <c r="F267"/>
  <c r="F250" s="1"/>
  <c r="D267"/>
  <c r="Q263"/>
  <c r="Q247" s="1"/>
  <c r="P263"/>
  <c r="O263"/>
  <c r="O247" s="1"/>
  <c r="J263"/>
  <c r="I263"/>
  <c r="I247" s="1"/>
  <c r="H263"/>
  <c r="H247" s="1"/>
  <c r="G263"/>
  <c r="G247" s="1"/>
  <c r="F263"/>
  <c r="F247" s="1"/>
  <c r="F226" s="1"/>
  <c r="E263"/>
  <c r="E247" s="1"/>
  <c r="D263"/>
  <c r="D247" s="1"/>
  <c r="Q261"/>
  <c r="P261"/>
  <c r="O261"/>
  <c r="J261"/>
  <c r="I261"/>
  <c r="H261"/>
  <c r="G261"/>
  <c r="F261"/>
  <c r="E261"/>
  <c r="D261"/>
  <c r="J235"/>
  <c r="E254"/>
  <c r="E253" s="1"/>
  <c r="P252"/>
  <c r="O252"/>
  <c r="I253"/>
  <c r="I252" s="1"/>
  <c r="H253"/>
  <c r="H252" s="1"/>
  <c r="G253"/>
  <c r="G252" s="1"/>
  <c r="F253"/>
  <c r="F252" s="1"/>
  <c r="D253"/>
  <c r="D252" s="1"/>
  <c r="Q252"/>
  <c r="I250"/>
  <c r="D250"/>
  <c r="P247"/>
  <c r="P226" s="1"/>
  <c r="Q246"/>
  <c r="P246"/>
  <c r="O246"/>
  <c r="J246"/>
  <c r="I246"/>
  <c r="H246"/>
  <c r="G246"/>
  <c r="F246"/>
  <c r="E246"/>
  <c r="D246"/>
  <c r="Q245"/>
  <c r="P245"/>
  <c r="O245"/>
  <c r="J245"/>
  <c r="I245"/>
  <c r="H245"/>
  <c r="G245"/>
  <c r="F245"/>
  <c r="E245"/>
  <c r="D245"/>
  <c r="Q243"/>
  <c r="P243"/>
  <c r="P220" s="1"/>
  <c r="O243"/>
  <c r="O220" s="1"/>
  <c r="J243"/>
  <c r="I243"/>
  <c r="H243"/>
  <c r="H220" s="1"/>
  <c r="G243"/>
  <c r="F243"/>
  <c r="F220" s="1"/>
  <c r="E243"/>
  <c r="D243"/>
  <c r="D220" s="1"/>
  <c r="Q240"/>
  <c r="P240"/>
  <c r="O240"/>
  <c r="J240"/>
  <c r="I240"/>
  <c r="H240"/>
  <c r="G240"/>
  <c r="F240"/>
  <c r="E240"/>
  <c r="D240"/>
  <c r="Q239"/>
  <c r="Q216" s="1"/>
  <c r="P239"/>
  <c r="P216" s="1"/>
  <c r="O239"/>
  <c r="J239"/>
  <c r="I239"/>
  <c r="I216" s="1"/>
  <c r="H239"/>
  <c r="H216" s="1"/>
  <c r="G239"/>
  <c r="G216" s="1"/>
  <c r="F239"/>
  <c r="F216" s="1"/>
  <c r="E239"/>
  <c r="E216" s="1"/>
  <c r="D239"/>
  <c r="D216" s="1"/>
  <c r="O238"/>
  <c r="J238"/>
  <c r="G238"/>
  <c r="F238"/>
  <c r="Q237"/>
  <c r="Q214" s="1"/>
  <c r="P237"/>
  <c r="P214" s="1"/>
  <c r="O237"/>
  <c r="O214" s="1"/>
  <c r="J237"/>
  <c r="J214" s="1"/>
  <c r="I237"/>
  <c r="I214" s="1"/>
  <c r="H237"/>
  <c r="H214" s="1"/>
  <c r="G237"/>
  <c r="G214" s="1"/>
  <c r="F237"/>
  <c r="E237"/>
  <c r="E214" s="1"/>
  <c r="D237"/>
  <c r="D214" s="1"/>
  <c r="O236"/>
  <c r="O213" s="1"/>
  <c r="I236"/>
  <c r="I213" s="1"/>
  <c r="G236"/>
  <c r="G213" s="1"/>
  <c r="F236"/>
  <c r="F213" s="1"/>
  <c r="Q235"/>
  <c r="P235"/>
  <c r="O235"/>
  <c r="I235"/>
  <c r="H235"/>
  <c r="G235"/>
  <c r="F235"/>
  <c r="E235"/>
  <c r="D235"/>
  <c r="Q234"/>
  <c r="P234"/>
  <c r="O234"/>
  <c r="J234"/>
  <c r="I234"/>
  <c r="H234"/>
  <c r="G234"/>
  <c r="F234"/>
  <c r="D234"/>
  <c r="J230"/>
  <c r="Q224"/>
  <c r="O224"/>
  <c r="I224"/>
  <c r="G224"/>
  <c r="E224"/>
  <c r="Q223"/>
  <c r="P223"/>
  <c r="O223"/>
  <c r="I223"/>
  <c r="G223"/>
  <c r="E223"/>
  <c r="Q220"/>
  <c r="J220"/>
  <c r="I220"/>
  <c r="G220"/>
  <c r="E220"/>
  <c r="O218"/>
  <c r="O216"/>
  <c r="F214"/>
  <c r="Q200"/>
  <c r="P200"/>
  <c r="O200"/>
  <c r="J200"/>
  <c r="I200"/>
  <c r="H200"/>
  <c r="G200"/>
  <c r="F200"/>
  <c r="E200"/>
  <c r="D200"/>
  <c r="Q199"/>
  <c r="P199"/>
  <c r="O199"/>
  <c r="J199"/>
  <c r="I199"/>
  <c r="H199"/>
  <c r="G199"/>
  <c r="F199"/>
  <c r="E199"/>
  <c r="D199"/>
  <c r="Q192"/>
  <c r="P192"/>
  <c r="O192"/>
  <c r="J192"/>
  <c r="I192"/>
  <c r="H192"/>
  <c r="G192"/>
  <c r="F192"/>
  <c r="E192"/>
  <c r="D192"/>
  <c r="Q190"/>
  <c r="P190"/>
  <c r="O190"/>
  <c r="J190"/>
  <c r="I190"/>
  <c r="H190"/>
  <c r="G190"/>
  <c r="F190"/>
  <c r="E190"/>
  <c r="D190"/>
  <c r="Q187"/>
  <c r="P187"/>
  <c r="O187"/>
  <c r="J187"/>
  <c r="I187"/>
  <c r="H187"/>
  <c r="G187"/>
  <c r="F187"/>
  <c r="E187"/>
  <c r="D187"/>
  <c r="D184"/>
  <c r="Q179"/>
  <c r="P179"/>
  <c r="O179"/>
  <c r="J179"/>
  <c r="I179"/>
  <c r="H179"/>
  <c r="G179"/>
  <c r="F179"/>
  <c r="E179"/>
  <c r="D179"/>
  <c r="Q173"/>
  <c r="P173"/>
  <c r="O173"/>
  <c r="J173"/>
  <c r="I173"/>
  <c r="H173"/>
  <c r="G173"/>
  <c r="F173"/>
  <c r="E173"/>
  <c r="D173"/>
  <c r="F170"/>
  <c r="E170"/>
  <c r="D170"/>
  <c r="Q169"/>
  <c r="P169"/>
  <c r="O169"/>
  <c r="J169"/>
  <c r="I169"/>
  <c r="H169"/>
  <c r="G169"/>
  <c r="F169"/>
  <c r="E169"/>
  <c r="D169"/>
  <c r="J168"/>
  <c r="F168"/>
  <c r="E168"/>
  <c r="D168"/>
  <c r="I160"/>
  <c r="E160"/>
  <c r="D160"/>
  <c r="F158"/>
  <c r="F178" s="1"/>
  <c r="F177" s="1"/>
  <c r="E158"/>
  <c r="E178" s="1"/>
  <c r="E177" s="1"/>
  <c r="D158"/>
  <c r="D178" s="1"/>
  <c r="D177" s="1"/>
  <c r="Q157"/>
  <c r="P157"/>
  <c r="O157"/>
  <c r="J157"/>
  <c r="I157"/>
  <c r="H157"/>
  <c r="G157"/>
  <c r="F157"/>
  <c r="E157"/>
  <c r="D157"/>
  <c r="Q155"/>
  <c r="P155"/>
  <c r="O155"/>
  <c r="J155"/>
  <c r="I155"/>
  <c r="H155"/>
  <c r="G155"/>
  <c r="F155"/>
  <c r="E155"/>
  <c r="D155"/>
  <c r="Q154"/>
  <c r="P154"/>
  <c r="O154"/>
  <c r="J154"/>
  <c r="I154"/>
  <c r="H154"/>
  <c r="G154"/>
  <c r="F154"/>
  <c r="E154"/>
  <c r="D154"/>
  <c r="Q152"/>
  <c r="Q151" s="1"/>
  <c r="P152"/>
  <c r="P151" s="1"/>
  <c r="O152"/>
  <c r="J152"/>
  <c r="J151" s="1"/>
  <c r="I152"/>
  <c r="I151" s="1"/>
  <c r="H152"/>
  <c r="H151" s="1"/>
  <c r="G152"/>
  <c r="G151" s="1"/>
  <c r="F152"/>
  <c r="F151" s="1"/>
  <c r="E152"/>
  <c r="E151" s="1"/>
  <c r="D152"/>
  <c r="D151" s="1"/>
  <c r="O151"/>
  <c r="Q150"/>
  <c r="P150"/>
  <c r="O150"/>
  <c r="J150"/>
  <c r="H150"/>
  <c r="G150"/>
  <c r="F150"/>
  <c r="E150"/>
  <c r="D150"/>
  <c r="Q148"/>
  <c r="P148"/>
  <c r="O148"/>
  <c r="J148"/>
  <c r="H148"/>
  <c r="G148"/>
  <c r="F148"/>
  <c r="E148"/>
  <c r="D148"/>
  <c r="Q147"/>
  <c r="P147"/>
  <c r="O147"/>
  <c r="J147"/>
  <c r="I147"/>
  <c r="H147"/>
  <c r="G147"/>
  <c r="F147"/>
  <c r="E147"/>
  <c r="D147"/>
  <c r="I146"/>
  <c r="J145"/>
  <c r="J144" s="1"/>
  <c r="H145"/>
  <c r="H144" s="1"/>
  <c r="G145"/>
  <c r="G144" s="1"/>
  <c r="F145"/>
  <c r="F144" s="1"/>
  <c r="Q144"/>
  <c r="P144"/>
  <c r="O144"/>
  <c r="I144"/>
  <c r="E144"/>
  <c r="D144"/>
  <c r="Q142"/>
  <c r="P142"/>
  <c r="O142"/>
  <c r="J142"/>
  <c r="I142"/>
  <c r="H142"/>
  <c r="G142"/>
  <c r="F142"/>
  <c r="E142"/>
  <c r="D142"/>
  <c r="Q138"/>
  <c r="P138"/>
  <c r="O138"/>
  <c r="J138"/>
  <c r="I138"/>
  <c r="H138"/>
  <c r="G138"/>
  <c r="F138"/>
  <c r="E138"/>
  <c r="D138"/>
  <c r="Q137"/>
  <c r="P137"/>
  <c r="O137"/>
  <c r="J137"/>
  <c r="I137"/>
  <c r="H137"/>
  <c r="G137"/>
  <c r="F137"/>
  <c r="E137"/>
  <c r="D137"/>
  <c r="Q136"/>
  <c r="P136"/>
  <c r="O136"/>
  <c r="J136"/>
  <c r="J135" s="1"/>
  <c r="I136"/>
  <c r="H136"/>
  <c r="G136"/>
  <c r="F136"/>
  <c r="E136"/>
  <c r="D136"/>
  <c r="Q133"/>
  <c r="P133"/>
  <c r="O133"/>
  <c r="J133"/>
  <c r="I133"/>
  <c r="H133"/>
  <c r="G133"/>
  <c r="F133"/>
  <c r="E133"/>
  <c r="D133"/>
  <c r="Q132"/>
  <c r="P132"/>
  <c r="O132"/>
  <c r="J132"/>
  <c r="I132"/>
  <c r="H132"/>
  <c r="G132"/>
  <c r="F132"/>
  <c r="E132"/>
  <c r="D132"/>
  <c r="Q131"/>
  <c r="P131"/>
  <c r="O131"/>
  <c r="J131"/>
  <c r="I131"/>
  <c r="H131"/>
  <c r="G131"/>
  <c r="F131"/>
  <c r="E131"/>
  <c r="D131"/>
  <c r="J130"/>
  <c r="I130"/>
  <c r="H130"/>
  <c r="G130"/>
  <c r="F130"/>
  <c r="D130"/>
  <c r="Q129"/>
  <c r="P129"/>
  <c r="O129"/>
  <c r="J129"/>
  <c r="I129"/>
  <c r="H129"/>
  <c r="G129"/>
  <c r="F129"/>
  <c r="E129"/>
  <c r="D129"/>
  <c r="Q128"/>
  <c r="P128"/>
  <c r="O128"/>
  <c r="J128"/>
  <c r="I128"/>
  <c r="H128"/>
  <c r="G128"/>
  <c r="F128"/>
  <c r="E128"/>
  <c r="D128"/>
  <c r="Q125"/>
  <c r="P125"/>
  <c r="O125"/>
  <c r="J125"/>
  <c r="I125"/>
  <c r="H125"/>
  <c r="G125"/>
  <c r="F125"/>
  <c r="E125"/>
  <c r="D125"/>
  <c r="Q124"/>
  <c r="P124"/>
  <c r="O124"/>
  <c r="J124"/>
  <c r="I124"/>
  <c r="H124"/>
  <c r="G124"/>
  <c r="F124"/>
  <c r="E124"/>
  <c r="D124"/>
  <c r="Q123"/>
  <c r="P123"/>
  <c r="O123"/>
  <c r="J123"/>
  <c r="I123"/>
  <c r="H123"/>
  <c r="G123"/>
  <c r="F123"/>
  <c r="E123"/>
  <c r="D123"/>
  <c r="Q122"/>
  <c r="P122"/>
  <c r="O122"/>
  <c r="J122"/>
  <c r="I122"/>
  <c r="H122"/>
  <c r="G122"/>
  <c r="F122"/>
  <c r="E122"/>
  <c r="D122"/>
  <c r="Q121"/>
  <c r="P121"/>
  <c r="O121"/>
  <c r="J121"/>
  <c r="I121"/>
  <c r="H121"/>
  <c r="G121"/>
  <c r="F121"/>
  <c r="E121"/>
  <c r="D121"/>
  <c r="Q118"/>
  <c r="P118"/>
  <c r="O118"/>
  <c r="J118"/>
  <c r="I118"/>
  <c r="H118"/>
  <c r="G118"/>
  <c r="F118"/>
  <c r="E118"/>
  <c r="D118"/>
  <c r="Q117"/>
  <c r="P117"/>
  <c r="O117"/>
  <c r="J117"/>
  <c r="I117"/>
  <c r="H117"/>
  <c r="G117"/>
  <c r="F117"/>
  <c r="E117"/>
  <c r="D117"/>
  <c r="Q115"/>
  <c r="Q114" s="1"/>
  <c r="P115"/>
  <c r="P114" s="1"/>
  <c r="O115"/>
  <c r="O114" s="1"/>
  <c r="J115"/>
  <c r="J114" s="1"/>
  <c r="H115"/>
  <c r="H114" s="1"/>
  <c r="G115"/>
  <c r="G114" s="1"/>
  <c r="F115"/>
  <c r="F114" s="1"/>
  <c r="Q109"/>
  <c r="P109"/>
  <c r="O109"/>
  <c r="J109"/>
  <c r="I109"/>
  <c r="H109"/>
  <c r="G109"/>
  <c r="F109"/>
  <c r="E109"/>
  <c r="D109"/>
  <c r="Q101"/>
  <c r="P101"/>
  <c r="O101"/>
  <c r="J101"/>
  <c r="I101"/>
  <c r="H101"/>
  <c r="G101"/>
  <c r="F101"/>
  <c r="E101"/>
  <c r="D101"/>
  <c r="Q97"/>
  <c r="P97"/>
  <c r="O97"/>
  <c r="J97"/>
  <c r="I97"/>
  <c r="H97"/>
  <c r="G97"/>
  <c r="F97"/>
  <c r="E97"/>
  <c r="D97"/>
  <c r="Q93"/>
  <c r="Q194" s="1"/>
  <c r="P93"/>
  <c r="P194" s="1"/>
  <c r="O93"/>
  <c r="J93"/>
  <c r="I93"/>
  <c r="H93"/>
  <c r="G93"/>
  <c r="F93"/>
  <c r="E93"/>
  <c r="D93"/>
  <c r="O80"/>
  <c r="O168" s="1"/>
  <c r="I73"/>
  <c r="E73"/>
  <c r="E71" s="1"/>
  <c r="E70" s="1"/>
  <c r="D73"/>
  <c r="D71" s="1"/>
  <c r="D70" s="1"/>
  <c r="F71"/>
  <c r="F70" s="1"/>
  <c r="I67"/>
  <c r="E67"/>
  <c r="D67"/>
  <c r="Q64"/>
  <c r="P64"/>
  <c r="O64"/>
  <c r="J64"/>
  <c r="I64"/>
  <c r="H64"/>
  <c r="G64"/>
  <c r="F64"/>
  <c r="E64"/>
  <c r="D64"/>
  <c r="F62"/>
  <c r="E62"/>
  <c r="I59"/>
  <c r="H59"/>
  <c r="G59"/>
  <c r="F59"/>
  <c r="E59"/>
  <c r="D59"/>
  <c r="Q56"/>
  <c r="P56"/>
  <c r="O56"/>
  <c r="J56"/>
  <c r="I56"/>
  <c r="H56"/>
  <c r="G56"/>
  <c r="F56"/>
  <c r="E56"/>
  <c r="D56"/>
  <c r="Q54"/>
  <c r="P54"/>
  <c r="O54"/>
  <c r="J54"/>
  <c r="I54"/>
  <c r="H54"/>
  <c r="G54"/>
  <c r="F54"/>
  <c r="E54"/>
  <c r="D54"/>
  <c r="Q49"/>
  <c r="P49"/>
  <c r="O49"/>
  <c r="J49"/>
  <c r="I49"/>
  <c r="H49"/>
  <c r="G49"/>
  <c r="F49"/>
  <c r="E49"/>
  <c r="D49"/>
  <c r="Q139"/>
  <c r="P139"/>
  <c r="O139"/>
  <c r="J47"/>
  <c r="I47"/>
  <c r="I42" s="1"/>
  <c r="I139" s="1"/>
  <c r="H47"/>
  <c r="H42" s="1"/>
  <c r="H139" s="1"/>
  <c r="G47"/>
  <c r="G42" s="1"/>
  <c r="G139" s="1"/>
  <c r="F47"/>
  <c r="F42" s="1"/>
  <c r="F139" s="1"/>
  <c r="E47"/>
  <c r="E42" s="1"/>
  <c r="E139" s="1"/>
  <c r="D47"/>
  <c r="D42" s="1"/>
  <c r="D139" s="1"/>
  <c r="J42"/>
  <c r="J139" s="1"/>
  <c r="Q38"/>
  <c r="P38"/>
  <c r="O38"/>
  <c r="J38"/>
  <c r="I38"/>
  <c r="H38"/>
  <c r="G38"/>
  <c r="F38"/>
  <c r="E38"/>
  <c r="D38"/>
  <c r="Q32"/>
  <c r="Q130" s="1"/>
  <c r="P32"/>
  <c r="P130" s="1"/>
  <c r="O32"/>
  <c r="O130" s="1"/>
  <c r="E32"/>
  <c r="E130" s="1"/>
  <c r="Q29"/>
  <c r="Q127" s="1"/>
  <c r="P29"/>
  <c r="P127" s="1"/>
  <c r="O29"/>
  <c r="O127" s="1"/>
  <c r="J29"/>
  <c r="J127" s="1"/>
  <c r="I29"/>
  <c r="I127" s="1"/>
  <c r="H29"/>
  <c r="H127" s="1"/>
  <c r="G29"/>
  <c r="G127" s="1"/>
  <c r="F29"/>
  <c r="F127" s="1"/>
  <c r="E29"/>
  <c r="E127" s="1"/>
  <c r="D29"/>
  <c r="D127" s="1"/>
  <c r="Q24"/>
  <c r="Q126" s="1"/>
  <c r="P24"/>
  <c r="O24"/>
  <c r="O126" s="1"/>
  <c r="J24"/>
  <c r="J126" s="1"/>
  <c r="I24"/>
  <c r="I126" s="1"/>
  <c r="H24"/>
  <c r="H126" s="1"/>
  <c r="G24"/>
  <c r="G126" s="1"/>
  <c r="F24"/>
  <c r="F126" s="1"/>
  <c r="E24"/>
  <c r="E126" s="1"/>
  <c r="D24"/>
  <c r="D126" s="1"/>
  <c r="Q14"/>
  <c r="P14"/>
  <c r="O14"/>
  <c r="J14"/>
  <c r="I14"/>
  <c r="H14"/>
  <c r="G14"/>
  <c r="F14"/>
  <c r="E14"/>
  <c r="D14"/>
  <c r="I13"/>
  <c r="I12" s="1"/>
  <c r="I115" s="1"/>
  <c r="I114" s="1"/>
  <c r="E13"/>
  <c r="Q12"/>
  <c r="P12"/>
  <c r="O12"/>
  <c r="J12"/>
  <c r="H12"/>
  <c r="G12"/>
  <c r="F12"/>
  <c r="E12"/>
  <c r="E115" s="1"/>
  <c r="E114" s="1"/>
  <c r="D12"/>
  <c r="D115" s="1"/>
  <c r="D114" s="1"/>
  <c r="D565" l="1"/>
  <c r="H565"/>
  <c r="F677"/>
  <c r="P584"/>
  <c r="O592"/>
  <c r="G592"/>
  <c r="G738"/>
  <c r="O738"/>
  <c r="H728"/>
  <c r="P728"/>
  <c r="O746"/>
  <c r="P755"/>
  <c r="Q449"/>
  <c r="E808"/>
  <c r="F710"/>
  <c r="G92"/>
  <c r="H116"/>
  <c r="E440"/>
  <c r="G458"/>
  <c r="C991"/>
  <c r="J194"/>
  <c r="J535"/>
  <c r="J566"/>
  <c r="J576"/>
  <c r="J779"/>
  <c r="J778"/>
  <c r="J795"/>
  <c r="J400"/>
  <c r="J403"/>
  <c r="J671"/>
  <c r="J223"/>
  <c r="J876"/>
  <c r="J886"/>
  <c r="P822"/>
  <c r="J828"/>
  <c r="G817"/>
  <c r="Q92"/>
  <c r="Q193" s="1"/>
  <c r="O92"/>
  <c r="O193" s="1"/>
  <c r="O194"/>
  <c r="J898"/>
  <c r="J311"/>
  <c r="J216"/>
  <c r="J247"/>
  <c r="C918"/>
  <c r="J288"/>
  <c r="J292"/>
  <c r="J302"/>
  <c r="J307"/>
  <c r="J297"/>
  <c r="J418"/>
  <c r="J441"/>
  <c r="J450"/>
  <c r="J401"/>
  <c r="P565"/>
  <c r="Q787"/>
  <c r="Q777" s="1"/>
  <c r="Q858"/>
  <c r="Q857" s="1"/>
  <c r="Q847" s="1"/>
  <c r="Q880"/>
  <c r="Q440"/>
  <c r="O409"/>
  <c r="O399" s="1"/>
  <c r="O350"/>
  <c r="J621"/>
  <c r="J678"/>
  <c r="F527"/>
  <c r="O822"/>
  <c r="F153"/>
  <c r="P265"/>
  <c r="P248" s="1"/>
  <c r="F218"/>
  <c r="J355"/>
  <c r="E156"/>
  <c r="E198"/>
  <c r="I198"/>
  <c r="Q198"/>
  <c r="I367"/>
  <c r="P592"/>
  <c r="F606"/>
  <c r="F605" s="1"/>
  <c r="D182"/>
  <c r="H182"/>
  <c r="P182"/>
  <c r="D352"/>
  <c r="I440"/>
  <c r="E388"/>
  <c r="P533"/>
  <c r="F623"/>
  <c r="F387" s="1"/>
  <c r="F217" s="1"/>
  <c r="H628"/>
  <c r="Q628"/>
  <c r="Q396" s="1"/>
  <c r="I670"/>
  <c r="Q677"/>
  <c r="E791"/>
  <c r="I807"/>
  <c r="Q808"/>
  <c r="D837"/>
  <c r="F852"/>
  <c r="P880"/>
  <c r="I403"/>
  <c r="F449"/>
  <c r="J449"/>
  <c r="E472"/>
  <c r="Q388"/>
  <c r="I533"/>
  <c r="Q575"/>
  <c r="D584"/>
  <c r="Q728"/>
  <c r="D729"/>
  <c r="D626" s="1"/>
  <c r="D393" s="1"/>
  <c r="H729"/>
  <c r="H626" s="1"/>
  <c r="H393" s="1"/>
  <c r="H225" s="1"/>
  <c r="P729"/>
  <c r="P626" s="1"/>
  <c r="D763"/>
  <c r="G886"/>
  <c r="C981"/>
  <c r="J236"/>
  <c r="J213" s="1"/>
  <c r="P238"/>
  <c r="G417"/>
  <c r="F472"/>
  <c r="D533"/>
  <c r="D395" s="1"/>
  <c r="D628"/>
  <c r="I791"/>
  <c r="E838"/>
  <c r="J623"/>
  <c r="E92"/>
  <c r="E193" s="1"/>
  <c r="F116"/>
  <c r="J116"/>
  <c r="P116"/>
  <c r="D153"/>
  <c r="E182"/>
  <c r="I182"/>
  <c r="J218"/>
  <c r="E355"/>
  <c r="D357"/>
  <c r="D472"/>
  <c r="H472"/>
  <c r="P472"/>
  <c r="E508"/>
  <c r="F531"/>
  <c r="P531"/>
  <c r="P393" s="1"/>
  <c r="F565"/>
  <c r="O575"/>
  <c r="E604"/>
  <c r="I604"/>
  <c r="Q604"/>
  <c r="D644"/>
  <c r="H677"/>
  <c r="P677"/>
  <c r="D691"/>
  <c r="H691"/>
  <c r="P691"/>
  <c r="E698"/>
  <c r="F728"/>
  <c r="I847"/>
  <c r="P18"/>
  <c r="P17" s="1"/>
  <c r="G350"/>
  <c r="F355"/>
  <c r="G565"/>
  <c r="O565"/>
  <c r="E584"/>
  <c r="Q584"/>
  <c r="H623"/>
  <c r="H644"/>
  <c r="F698"/>
  <c r="D328"/>
  <c r="D327" s="1"/>
  <c r="D242"/>
  <c r="D219" s="1"/>
  <c r="P328"/>
  <c r="P327" s="1"/>
  <c r="P242"/>
  <c r="P219" s="1"/>
  <c r="E37"/>
  <c r="P146"/>
  <c r="Q182"/>
  <c r="G182"/>
  <c r="G366"/>
  <c r="J658"/>
  <c r="G393"/>
  <c r="G222" s="1"/>
  <c r="D226"/>
  <c r="H226"/>
  <c r="I730"/>
  <c r="D265"/>
  <c r="D248" s="1"/>
  <c r="O341"/>
  <c r="F417"/>
  <c r="J620"/>
  <c r="G628"/>
  <c r="P628"/>
  <c r="F661"/>
  <c r="J661"/>
  <c r="F670"/>
  <c r="D670"/>
  <c r="H670"/>
  <c r="P670"/>
  <c r="J710"/>
  <c r="D728"/>
  <c r="J728"/>
  <c r="J746"/>
  <c r="G218"/>
  <c r="D116"/>
  <c r="G677"/>
  <c r="O677"/>
  <c r="I729"/>
  <c r="I626" s="1"/>
  <c r="I393" s="1"/>
  <c r="Q729"/>
  <c r="Q626" s="1"/>
  <c r="Q393" s="1"/>
  <c r="Q225" s="1"/>
  <c r="J808"/>
  <c r="O782"/>
  <c r="E116"/>
  <c r="Q116"/>
  <c r="F135"/>
  <c r="O146"/>
  <c r="E146"/>
  <c r="D146"/>
  <c r="Q236"/>
  <c r="Q213" s="1"/>
  <c r="D225"/>
  <c r="I266"/>
  <c r="I249" s="1"/>
  <c r="I228" s="1"/>
  <c r="D355"/>
  <c r="H355"/>
  <c r="P355"/>
  <c r="H385"/>
  <c r="H212" s="1"/>
  <c r="G396"/>
  <c r="H395"/>
  <c r="Q417"/>
  <c r="O431"/>
  <c r="O440"/>
  <c r="E458"/>
  <c r="I458"/>
  <c r="Q458"/>
  <c r="I530"/>
  <c r="G584"/>
  <c r="O584"/>
  <c r="F592"/>
  <c r="Q623"/>
  <c r="Q387" s="1"/>
  <c r="Q217" s="1"/>
  <c r="O628"/>
  <c r="D396"/>
  <c r="I396"/>
  <c r="I661"/>
  <c r="Q661"/>
  <c r="Q625" s="1"/>
  <c r="H787"/>
  <c r="H777" s="1"/>
  <c r="I837"/>
  <c r="G226"/>
  <c r="E847"/>
  <c r="I883"/>
  <c r="I845" s="1"/>
  <c r="J699"/>
  <c r="D92"/>
  <c r="D193" s="1"/>
  <c r="H92"/>
  <c r="P92"/>
  <c r="P193" s="1"/>
  <c r="O135"/>
  <c r="F146"/>
  <c r="E153"/>
  <c r="I153"/>
  <c r="Q153"/>
  <c r="G153"/>
  <c r="O153"/>
  <c r="D156"/>
  <c r="D164"/>
  <c r="D163" s="1"/>
  <c r="D198"/>
  <c r="H198"/>
  <c r="P198"/>
  <c r="D238"/>
  <c r="D218"/>
  <c r="H218"/>
  <c r="P218"/>
  <c r="F414"/>
  <c r="F404" s="1"/>
  <c r="E425"/>
  <c r="E414" s="1"/>
  <c r="E404" s="1"/>
  <c r="G431"/>
  <c r="D449"/>
  <c r="H449"/>
  <c r="P449"/>
  <c r="E449"/>
  <c r="I449"/>
  <c r="H492"/>
  <c r="E533"/>
  <c r="Q533"/>
  <c r="Q395" s="1"/>
  <c r="I623"/>
  <c r="I387" s="1"/>
  <c r="I217" s="1"/>
  <c r="J677"/>
  <c r="D677"/>
  <c r="E691"/>
  <c r="Q691"/>
  <c r="D698"/>
  <c r="H698"/>
  <c r="P698"/>
  <c r="E710"/>
  <c r="I710"/>
  <c r="Q710"/>
  <c r="G710"/>
  <c r="O710"/>
  <c r="E728"/>
  <c r="G728"/>
  <c r="O728"/>
  <c r="F746"/>
  <c r="G802"/>
  <c r="P849"/>
  <c r="H847"/>
  <c r="D880"/>
  <c r="G37"/>
  <c r="I37"/>
  <c r="O182"/>
  <c r="H222"/>
  <c r="E236"/>
  <c r="E213" s="1"/>
  <c r="H238"/>
  <c r="D343"/>
  <c r="D342" s="1"/>
  <c r="I371"/>
  <c r="I370" s="1"/>
  <c r="H410"/>
  <c r="H400" s="1"/>
  <c r="H384" s="1"/>
  <c r="D385"/>
  <c r="O408"/>
  <c r="O398" s="1"/>
  <c r="O449"/>
  <c r="G449"/>
  <c r="E481"/>
  <c r="E218"/>
  <c r="I528"/>
  <c r="I388" s="1"/>
  <c r="I218" s="1"/>
  <c r="Q218"/>
  <c r="F393"/>
  <c r="F225" s="1"/>
  <c r="P225"/>
  <c r="E530"/>
  <c r="D545"/>
  <c r="H545"/>
  <c r="P545"/>
  <c r="F533"/>
  <c r="J533"/>
  <c r="J395" s="1"/>
  <c r="F604"/>
  <c r="F628"/>
  <c r="F396" s="1"/>
  <c r="F229" s="1"/>
  <c r="D639"/>
  <c r="E661"/>
  <c r="E746"/>
  <c r="I746"/>
  <c r="G755"/>
  <c r="O755"/>
  <c r="E763"/>
  <c r="H849"/>
  <c r="J877"/>
  <c r="O880"/>
  <c r="O840" s="1"/>
  <c r="F886"/>
  <c r="O226"/>
  <c r="H794"/>
  <c r="H785" s="1"/>
  <c r="E790"/>
  <c r="I790"/>
  <c r="Q790"/>
  <c r="O802"/>
  <c r="O801" s="1"/>
  <c r="D811"/>
  <c r="O328"/>
  <c r="O327" s="1"/>
  <c r="O242"/>
  <c r="O219" s="1"/>
  <c r="E417"/>
  <c r="I225"/>
  <c r="I222"/>
  <c r="D229"/>
  <c r="D211"/>
  <c r="F164"/>
  <c r="F163" s="1"/>
  <c r="D222"/>
  <c r="G225"/>
  <c r="D212"/>
  <c r="G217"/>
  <c r="D341"/>
  <c r="H343"/>
  <c r="H342" s="1"/>
  <c r="F367"/>
  <c r="P385"/>
  <c r="O396"/>
  <c r="E384"/>
  <c r="I385"/>
  <c r="D387"/>
  <c r="H387"/>
  <c r="H217" s="1"/>
  <c r="P387"/>
  <c r="E415"/>
  <c r="E405" s="1"/>
  <c r="E395" s="1"/>
  <c r="P414"/>
  <c r="P404" s="1"/>
  <c r="I395"/>
  <c r="P527"/>
  <c r="E545"/>
  <c r="Q545"/>
  <c r="J604"/>
  <c r="G639"/>
  <c r="G80" s="1"/>
  <c r="G168" s="1"/>
  <c r="I644"/>
  <c r="F625"/>
  <c r="O658"/>
  <c r="D684"/>
  <c r="D730"/>
  <c r="P795"/>
  <c r="P794" s="1"/>
  <c r="D822"/>
  <c r="F837"/>
  <c r="J837"/>
  <c r="G890"/>
  <c r="G885" s="1"/>
  <c r="G875" s="1"/>
  <c r="C988"/>
  <c r="P396"/>
  <c r="P229" s="1"/>
  <c r="F37"/>
  <c r="I92"/>
  <c r="I193" s="1"/>
  <c r="J146"/>
  <c r="H146"/>
  <c r="Q146"/>
  <c r="H153"/>
  <c r="P153"/>
  <c r="J153"/>
  <c r="F156"/>
  <c r="E238"/>
  <c r="I238"/>
  <c r="Q238"/>
  <c r="F319"/>
  <c r="P343"/>
  <c r="P233" s="1"/>
  <c r="H350"/>
  <c r="P357"/>
  <c r="F354"/>
  <c r="J367"/>
  <c r="J349" s="1"/>
  <c r="F395"/>
  <c r="P395"/>
  <c r="O384"/>
  <c r="O211" s="1"/>
  <c r="J414"/>
  <c r="J404" s="1"/>
  <c r="I527"/>
  <c r="E393"/>
  <c r="O530"/>
  <c r="O629"/>
  <c r="P639"/>
  <c r="P80" s="1"/>
  <c r="P168" s="1"/>
  <c r="G658"/>
  <c r="G691"/>
  <c r="O691"/>
  <c r="D710"/>
  <c r="J733"/>
  <c r="J732" s="1"/>
  <c r="F808"/>
  <c r="H822"/>
  <c r="I838"/>
  <c r="G880"/>
  <c r="G840" s="1"/>
  <c r="E883"/>
  <c r="E845" s="1"/>
  <c r="E887"/>
  <c r="E886" s="1"/>
  <c r="G384"/>
  <c r="Q385"/>
  <c r="H396"/>
  <c r="H229" s="1"/>
  <c r="G18"/>
  <c r="G17" s="1"/>
  <c r="F92"/>
  <c r="J92"/>
  <c r="G116"/>
  <c r="O116"/>
  <c r="I116"/>
  <c r="G135"/>
  <c r="E164"/>
  <c r="E163" s="1"/>
  <c r="F222"/>
  <c r="P222"/>
  <c r="I212"/>
  <c r="H265"/>
  <c r="H248" s="1"/>
  <c r="I354"/>
  <c r="H377"/>
  <c r="H354" s="1"/>
  <c r="I384"/>
  <c r="I211" s="1"/>
  <c r="F385"/>
  <c r="F212" s="1"/>
  <c r="F384"/>
  <c r="F211" s="1"/>
  <c r="J384"/>
  <c r="E403"/>
  <c r="E387" s="1"/>
  <c r="E217" s="1"/>
  <c r="D414"/>
  <c r="D404" s="1"/>
  <c r="H414"/>
  <c r="H404" s="1"/>
  <c r="Q414"/>
  <c r="Q404" s="1"/>
  <c r="E396"/>
  <c r="D431"/>
  <c r="H409"/>
  <c r="H399" s="1"/>
  <c r="P431"/>
  <c r="H440"/>
  <c r="J440"/>
  <c r="J458"/>
  <c r="F458"/>
  <c r="J481"/>
  <c r="F481"/>
  <c r="Q492"/>
  <c r="H527"/>
  <c r="Q527"/>
  <c r="Q530"/>
  <c r="D575"/>
  <c r="J592"/>
  <c r="O604"/>
  <c r="G604"/>
  <c r="F629"/>
  <c r="E644"/>
  <c r="F658"/>
  <c r="J662"/>
  <c r="H661"/>
  <c r="H625" s="1"/>
  <c r="G670"/>
  <c r="E686"/>
  <c r="E685" s="1"/>
  <c r="E684" s="1"/>
  <c r="H746"/>
  <c r="G822"/>
  <c r="G782" s="1"/>
  <c r="E849"/>
  <c r="G328"/>
  <c r="G327" s="1"/>
  <c r="G314" s="1"/>
  <c r="G242"/>
  <c r="G219" s="1"/>
  <c r="E507"/>
  <c r="E506" s="1"/>
  <c r="E505" s="1"/>
  <c r="E492"/>
  <c r="E371"/>
  <c r="E370" s="1"/>
  <c r="Q371"/>
  <c r="Q370" s="1"/>
  <c r="H328"/>
  <c r="H327" s="1"/>
  <c r="H242"/>
  <c r="H219" s="1"/>
  <c r="G342"/>
  <c r="G341"/>
  <c r="E225"/>
  <c r="E222"/>
  <c r="J727"/>
  <c r="D739"/>
  <c r="D738" s="1"/>
  <c r="D726"/>
  <c r="O18"/>
  <c r="O17" s="1"/>
  <c r="D120"/>
  <c r="D119" s="1"/>
  <c r="H120"/>
  <c r="H119" s="1"/>
  <c r="D135"/>
  <c r="H135"/>
  <c r="P135"/>
  <c r="F182"/>
  <c r="F176" s="1"/>
  <c r="J182"/>
  <c r="F198"/>
  <c r="J198"/>
  <c r="J252"/>
  <c r="G265"/>
  <c r="G248" s="1"/>
  <c r="E266"/>
  <c r="E249" s="1"/>
  <c r="E228" s="1"/>
  <c r="Q266"/>
  <c r="Q249" s="1"/>
  <c r="Q228" s="1"/>
  <c r="J319"/>
  <c r="Q355"/>
  <c r="O357"/>
  <c r="O356" s="1"/>
  <c r="E366"/>
  <c r="Q366"/>
  <c r="D377"/>
  <c r="D354" s="1"/>
  <c r="P377"/>
  <c r="P354" s="1"/>
  <c r="F440"/>
  <c r="O458"/>
  <c r="I472"/>
  <c r="D481"/>
  <c r="H481"/>
  <c r="P481"/>
  <c r="I492"/>
  <c r="G807"/>
  <c r="I811"/>
  <c r="D824"/>
  <c r="P824"/>
  <c r="P821" s="1"/>
  <c r="Q887"/>
  <c r="Q886" s="1"/>
  <c r="Q885" s="1"/>
  <c r="Q875" s="1"/>
  <c r="H18"/>
  <c r="H17" s="1"/>
  <c r="E120"/>
  <c r="E119" s="1"/>
  <c r="I120"/>
  <c r="I119" s="1"/>
  <c r="P126"/>
  <c r="P120" s="1"/>
  <c r="P119" s="1"/>
  <c r="G146"/>
  <c r="J266"/>
  <c r="E319"/>
  <c r="D350"/>
  <c r="P350"/>
  <c r="H358"/>
  <c r="H357" s="1"/>
  <c r="D366"/>
  <c r="D356" s="1"/>
  <c r="H366"/>
  <c r="P366"/>
  <c r="P356" s="1"/>
  <c r="H211"/>
  <c r="Q211"/>
  <c r="D408"/>
  <c r="D398" s="1"/>
  <c r="P408"/>
  <c r="P398" s="1"/>
  <c r="I425"/>
  <c r="I414" s="1"/>
  <c r="I404" s="1"/>
  <c r="H432"/>
  <c r="H431" s="1"/>
  <c r="F545"/>
  <c r="E565"/>
  <c r="Q565"/>
  <c r="F584"/>
  <c r="J584"/>
  <c r="J631"/>
  <c r="E670"/>
  <c r="Q670"/>
  <c r="J691"/>
  <c r="H710"/>
  <c r="O727"/>
  <c r="O622" s="1"/>
  <c r="F726"/>
  <c r="E625"/>
  <c r="E390" s="1"/>
  <c r="I728"/>
  <c r="I625" s="1"/>
  <c r="J755"/>
  <c r="O807"/>
  <c r="E811"/>
  <c r="F880"/>
  <c r="F840" s="1"/>
  <c r="P887"/>
  <c r="P886" s="1"/>
  <c r="P885" s="1"/>
  <c r="P875" s="1"/>
  <c r="G211"/>
  <c r="G357"/>
  <c r="G356" s="1"/>
  <c r="E354"/>
  <c r="Q354"/>
  <c r="P211"/>
  <c r="G212"/>
  <c r="G408"/>
  <c r="G398" s="1"/>
  <c r="D530"/>
  <c r="H530"/>
  <c r="P530"/>
  <c r="I698"/>
  <c r="Q746"/>
  <c r="D18"/>
  <c r="D17" s="1"/>
  <c r="E135"/>
  <c r="I135"/>
  <c r="Q135"/>
  <c r="G198"/>
  <c r="O198"/>
  <c r="F266"/>
  <c r="F249" s="1"/>
  <c r="F228" s="1"/>
  <c r="O319"/>
  <c r="O314" s="1"/>
  <c r="H341"/>
  <c r="I355"/>
  <c r="H371"/>
  <c r="H370" s="1"/>
  <c r="G355"/>
  <c r="G229" s="1"/>
  <c r="O355"/>
  <c r="D217"/>
  <c r="P217"/>
  <c r="H417"/>
  <c r="J417"/>
  <c r="D458"/>
  <c r="H458"/>
  <c r="P458"/>
  <c r="J472"/>
  <c r="I481"/>
  <c r="D492"/>
  <c r="P492"/>
  <c r="D527"/>
  <c r="J542"/>
  <c r="J545"/>
  <c r="I565"/>
  <c r="P575"/>
  <c r="E592"/>
  <c r="I592"/>
  <c r="Q592"/>
  <c r="D604"/>
  <c r="H604"/>
  <c r="P604"/>
  <c r="E660"/>
  <c r="E621" s="1"/>
  <c r="E385" s="1"/>
  <c r="G727"/>
  <c r="G622" s="1"/>
  <c r="D746"/>
  <c r="P746"/>
  <c r="F885"/>
  <c r="F875" s="1"/>
  <c r="E885"/>
  <c r="E875" s="1"/>
  <c r="E833" s="1"/>
  <c r="I885"/>
  <c r="I875" s="1"/>
  <c r="D885"/>
  <c r="D875" s="1"/>
  <c r="H885"/>
  <c r="H875" s="1"/>
  <c r="H833" s="1"/>
  <c r="I833"/>
  <c r="E226"/>
  <c r="I226"/>
  <c r="Q226"/>
  <c r="J250"/>
  <c r="D320"/>
  <c r="D319" s="1"/>
  <c r="D314" s="1"/>
  <c r="H320"/>
  <c r="H319" s="1"/>
  <c r="H233"/>
  <c r="P320"/>
  <c r="P319" s="1"/>
  <c r="P314" s="1"/>
  <c r="F328"/>
  <c r="F327" s="1"/>
  <c r="F242"/>
  <c r="F219" s="1"/>
  <c r="J328"/>
  <c r="J327" s="1"/>
  <c r="J314" s="1"/>
  <c r="J242"/>
  <c r="J219" s="1"/>
  <c r="E342"/>
  <c r="E341"/>
  <c r="I342"/>
  <c r="I341"/>
  <c r="Q342"/>
  <c r="Q341"/>
  <c r="G120"/>
  <c r="G119" s="1"/>
  <c r="O120"/>
  <c r="O119" s="1"/>
  <c r="D176"/>
  <c r="G232"/>
  <c r="O232"/>
  <c r="E328"/>
  <c r="E327" s="1"/>
  <c r="E242"/>
  <c r="E219" s="1"/>
  <c r="I328"/>
  <c r="I327" s="1"/>
  <c r="I242"/>
  <c r="I219" s="1"/>
  <c r="Q328"/>
  <c r="Q327" s="1"/>
  <c r="Q242"/>
  <c r="Q219" s="1"/>
  <c r="F120"/>
  <c r="F119" s="1"/>
  <c r="J120"/>
  <c r="J119" s="1"/>
  <c r="F371"/>
  <c r="F370" s="1"/>
  <c r="E252"/>
  <c r="E233"/>
  <c r="F357"/>
  <c r="F356" s="1"/>
  <c r="F349"/>
  <c r="F134"/>
  <c r="D134"/>
  <c r="D113" s="1"/>
  <c r="I320"/>
  <c r="I319" s="1"/>
  <c r="I233"/>
  <c r="Q320"/>
  <c r="Q319" s="1"/>
  <c r="Q233"/>
  <c r="F342"/>
  <c r="F341"/>
  <c r="J342"/>
  <c r="J341"/>
  <c r="E357"/>
  <c r="E349"/>
  <c r="I357"/>
  <c r="I356" s="1"/>
  <c r="I348" s="1"/>
  <c r="I349"/>
  <c r="Q357"/>
  <c r="Q356" s="1"/>
  <c r="Q348" s="1"/>
  <c r="Q349"/>
  <c r="Q120"/>
  <c r="Q119" s="1"/>
  <c r="D37"/>
  <c r="D11" s="1"/>
  <c r="H37"/>
  <c r="E176"/>
  <c r="F432"/>
  <c r="F409"/>
  <c r="F399" s="1"/>
  <c r="J432"/>
  <c r="O493"/>
  <c r="E629"/>
  <c r="I629"/>
  <c r="F18"/>
  <c r="F17" s="1"/>
  <c r="F11" s="1"/>
  <c r="J18"/>
  <c r="J17" s="1"/>
  <c r="G233"/>
  <c r="O233"/>
  <c r="E234"/>
  <c r="E211" s="1"/>
  <c r="O248"/>
  <c r="F265"/>
  <c r="J265"/>
  <c r="D266"/>
  <c r="D249" s="1"/>
  <c r="H266"/>
  <c r="H249" s="1"/>
  <c r="P266"/>
  <c r="P249" s="1"/>
  <c r="D349"/>
  <c r="H349"/>
  <c r="P349"/>
  <c r="F350"/>
  <c r="J350"/>
  <c r="J361"/>
  <c r="G377"/>
  <c r="G354" s="1"/>
  <c r="O377"/>
  <c r="O354" s="1"/>
  <c r="G409"/>
  <c r="G399" s="1"/>
  <c r="D417"/>
  <c r="P417"/>
  <c r="G440"/>
  <c r="E432"/>
  <c r="E409"/>
  <c r="E399" s="1"/>
  <c r="I432"/>
  <c r="I409"/>
  <c r="I399" s="1"/>
  <c r="Q432"/>
  <c r="Q409"/>
  <c r="Q399" s="1"/>
  <c r="J493"/>
  <c r="G534"/>
  <c r="G524"/>
  <c r="E535"/>
  <c r="I535"/>
  <c r="I525"/>
  <c r="Q535"/>
  <c r="Q525"/>
  <c r="D629"/>
  <c r="H629"/>
  <c r="Q629"/>
  <c r="E18"/>
  <c r="E17" s="1"/>
  <c r="E11" s="1"/>
  <c r="I18"/>
  <c r="I17" s="1"/>
  <c r="Q18"/>
  <c r="Q17" s="1"/>
  <c r="F233"/>
  <c r="J233"/>
  <c r="E265"/>
  <c r="I265"/>
  <c r="Q265"/>
  <c r="G266"/>
  <c r="G249" s="1"/>
  <c r="G228" s="1"/>
  <c r="O266"/>
  <c r="O249" s="1"/>
  <c r="O228" s="1"/>
  <c r="G349"/>
  <c r="O349"/>
  <c r="E350"/>
  <c r="I350"/>
  <c r="Q350"/>
  <c r="J377"/>
  <c r="J371" s="1"/>
  <c r="J370" s="1"/>
  <c r="D409"/>
  <c r="D399" s="1"/>
  <c r="P409"/>
  <c r="P399" s="1"/>
  <c r="O417"/>
  <c r="O407" s="1"/>
  <c r="O397" s="1"/>
  <c r="I417"/>
  <c r="G414"/>
  <c r="G404" s="1"/>
  <c r="O414"/>
  <c r="O404" s="1"/>
  <c r="D440"/>
  <c r="P440"/>
  <c r="G493"/>
  <c r="E494"/>
  <c r="I494"/>
  <c r="I491"/>
  <c r="Q494"/>
  <c r="Q491"/>
  <c r="G512"/>
  <c r="G511" s="1"/>
  <c r="G491"/>
  <c r="O512"/>
  <c r="O511" s="1"/>
  <c r="O491"/>
  <c r="F534"/>
  <c r="F524"/>
  <c r="D535"/>
  <c r="D525"/>
  <c r="H535"/>
  <c r="H525"/>
  <c r="P535"/>
  <c r="P525"/>
  <c r="G559"/>
  <c r="G530"/>
  <c r="E577"/>
  <c r="E576" s="1"/>
  <c r="E575" s="1"/>
  <c r="E527"/>
  <c r="P629"/>
  <c r="G730"/>
  <c r="G724" s="1"/>
  <c r="G725"/>
  <c r="F493"/>
  <c r="D494"/>
  <c r="D491"/>
  <c r="H494"/>
  <c r="H491"/>
  <c r="P494"/>
  <c r="P491"/>
  <c r="F512"/>
  <c r="F511" s="1"/>
  <c r="F491"/>
  <c r="J512"/>
  <c r="J511" s="1"/>
  <c r="J491"/>
  <c r="O534"/>
  <c r="O523" s="1"/>
  <c r="O524"/>
  <c r="J663"/>
  <c r="G795"/>
  <c r="G787"/>
  <c r="G777" s="1"/>
  <c r="O795"/>
  <c r="O787"/>
  <c r="O777" s="1"/>
  <c r="F824"/>
  <c r="F822"/>
  <c r="J824"/>
  <c r="J822"/>
  <c r="E876"/>
  <c r="E837"/>
  <c r="Q876"/>
  <c r="Q837"/>
  <c r="G492"/>
  <c r="O492"/>
  <c r="G525"/>
  <c r="O525"/>
  <c r="G527"/>
  <c r="O527"/>
  <c r="O531"/>
  <c r="O393" s="1"/>
  <c r="G533"/>
  <c r="G395" s="1"/>
  <c r="O533"/>
  <c r="O395" s="1"/>
  <c r="F554"/>
  <c r="J554"/>
  <c r="J582"/>
  <c r="O623"/>
  <c r="O387" s="1"/>
  <c r="O217" s="1"/>
  <c r="F639"/>
  <c r="D661"/>
  <c r="D625" s="1"/>
  <c r="D390" s="1"/>
  <c r="P661"/>
  <c r="P625" s="1"/>
  <c r="P390" s="1"/>
  <c r="I677"/>
  <c r="I691"/>
  <c r="E719"/>
  <c r="E718" s="1"/>
  <c r="E717" s="1"/>
  <c r="F727"/>
  <c r="F622" s="1"/>
  <c r="H755"/>
  <c r="P785"/>
  <c r="O817"/>
  <c r="D847"/>
  <c r="D833" s="1"/>
  <c r="P847"/>
  <c r="G663"/>
  <c r="G657"/>
  <c r="E664"/>
  <c r="I664"/>
  <c r="I658"/>
  <c r="Q664"/>
  <c r="Q658"/>
  <c r="E740"/>
  <c r="E727"/>
  <c r="E622" s="1"/>
  <c r="I740"/>
  <c r="I739" s="1"/>
  <c r="I738" s="1"/>
  <c r="I727"/>
  <c r="I622" s="1"/>
  <c r="Q740"/>
  <c r="Q727"/>
  <c r="Q622" s="1"/>
  <c r="Q386" s="1"/>
  <c r="Q215" s="1"/>
  <c r="I794"/>
  <c r="I785" s="1"/>
  <c r="I786"/>
  <c r="I776" s="1"/>
  <c r="F794"/>
  <c r="F786"/>
  <c r="F776" s="1"/>
  <c r="J794"/>
  <c r="D795"/>
  <c r="D787"/>
  <c r="D777" s="1"/>
  <c r="F791"/>
  <c r="F802"/>
  <c r="J791"/>
  <c r="J802"/>
  <c r="H823"/>
  <c r="H817" s="1"/>
  <c r="H821"/>
  <c r="E823"/>
  <c r="E817" s="1"/>
  <c r="E821"/>
  <c r="E780" s="1"/>
  <c r="I823"/>
  <c r="I817" s="1"/>
  <c r="I821"/>
  <c r="I780" s="1"/>
  <c r="Q823"/>
  <c r="Q817" s="1"/>
  <c r="Q821"/>
  <c r="Q780" s="1"/>
  <c r="G857"/>
  <c r="G847" s="1"/>
  <c r="G848"/>
  <c r="G834" s="1"/>
  <c r="O857"/>
  <c r="O847" s="1"/>
  <c r="O848"/>
  <c r="P876"/>
  <c r="P837"/>
  <c r="P212" s="1"/>
  <c r="F492"/>
  <c r="J492"/>
  <c r="F525"/>
  <c r="J525"/>
  <c r="J531"/>
  <c r="J393" s="1"/>
  <c r="G661"/>
  <c r="G625" s="1"/>
  <c r="O661"/>
  <c r="O670"/>
  <c r="F731"/>
  <c r="G726"/>
  <c r="G619" s="1"/>
  <c r="O726"/>
  <c r="D727"/>
  <c r="D622" s="1"/>
  <c r="F663"/>
  <c r="F656" s="1"/>
  <c r="F657"/>
  <c r="D664"/>
  <c r="D658"/>
  <c r="H664"/>
  <c r="H658"/>
  <c r="P664"/>
  <c r="P658"/>
  <c r="H740"/>
  <c r="H739" s="1"/>
  <c r="H738" s="1"/>
  <c r="H727"/>
  <c r="H622" s="1"/>
  <c r="H386" s="1"/>
  <c r="H215" s="1"/>
  <c r="P740"/>
  <c r="P727"/>
  <c r="P622" s="1"/>
  <c r="D791"/>
  <c r="D808"/>
  <c r="D790" s="1"/>
  <c r="H791"/>
  <c r="H808"/>
  <c r="H790" s="1"/>
  <c r="P791"/>
  <c r="P782" s="1"/>
  <c r="P808"/>
  <c r="P790" s="1"/>
  <c r="F857"/>
  <c r="F847" s="1"/>
  <c r="F848"/>
  <c r="F834" s="1"/>
  <c r="J857"/>
  <c r="J847" s="1"/>
  <c r="J848"/>
  <c r="J834" s="1"/>
  <c r="O837"/>
  <c r="O212" s="1"/>
  <c r="O876"/>
  <c r="O724"/>
  <c r="I725"/>
  <c r="C943"/>
  <c r="C941"/>
  <c r="C961"/>
  <c r="C960" s="1"/>
  <c r="J644"/>
  <c r="O663"/>
  <c r="O657"/>
  <c r="E794"/>
  <c r="E786"/>
  <c r="E776" s="1"/>
  <c r="Q794"/>
  <c r="Q785" s="1"/>
  <c r="Q786"/>
  <c r="Q776" s="1"/>
  <c r="D823"/>
  <c r="D817" s="1"/>
  <c r="D821"/>
  <c r="P823"/>
  <c r="P817" s="1"/>
  <c r="O725"/>
  <c r="I726"/>
  <c r="D755"/>
  <c r="D838"/>
  <c r="J844"/>
  <c r="E848"/>
  <c r="E834" s="1"/>
  <c r="I848"/>
  <c r="I834" s="1"/>
  <c r="Q848"/>
  <c r="G849"/>
  <c r="G835" s="1"/>
  <c r="O849"/>
  <c r="E852"/>
  <c r="I852"/>
  <c r="Q852"/>
  <c r="Q840" s="1"/>
  <c r="E877"/>
  <c r="I877"/>
  <c r="Q877"/>
  <c r="Q835" s="1"/>
  <c r="O887"/>
  <c r="H786"/>
  <c r="H776" s="1"/>
  <c r="P786"/>
  <c r="P776" s="1"/>
  <c r="F787"/>
  <c r="F777" s="1"/>
  <c r="J787"/>
  <c r="G821"/>
  <c r="O821"/>
  <c r="E822"/>
  <c r="E782" s="1"/>
  <c r="I822"/>
  <c r="I782" s="1"/>
  <c r="Q822"/>
  <c r="Q782" s="1"/>
  <c r="D848"/>
  <c r="D834" s="1"/>
  <c r="H848"/>
  <c r="H834" s="1"/>
  <c r="P848"/>
  <c r="F849"/>
  <c r="F835" s="1"/>
  <c r="J849"/>
  <c r="J835" s="1"/>
  <c r="D852"/>
  <c r="D840" s="1"/>
  <c r="H852"/>
  <c r="H840" s="1"/>
  <c r="P852"/>
  <c r="P840" s="1"/>
  <c r="D877"/>
  <c r="D835" s="1"/>
  <c r="H877"/>
  <c r="P877"/>
  <c r="P835" s="1"/>
  <c r="J883"/>
  <c r="I849"/>
  <c r="I232" l="1"/>
  <c r="O227"/>
  <c r="D619"/>
  <c r="D386"/>
  <c r="G618"/>
  <c r="E491"/>
  <c r="F232"/>
  <c r="E314"/>
  <c r="I386"/>
  <c r="I215" s="1"/>
  <c r="J232"/>
  <c r="J193"/>
  <c r="J628"/>
  <c r="J622"/>
  <c r="J534"/>
  <c r="J565"/>
  <c r="J575"/>
  <c r="J524"/>
  <c r="J786"/>
  <c r="J776" s="1"/>
  <c r="J777"/>
  <c r="J630"/>
  <c r="J387"/>
  <c r="J385"/>
  <c r="J670"/>
  <c r="J657"/>
  <c r="J698"/>
  <c r="J885"/>
  <c r="J845"/>
  <c r="J396"/>
  <c r="J625"/>
  <c r="H390"/>
  <c r="P386"/>
  <c r="P215" s="1"/>
  <c r="J827"/>
  <c r="P227"/>
  <c r="J310"/>
  <c r="J226"/>
  <c r="J291"/>
  <c r="J301"/>
  <c r="J296"/>
  <c r="J306"/>
  <c r="J409"/>
  <c r="Q833"/>
  <c r="P833"/>
  <c r="Q834"/>
  <c r="J211"/>
  <c r="J726"/>
  <c r="J731"/>
  <c r="P834"/>
  <c r="Q775"/>
  <c r="H232"/>
  <c r="P371"/>
  <c r="P370" s="1"/>
  <c r="H724"/>
  <c r="H725"/>
  <c r="H780"/>
  <c r="F386"/>
  <c r="F215" s="1"/>
  <c r="J782"/>
  <c r="Q229"/>
  <c r="F782"/>
  <c r="H407"/>
  <c r="H397" s="1"/>
  <c r="I880"/>
  <c r="I840" s="1"/>
  <c r="E134"/>
  <c r="E113" s="1"/>
  <c r="Q222"/>
  <c r="O618"/>
  <c r="F314"/>
  <c r="H314"/>
  <c r="H835"/>
  <c r="D782"/>
  <c r="D227" s="1"/>
  <c r="D725"/>
  <c r="O625"/>
  <c r="I724"/>
  <c r="Q212"/>
  <c r="F490"/>
  <c r="D233"/>
  <c r="H775"/>
  <c r="G801"/>
  <c r="G790"/>
  <c r="G780" s="1"/>
  <c r="E835"/>
  <c r="D724"/>
  <c r="E658"/>
  <c r="G407"/>
  <c r="G397" s="1"/>
  <c r="E356"/>
  <c r="E348" s="1"/>
  <c r="O619"/>
  <c r="G656"/>
  <c r="G617" s="1"/>
  <c r="D232"/>
  <c r="O229"/>
  <c r="I229"/>
  <c r="E229"/>
  <c r="O790"/>
  <c r="O780" s="1"/>
  <c r="E785"/>
  <c r="E775" s="1"/>
  <c r="H782"/>
  <c r="H227" s="1"/>
  <c r="Q232"/>
  <c r="P342"/>
  <c r="P232" s="1"/>
  <c r="P341"/>
  <c r="G833"/>
  <c r="I314"/>
  <c r="Q314"/>
  <c r="P348"/>
  <c r="Q390"/>
  <c r="E880"/>
  <c r="E840" s="1"/>
  <c r="P780"/>
  <c r="D780"/>
  <c r="E212"/>
  <c r="I390"/>
  <c r="C914"/>
  <c r="C910" s="1"/>
  <c r="J249"/>
  <c r="I619"/>
  <c r="I383" s="1"/>
  <c r="H408"/>
  <c r="H398" s="1"/>
  <c r="H356"/>
  <c r="H348" s="1"/>
  <c r="D371"/>
  <c r="D370" s="1"/>
  <c r="D348" s="1"/>
  <c r="G244"/>
  <c r="F348"/>
  <c r="F113"/>
  <c r="F833"/>
  <c r="O383"/>
  <c r="F730"/>
  <c r="F724" s="1"/>
  <c r="F617" s="1"/>
  <c r="F725"/>
  <c r="J790"/>
  <c r="J801"/>
  <c r="F823"/>
  <c r="F817" s="1"/>
  <c r="F821"/>
  <c r="G794"/>
  <c r="G785" s="1"/>
  <c r="G775" s="1"/>
  <c r="G786"/>
  <c r="G776" s="1"/>
  <c r="Q260"/>
  <c r="Q251" s="1"/>
  <c r="Q248"/>
  <c r="Q227" s="1"/>
  <c r="J260"/>
  <c r="J248"/>
  <c r="I835"/>
  <c r="J880"/>
  <c r="O834"/>
  <c r="G386"/>
  <c r="G215" s="1"/>
  <c r="G490"/>
  <c r="G382" s="1"/>
  <c r="E525"/>
  <c r="J490"/>
  <c r="G383"/>
  <c r="D260"/>
  <c r="D251" s="1"/>
  <c r="D231" s="1"/>
  <c r="O371"/>
  <c r="O370" s="1"/>
  <c r="O348" s="1"/>
  <c r="O886"/>
  <c r="O885" s="1"/>
  <c r="O875" s="1"/>
  <c r="O833" s="1"/>
  <c r="O877"/>
  <c r="J730"/>
  <c r="J724" s="1"/>
  <c r="J725"/>
  <c r="H657"/>
  <c r="H618" s="1"/>
  <c r="H663"/>
  <c r="H656" s="1"/>
  <c r="Q663"/>
  <c r="Q656" s="1"/>
  <c r="Q657"/>
  <c r="E663"/>
  <c r="E656" s="1"/>
  <c r="E657"/>
  <c r="F618"/>
  <c r="F619"/>
  <c r="F530"/>
  <c r="F390" s="1"/>
  <c r="F553"/>
  <c r="H490"/>
  <c r="H493"/>
  <c r="H489" s="1"/>
  <c r="P534"/>
  <c r="P523" s="1"/>
  <c r="P524"/>
  <c r="D534"/>
  <c r="D523" s="1"/>
  <c r="D524"/>
  <c r="Q490"/>
  <c r="Q493"/>
  <c r="Q489" s="1"/>
  <c r="E490"/>
  <c r="E493"/>
  <c r="E489" s="1"/>
  <c r="E480" s="1"/>
  <c r="I534"/>
  <c r="I523" s="1"/>
  <c r="I524"/>
  <c r="Q408"/>
  <c r="Q398" s="1"/>
  <c r="Q431"/>
  <c r="Q407" s="1"/>
  <c r="Q397" s="1"/>
  <c r="E408"/>
  <c r="E398" s="1"/>
  <c r="E431"/>
  <c r="E407" s="1"/>
  <c r="E397" s="1"/>
  <c r="D244"/>
  <c r="D221" s="1"/>
  <c r="D228"/>
  <c r="F431"/>
  <c r="F407" s="1"/>
  <c r="F397" s="1"/>
  <c r="F408"/>
  <c r="F398" s="1"/>
  <c r="E232"/>
  <c r="O656"/>
  <c r="O617" s="1"/>
  <c r="D215"/>
  <c r="I775"/>
  <c r="P775"/>
  <c r="O386"/>
  <c r="O215" s="1"/>
  <c r="F489"/>
  <c r="F480" s="1"/>
  <c r="G390"/>
  <c r="D383"/>
  <c r="G523"/>
  <c r="D407"/>
  <c r="D397" s="1"/>
  <c r="J354"/>
  <c r="G227"/>
  <c r="O489"/>
  <c r="P260"/>
  <c r="P251" s="1"/>
  <c r="P231" s="1"/>
  <c r="G260"/>
  <c r="G251" s="1"/>
  <c r="G231" s="1"/>
  <c r="J357"/>
  <c r="J356" s="1"/>
  <c r="J348" s="1"/>
  <c r="H260"/>
  <c r="H251" s="1"/>
  <c r="H231" s="1"/>
  <c r="F790"/>
  <c r="F780" s="1"/>
  <c r="F801"/>
  <c r="F785" s="1"/>
  <c r="F775" s="1"/>
  <c r="J530"/>
  <c r="J390" s="1"/>
  <c r="J553"/>
  <c r="O222"/>
  <c r="O225"/>
  <c r="J821"/>
  <c r="J823"/>
  <c r="O794"/>
  <c r="O785" s="1"/>
  <c r="O775" s="1"/>
  <c r="O786"/>
  <c r="O776" s="1"/>
  <c r="E260"/>
  <c r="E251" s="1"/>
  <c r="E231" s="1"/>
  <c r="E248"/>
  <c r="H244"/>
  <c r="H221" s="1"/>
  <c r="H61" s="1"/>
  <c r="H228"/>
  <c r="O835"/>
  <c r="J656"/>
  <c r="E386"/>
  <c r="E215" s="1"/>
  <c r="O390"/>
  <c r="P407"/>
  <c r="P397" s="1"/>
  <c r="G210"/>
  <c r="O490"/>
  <c r="O382" s="1"/>
  <c r="O209" s="1"/>
  <c r="F383"/>
  <c r="F210" s="1"/>
  <c r="P726"/>
  <c r="P619" s="1"/>
  <c r="P383" s="1"/>
  <c r="P210" s="1"/>
  <c r="P739"/>
  <c r="P657"/>
  <c r="P663"/>
  <c r="P656" s="1"/>
  <c r="D657"/>
  <c r="D618" s="1"/>
  <c r="D663"/>
  <c r="D656" s="1"/>
  <c r="J222"/>
  <c r="J225"/>
  <c r="D794"/>
  <c r="D785" s="1"/>
  <c r="D775" s="1"/>
  <c r="D786"/>
  <c r="D776" s="1"/>
  <c r="Q739"/>
  <c r="Q726"/>
  <c r="Q619" s="1"/>
  <c r="Q383" s="1"/>
  <c r="Q210" s="1"/>
  <c r="E739"/>
  <c r="E726"/>
  <c r="E619" s="1"/>
  <c r="E383" s="1"/>
  <c r="E210" s="1"/>
  <c r="I657"/>
  <c r="I618" s="1"/>
  <c r="I663"/>
  <c r="I656" s="1"/>
  <c r="J629"/>
  <c r="P490"/>
  <c r="P493"/>
  <c r="P489" s="1"/>
  <c r="D490"/>
  <c r="D493"/>
  <c r="D489" s="1"/>
  <c r="D480" s="1"/>
  <c r="H534"/>
  <c r="H523" s="1"/>
  <c r="H524"/>
  <c r="I490"/>
  <c r="I493"/>
  <c r="I489" s="1"/>
  <c r="I260"/>
  <c r="I251" s="1"/>
  <c r="I231" s="1"/>
  <c r="I248"/>
  <c r="Q534"/>
  <c r="Q523" s="1"/>
  <c r="Q524"/>
  <c r="E534"/>
  <c r="E523" s="1"/>
  <c r="E524"/>
  <c r="I431"/>
  <c r="I407" s="1"/>
  <c r="I397" s="1"/>
  <c r="I408"/>
  <c r="I398" s="1"/>
  <c r="P244"/>
  <c r="P228"/>
  <c r="F260"/>
  <c r="F251" s="1"/>
  <c r="F231" s="1"/>
  <c r="F248"/>
  <c r="J408"/>
  <c r="J431"/>
  <c r="H726"/>
  <c r="H619" s="1"/>
  <c r="H383" s="1"/>
  <c r="H210" s="1"/>
  <c r="F523"/>
  <c r="G489"/>
  <c r="H617"/>
  <c r="J489"/>
  <c r="G371"/>
  <c r="G370" s="1"/>
  <c r="G348" s="1"/>
  <c r="O244"/>
  <c r="O260"/>
  <c r="O251" s="1"/>
  <c r="O231" s="1"/>
  <c r="F382" l="1"/>
  <c r="F209" s="1"/>
  <c r="D382"/>
  <c r="D209" s="1"/>
  <c r="J619"/>
  <c r="J386"/>
  <c r="J523"/>
  <c r="J217"/>
  <c r="J212"/>
  <c r="J618"/>
  <c r="J875"/>
  <c r="J229"/>
  <c r="J785"/>
  <c r="J817"/>
  <c r="J840"/>
  <c r="J227"/>
  <c r="P221"/>
  <c r="J228"/>
  <c r="J251"/>
  <c r="J407"/>
  <c r="J399"/>
  <c r="J398"/>
  <c r="O221"/>
  <c r="O210"/>
  <c r="D210"/>
  <c r="I210"/>
  <c r="G209"/>
  <c r="I617"/>
  <c r="G221"/>
  <c r="G61" s="1"/>
  <c r="G62" s="1"/>
  <c r="Q231"/>
  <c r="J617"/>
  <c r="D617"/>
  <c r="I382"/>
  <c r="I209" s="1"/>
  <c r="I227"/>
  <c r="I244"/>
  <c r="I221" s="1"/>
  <c r="I61" s="1"/>
  <c r="P84"/>
  <c r="P480"/>
  <c r="H158"/>
  <c r="H62"/>
  <c r="Q84"/>
  <c r="Q480"/>
  <c r="J780"/>
  <c r="E738"/>
  <c r="E724" s="1"/>
  <c r="E617" s="1"/>
  <c r="E725"/>
  <c r="E618" s="1"/>
  <c r="E382" s="1"/>
  <c r="E209" s="1"/>
  <c r="J244"/>
  <c r="H382"/>
  <c r="H209" s="1"/>
  <c r="G84"/>
  <c r="G480"/>
  <c r="G381" s="1"/>
  <c r="G208" s="1"/>
  <c r="F227"/>
  <c r="F244"/>
  <c r="F221" s="1"/>
  <c r="I84"/>
  <c r="I480"/>
  <c r="I381" s="1"/>
  <c r="I208" s="1"/>
  <c r="P738"/>
  <c r="P724" s="1"/>
  <c r="P617" s="1"/>
  <c r="P725"/>
  <c r="P618" s="1"/>
  <c r="P382" s="1"/>
  <c r="P209" s="1"/>
  <c r="H84"/>
  <c r="H480"/>
  <c r="H381" s="1"/>
  <c r="H208" s="1"/>
  <c r="D381"/>
  <c r="D208" s="1"/>
  <c r="D908" s="1"/>
  <c r="E381"/>
  <c r="E208" s="1"/>
  <c r="E908" s="1"/>
  <c r="J84"/>
  <c r="J480"/>
  <c r="Q738"/>
  <c r="Q724" s="1"/>
  <c r="Q617" s="1"/>
  <c r="Q725"/>
  <c r="Q618" s="1"/>
  <c r="Q382" s="1"/>
  <c r="Q209" s="1"/>
  <c r="E227"/>
  <c r="E244"/>
  <c r="E221" s="1"/>
  <c r="O84"/>
  <c r="O480"/>
  <c r="O381" s="1"/>
  <c r="O208" s="1"/>
  <c r="Q244"/>
  <c r="Q221" s="1"/>
  <c r="Q61" s="1"/>
  <c r="F381"/>
  <c r="F208" s="1"/>
  <c r="F908" s="1"/>
  <c r="R221" l="1"/>
  <c r="J215"/>
  <c r="J775"/>
  <c r="J833"/>
  <c r="O61"/>
  <c r="P61"/>
  <c r="Q158"/>
  <c r="J231"/>
  <c r="J397"/>
  <c r="J383"/>
  <c r="J382"/>
  <c r="J221"/>
  <c r="G158"/>
  <c r="G178" s="1"/>
  <c r="G177" s="1"/>
  <c r="G176" s="1"/>
  <c r="P381"/>
  <c r="P208" s="1"/>
  <c r="Q381"/>
  <c r="Q208" s="1"/>
  <c r="E909"/>
  <c r="E910"/>
  <c r="H178"/>
  <c r="H177" s="1"/>
  <c r="H176" s="1"/>
  <c r="H156"/>
  <c r="H134" s="1"/>
  <c r="O71"/>
  <c r="O70" s="1"/>
  <c r="O170"/>
  <c r="O164" s="1"/>
  <c r="O163" s="1"/>
  <c r="J71"/>
  <c r="J170"/>
  <c r="H170"/>
  <c r="H164" s="1"/>
  <c r="H163" s="1"/>
  <c r="H71"/>
  <c r="H70" s="1"/>
  <c r="H11" s="1"/>
  <c r="I170"/>
  <c r="I164" s="1"/>
  <c r="I163" s="1"/>
  <c r="I71"/>
  <c r="I70" s="1"/>
  <c r="I11" s="1"/>
  <c r="G71"/>
  <c r="G70" s="1"/>
  <c r="G11" s="1"/>
  <c r="G170"/>
  <c r="G164" s="1"/>
  <c r="G163" s="1"/>
  <c r="I158"/>
  <c r="I62"/>
  <c r="Q170"/>
  <c r="Q164" s="1"/>
  <c r="Q163" s="1"/>
  <c r="Q71"/>
  <c r="Q70" s="1"/>
  <c r="P170"/>
  <c r="P164" s="1"/>
  <c r="P163" s="1"/>
  <c r="P71"/>
  <c r="P70" s="1"/>
  <c r="O62" l="1"/>
  <c r="O59" s="1"/>
  <c r="O37" s="1"/>
  <c r="O11" s="1"/>
  <c r="O908" s="1"/>
  <c r="P62"/>
  <c r="P59" s="1"/>
  <c r="P37" s="1"/>
  <c r="P11" s="1"/>
  <c r="P908" s="1"/>
  <c r="G156"/>
  <c r="G134" s="1"/>
  <c r="G113" s="1"/>
  <c r="P158"/>
  <c r="P156" s="1"/>
  <c r="P134" s="1"/>
  <c r="P113" s="1"/>
  <c r="O158"/>
  <c r="Q62"/>
  <c r="Q59" s="1"/>
  <c r="Q37" s="1"/>
  <c r="Q11" s="1"/>
  <c r="Q908" s="1"/>
  <c r="J164"/>
  <c r="J70"/>
  <c r="J62"/>
  <c r="J59" s="1"/>
  <c r="J37" s="1"/>
  <c r="J209"/>
  <c r="J381"/>
  <c r="J210"/>
  <c r="H113"/>
  <c r="I178"/>
  <c r="I177" s="1"/>
  <c r="I176" s="1"/>
  <c r="I156"/>
  <c r="I134" s="1"/>
  <c r="I113" s="1"/>
  <c r="I908"/>
  <c r="G908"/>
  <c r="Q178"/>
  <c r="Q177" s="1"/>
  <c r="Q176" s="1"/>
  <c r="Q156"/>
  <c r="Q134" s="1"/>
  <c r="Q113" s="1"/>
  <c r="H908"/>
  <c r="P178" l="1"/>
  <c r="P177" s="1"/>
  <c r="P176" s="1"/>
  <c r="O156"/>
  <c r="O134" s="1"/>
  <c r="O113" s="1"/>
  <c r="O178"/>
  <c r="O177" s="1"/>
  <c r="O176" s="1"/>
  <c r="J163"/>
  <c r="J11"/>
  <c r="J158"/>
  <c r="J208"/>
  <c r="J156" l="1"/>
  <c r="J178"/>
  <c r="J908"/>
  <c r="J134" l="1"/>
  <c r="J177"/>
  <c r="J113" l="1"/>
  <c r="J176"/>
</calcChain>
</file>

<file path=xl/comments1.xml><?xml version="1.0" encoding="utf-8"?>
<comments xmlns="http://schemas.openxmlformats.org/spreadsheetml/2006/main">
  <authors>
    <author>corina</author>
  </authors>
  <commentList>
    <comment ref="D832" authorId="0">
      <text>
        <r>
          <rPr>
            <b/>
            <sz val="9"/>
            <color indexed="81"/>
            <rFont val="Tahoma"/>
            <family val="2"/>
            <charset val="238"/>
          </rPr>
          <t>corina:</t>
        </r>
        <r>
          <rPr>
            <sz val="9"/>
            <color indexed="81"/>
            <rFont val="Tahoma"/>
            <family val="2"/>
            <charset val="238"/>
          </rPr>
          <t xml:space="preserve">
Discutat cu Violeta 19,01,2017</t>
        </r>
      </text>
    </comment>
    <comment ref="E832" authorId="0">
      <text>
        <r>
          <rPr>
            <b/>
            <sz val="9"/>
            <color indexed="81"/>
            <rFont val="Tahoma"/>
            <family val="2"/>
            <charset val="238"/>
          </rPr>
          <t>corina:</t>
        </r>
        <r>
          <rPr>
            <sz val="9"/>
            <color indexed="81"/>
            <rFont val="Tahoma"/>
            <family val="2"/>
            <charset val="238"/>
          </rPr>
          <t xml:space="preserve">
Discutat cu Violeta 19,01,2017</t>
        </r>
      </text>
    </comment>
    <comment ref="I832" authorId="0">
      <text>
        <r>
          <rPr>
            <b/>
            <sz val="9"/>
            <color indexed="81"/>
            <rFont val="Tahoma"/>
            <family val="2"/>
            <charset val="238"/>
          </rPr>
          <t>corina:</t>
        </r>
        <r>
          <rPr>
            <sz val="9"/>
            <color indexed="81"/>
            <rFont val="Tahoma"/>
            <family val="2"/>
            <charset val="238"/>
          </rPr>
          <t xml:space="preserve">
Discutat cu Violeta 19,01,2017</t>
        </r>
      </text>
    </comment>
  </commentList>
</comments>
</file>

<file path=xl/sharedStrings.xml><?xml version="1.0" encoding="utf-8"?>
<sst xmlns="http://schemas.openxmlformats.org/spreadsheetml/2006/main" count="1448" uniqueCount="591">
  <si>
    <t>CONSILIUL JUDETEAN ARGES</t>
  </si>
  <si>
    <t>Anena  nr.  1</t>
  </si>
  <si>
    <t>PROIECT</t>
  </si>
  <si>
    <t xml:space="preserve">mii lei </t>
  </si>
  <si>
    <t>Nr. crt.</t>
  </si>
  <si>
    <t>DENUMIRE INDICATORI</t>
  </si>
  <si>
    <t>COD</t>
  </si>
  <si>
    <t>I</t>
  </si>
  <si>
    <t>II</t>
  </si>
  <si>
    <t>III</t>
  </si>
  <si>
    <t>IV</t>
  </si>
  <si>
    <t>ANUL 2019</t>
  </si>
  <si>
    <t>ANUL 2020</t>
  </si>
  <si>
    <t>A</t>
  </si>
  <si>
    <t>IMPOZIT PE PROFIT</t>
  </si>
  <si>
    <t xml:space="preserve">Impozit pe profit de la agentii economici </t>
  </si>
  <si>
    <t>01.02.01</t>
  </si>
  <si>
    <t>B</t>
  </si>
  <si>
    <t>COTE SI SUME DEF DIN IMPOZITUL PE VENIT</t>
  </si>
  <si>
    <t>.04.02.01</t>
  </si>
  <si>
    <t>.04.02.04</t>
  </si>
  <si>
    <t>C</t>
  </si>
  <si>
    <t>SUME DEFALCATE DIN TVA (1+2+3)</t>
  </si>
  <si>
    <t>11.02.</t>
  </si>
  <si>
    <t>11.02.01</t>
  </si>
  <si>
    <t xml:space="preserve">Sustinerea sistemului de protectie a copilului </t>
  </si>
  <si>
    <t>c</t>
  </si>
  <si>
    <t>Camine persoane varstnice</t>
  </si>
  <si>
    <t>d</t>
  </si>
  <si>
    <t>e</t>
  </si>
  <si>
    <t>Fructe</t>
  </si>
  <si>
    <t>f</t>
  </si>
  <si>
    <t>1.salarii, sporuri , indemnizatii si alte drepturi salariale</t>
  </si>
  <si>
    <t>Cultura si culte din care (1+2 ):</t>
  </si>
  <si>
    <t xml:space="preserve">            1.   personal neclerical</t>
  </si>
  <si>
    <t xml:space="preserve">            2.  institutii de cultura preluate</t>
  </si>
  <si>
    <t xml:space="preserve">h </t>
  </si>
  <si>
    <t>Sume def din TVA pentru evidenta populatiei</t>
  </si>
  <si>
    <t>h.</t>
  </si>
  <si>
    <t>Sume def din TVA reprez. drepturi pt copii cu cerinte educationale speciale integrati in invatamantul de masa H.G. 904/2014</t>
  </si>
  <si>
    <t>Sume def din TVA  pentru drumuri</t>
  </si>
  <si>
    <t>11.02.05</t>
  </si>
  <si>
    <t>Sume def din TVA  pt echil bugete locale</t>
  </si>
  <si>
    <t>11.02.06</t>
  </si>
  <si>
    <t>D</t>
  </si>
  <si>
    <t>Taxe pe utilizarea bunurilor, autoriz. utiliz. bunurilor</t>
  </si>
  <si>
    <t>Impozit asupra mijloacelor de transport pers fizice</t>
  </si>
  <si>
    <t>16.02.02.01</t>
  </si>
  <si>
    <t>Impozit asupra mijloacelor de transport pers juridice</t>
  </si>
  <si>
    <t>16.02.02.02</t>
  </si>
  <si>
    <t>Taxe si tarife pt elib de licente, autorizatii de functionare</t>
  </si>
  <si>
    <t>16.02.03</t>
  </si>
  <si>
    <t>Venituri din proprietate(30.02+31.02)</t>
  </si>
  <si>
    <t>00.13</t>
  </si>
  <si>
    <t>Varsaminte din profitul net</t>
  </si>
  <si>
    <t>30.02.01</t>
  </si>
  <si>
    <t>Restituiri de fonduri din anii precedenti</t>
  </si>
  <si>
    <t>30.02.03</t>
  </si>
  <si>
    <t>Venituri din concesiuni si inchirieri</t>
  </si>
  <si>
    <t>30.02.05</t>
  </si>
  <si>
    <t>Venituri din dividende</t>
  </si>
  <si>
    <t>30.02.08</t>
  </si>
  <si>
    <t>Venituri din dobanzi</t>
  </si>
  <si>
    <t>31.02</t>
  </si>
  <si>
    <t>Alte venituri din dobanzi</t>
  </si>
  <si>
    <t>31.02.03</t>
  </si>
  <si>
    <t>Venituri din prestari servicii si alte activitati</t>
  </si>
  <si>
    <t>Contributia lunara a parintilor</t>
  </si>
  <si>
    <t>33.02.27</t>
  </si>
  <si>
    <t>Venituri din recuperarea cheltuielilor</t>
  </si>
  <si>
    <t>33.02.28</t>
  </si>
  <si>
    <t>33.02.50</t>
  </si>
  <si>
    <t>Amenzi, penalitati si confiscari</t>
  </si>
  <si>
    <t>Venituri din amenzi si alte sanctiuni</t>
  </si>
  <si>
    <t>35.02.01</t>
  </si>
  <si>
    <t>Diverse venituri</t>
  </si>
  <si>
    <t xml:space="preserve">Sume provenite din finantarea </t>
  </si>
  <si>
    <t>36.02.01</t>
  </si>
  <si>
    <t>Alte venituri</t>
  </si>
  <si>
    <t>36.02.50</t>
  </si>
  <si>
    <t>Transferuri voluntare</t>
  </si>
  <si>
    <t>Donatii si sponsorizari</t>
  </si>
  <si>
    <t>37.02.01</t>
  </si>
  <si>
    <t>Varsaminte din sectiunea de functionare pentru finantarea sectiunii de dezvoltare a bugetului local</t>
  </si>
  <si>
    <t>37.02.03</t>
  </si>
  <si>
    <t>Varsaminte din sectiunea de dezvoltare</t>
  </si>
  <si>
    <t>37.02.04</t>
  </si>
  <si>
    <t>Alte transferuri voluntare</t>
  </si>
  <si>
    <t>37.02.50</t>
  </si>
  <si>
    <t>Venituri din capital</t>
  </si>
  <si>
    <t>Venituri din valorif unor bunuri ale instit publice</t>
  </si>
  <si>
    <t>39.02.01</t>
  </si>
  <si>
    <t>Venituri din vanzarea unor bunuri dom. Privat</t>
  </si>
  <si>
    <t>39,02,07</t>
  </si>
  <si>
    <t>Incasari  din rambursarea imprumuturilor acordate</t>
  </si>
  <si>
    <t>Sume din execedentul bugetului</t>
  </si>
  <si>
    <t>E</t>
  </si>
  <si>
    <t>SUBVENTII</t>
  </si>
  <si>
    <t>.00.17</t>
  </si>
  <si>
    <t>Subventii de la bugetul de stat</t>
  </si>
  <si>
    <t xml:space="preserve">Subventii fin prog de pietruire drumuri </t>
  </si>
  <si>
    <t>42.02.09.01</t>
  </si>
  <si>
    <t>Subventii pt finantarea investitiilor in sanatate</t>
  </si>
  <si>
    <t>42.02.16</t>
  </si>
  <si>
    <t>Subv pt.fin aparatura medicala si echip comunic urgenta in sanatate</t>
  </si>
  <si>
    <t>42.02.16.01</t>
  </si>
  <si>
    <t>Subv pt fin rep capitale in sanatate</t>
  </si>
  <si>
    <t>42.02.16.02</t>
  </si>
  <si>
    <t xml:space="preserve">Subv.ptr finant altor investitii in sanatate </t>
  </si>
  <si>
    <t>42.02.16.03</t>
  </si>
  <si>
    <t>Subventii din veniturile proprii ale ministerului Sanatatii catre bug locale pt fin  investitiilor in sanatate</t>
  </si>
  <si>
    <t>42.02.18</t>
  </si>
  <si>
    <t>Asistenta in pregatirea proiectelor prin Programul  Op reg 2007-2013</t>
  </si>
  <si>
    <t>42.02.19</t>
  </si>
  <si>
    <t>Subventii pt sustinerea Proiecte FEN postaderare</t>
  </si>
  <si>
    <t>42.02.20</t>
  </si>
  <si>
    <t>Finantarea drepturilor persoanelor cu handicap</t>
  </si>
  <si>
    <t>42.02.21</t>
  </si>
  <si>
    <t>Subventii primite din Fondul de Interventie</t>
  </si>
  <si>
    <t>42.02.28</t>
  </si>
  <si>
    <t>Subventii din bugetul de stat pentru finantarea sanatatii</t>
  </si>
  <si>
    <t>42.02.41</t>
  </si>
  <si>
    <t>Subventii primite in cadrul prog FEGA  implementate de APIA</t>
  </si>
  <si>
    <t>42.02.42</t>
  </si>
  <si>
    <t>Subventii pt finantarea UAMS</t>
  </si>
  <si>
    <t>42.02.35</t>
  </si>
  <si>
    <t>Subventii  pentru finantarea camerelor agricole</t>
  </si>
  <si>
    <t>42.02.44</t>
  </si>
  <si>
    <t>Subventii ptr realizarea obiectivelor de inv in turism</t>
  </si>
  <si>
    <t>42.02.40</t>
  </si>
  <si>
    <t>Subventii primite de la bugetul de stat pt finantarea unor programe de interes national</t>
  </si>
  <si>
    <t>42.02.51.01</t>
  </si>
  <si>
    <t>Subventii de la bugetul de stat pt. fin. investitiilor pt. instit. publ. de asist. soc. si UAMS</t>
  </si>
  <si>
    <t>42.02.52</t>
  </si>
  <si>
    <t>Subventii primite de la bugetul de stat pt finantarea subprogramului infrastructura la nivel judetean</t>
  </si>
  <si>
    <t>42.02.59</t>
  </si>
  <si>
    <t>Sume alocate din bugetul de stat aferente corectiilor financiare</t>
  </si>
  <si>
    <t>42.02.62</t>
  </si>
  <si>
    <t>Finantarea Programului National de Dezvoltare Locala</t>
  </si>
  <si>
    <t>42.02.65</t>
  </si>
  <si>
    <t>F</t>
  </si>
  <si>
    <t>Sume primite in contul platilor efectuate in anul curent</t>
  </si>
  <si>
    <t>Sume primite in contul platilor efectuate in anii anteriori</t>
  </si>
  <si>
    <t>Prefinantare</t>
  </si>
  <si>
    <t xml:space="preserve">FSE          </t>
  </si>
  <si>
    <t>45.02.02</t>
  </si>
  <si>
    <t>45.02.02.01</t>
  </si>
  <si>
    <t>45.02.02.02</t>
  </si>
  <si>
    <t>45.02.02.03</t>
  </si>
  <si>
    <t xml:space="preserve">PCF PER 2007-2013 </t>
  </si>
  <si>
    <t>45.02.15</t>
  </si>
  <si>
    <t>Sume primite in contul platilor efectuate in anii curent</t>
  </si>
  <si>
    <t>45.02.15.01</t>
  </si>
  <si>
    <t>45.02.15.02</t>
  </si>
  <si>
    <t>45.02.15.03</t>
  </si>
  <si>
    <t>PROGRAMUL NORVEGIAN</t>
  </si>
  <si>
    <t>45.02.18</t>
  </si>
  <si>
    <t>VENITURI - SECTIUNEA FUNCTIONARE</t>
  </si>
  <si>
    <t xml:space="preserve">Cote defalcate din impozitul pe venit </t>
  </si>
  <si>
    <t xml:space="preserve">Sume din impozit pe venit  pentru echilibrare </t>
  </si>
  <si>
    <t>Sume def din TVA pt fin chelt descentraliz</t>
  </si>
  <si>
    <t>Invatamant special</t>
  </si>
  <si>
    <t>Cultura si culte din care:</t>
  </si>
  <si>
    <t xml:space="preserve">               personal neclerical</t>
  </si>
  <si>
    <t xml:space="preserve">               institutii de cultura preluate</t>
  </si>
  <si>
    <t>VENITURI PROPRII  (1+2+3)</t>
  </si>
  <si>
    <t>Taxe pe utilizarea bunurilor, autorizarea uiliz bunurilor</t>
  </si>
  <si>
    <t>Taxe si tarife pt elib de licente, autorizatii de funct</t>
  </si>
  <si>
    <t>Venituri din aplicarea prescriptiei extinctive</t>
  </si>
  <si>
    <t>Varsaminte din sectiunea de functionare</t>
  </si>
  <si>
    <t>Incasari din ramb imprum acordate</t>
  </si>
  <si>
    <t>Subventii pt fin UMS</t>
  </si>
  <si>
    <t>Subventii primite de la bugetul de stat pt finantarea unor programe de interes national destinate sectiunii de functionare a bugetului local</t>
  </si>
  <si>
    <t>VENITURI - SECTIUNEA  DE DEZVOLTARE</t>
  </si>
  <si>
    <t>Transferuri voluntare, altele decat subventiile</t>
  </si>
  <si>
    <t>37.02</t>
  </si>
  <si>
    <t>42.02</t>
  </si>
  <si>
    <t>Subventii pt sustinerea Proiectelor FEN postaderare</t>
  </si>
  <si>
    <t>TOTAL CHELTUIELI (I+II+III+IV+V)</t>
  </si>
  <si>
    <t>SECTIUNEA DE FUNCTIONARE</t>
  </si>
  <si>
    <t>Cheltuieli curente</t>
  </si>
  <si>
    <t xml:space="preserve">  I.             cheltuieli de personal</t>
  </si>
  <si>
    <t xml:space="preserve"> II.              cheltuieli materiale</t>
  </si>
  <si>
    <t>III. Dobanzi aferente datoriei publice interne</t>
  </si>
  <si>
    <t>V. Fond de rezerva bugetara</t>
  </si>
  <si>
    <t>VI. Transferuri catre institutii publice</t>
  </si>
  <si>
    <t>VII Alte transferuri interne</t>
  </si>
  <si>
    <t>VIII Asistenta sociala</t>
  </si>
  <si>
    <t xml:space="preserve">IX Alte cheltuieli </t>
  </si>
  <si>
    <t>Operatiuni financiare</t>
  </si>
  <si>
    <t>Plati efectuate in anii precedenti si recuperate in anul curent</t>
  </si>
  <si>
    <t>SECTIUNEA DE DEZVOLTARE</t>
  </si>
  <si>
    <t xml:space="preserve">Transferuri intre unitati ale administratiei publice </t>
  </si>
  <si>
    <t>Transferuri pentru finantarea investitiilor la spitale</t>
  </si>
  <si>
    <t>51.02.12</t>
  </si>
  <si>
    <t>Transferuri pt fin chelt de capital din domeniul sanatatii</t>
  </si>
  <si>
    <t>51.02.28</t>
  </si>
  <si>
    <t>Alte transferuri  de capital catre institutii publice</t>
  </si>
  <si>
    <t>51.02.29</t>
  </si>
  <si>
    <t xml:space="preserve">Alte transferuri </t>
  </si>
  <si>
    <t>Proiecte cu finantare FEN</t>
  </si>
  <si>
    <t>X Cheltuieli de capital</t>
  </si>
  <si>
    <t>V. fond de rezerva bugetara</t>
  </si>
  <si>
    <t>Ajutoare sociale in numerar</t>
  </si>
  <si>
    <t>Alte cheltuieli</t>
  </si>
  <si>
    <t>VI Transferuri intre unitati ale admin. Publice</t>
  </si>
  <si>
    <t>Alte transf. de capital catre institutii publice</t>
  </si>
  <si>
    <t>Transferuri interne</t>
  </si>
  <si>
    <t>AUTORITATI PUBLICE SI ACTIUNI EXTERNE</t>
  </si>
  <si>
    <t>51.02.01.03</t>
  </si>
  <si>
    <t>Alte transferuri curente interne</t>
  </si>
  <si>
    <t>55.01.18</t>
  </si>
  <si>
    <t>57.02</t>
  </si>
  <si>
    <t xml:space="preserve">Transferuri de capital   </t>
  </si>
  <si>
    <t>51.02</t>
  </si>
  <si>
    <t>Transferuri din bugetele proprii ale judetelor catre bugetele locale in vederea asig fd necesare implementarii proiectelor finantate din FEN</t>
  </si>
  <si>
    <t>51.02.45</t>
  </si>
  <si>
    <t>55.01</t>
  </si>
  <si>
    <t>Programe de dezvoltare</t>
  </si>
  <si>
    <t>55.01.13</t>
  </si>
  <si>
    <t>X. Cheltuieli de capital</t>
  </si>
  <si>
    <t>Constructii</t>
  </si>
  <si>
    <t>71.01.01</t>
  </si>
  <si>
    <t>Masini, echipamente si mijloace de transport</t>
  </si>
  <si>
    <t>71.01.02</t>
  </si>
  <si>
    <t>Mobilier, aparatura birotica</t>
  </si>
  <si>
    <t>71.01.03</t>
  </si>
  <si>
    <t>Alte active fixe</t>
  </si>
  <si>
    <t>71.01.30</t>
  </si>
  <si>
    <t>Reparatii capitale</t>
  </si>
  <si>
    <t>71.03</t>
  </si>
  <si>
    <t>PROIECT "Amenajare Complexul Muzeal Golesti"</t>
  </si>
  <si>
    <t xml:space="preserve">Finanatare nationala </t>
  </si>
  <si>
    <t>56.01.01</t>
  </si>
  <si>
    <t>Finantare de la UE</t>
  </si>
  <si>
    <t>56.01.02</t>
  </si>
  <si>
    <t>Chletuieli neeligibile</t>
  </si>
  <si>
    <t>56.01.03</t>
  </si>
  <si>
    <t>PROIECT "Zonarea speciilor pomicole in bazinele jud. Arges studiu de caz dezvoltarea culturii capsunului"</t>
  </si>
  <si>
    <t>Cheltuieli neeligibile</t>
  </si>
  <si>
    <t>ALTE SERVICII PUBLICE GENERALE (2.a+2.b+2.c)</t>
  </si>
  <si>
    <t>54.02</t>
  </si>
  <si>
    <t>2.a</t>
  </si>
  <si>
    <t>V. FONDURI DE REZERVA</t>
  </si>
  <si>
    <t xml:space="preserve"> Fond de rezerva bugetara la dispozitia autoritatilor locale</t>
  </si>
  <si>
    <t>50.04</t>
  </si>
  <si>
    <t>2.b</t>
  </si>
  <si>
    <t>DIRECTIA JUDETEANA PENTRU EVIDENTA PERSOANELOR PITESTI</t>
  </si>
  <si>
    <t>54.02.10</t>
  </si>
  <si>
    <t>51.01.01</t>
  </si>
  <si>
    <t xml:space="preserve"> Alte  transferuri de capital catre institutii publice</t>
  </si>
  <si>
    <t>2.c</t>
  </si>
  <si>
    <t xml:space="preserve">   RAMBURSARI DE CREDITE</t>
  </si>
  <si>
    <t>54.02.50</t>
  </si>
  <si>
    <t>XIII. Rambursari de credite</t>
  </si>
  <si>
    <t xml:space="preserve">Rambursare imprumuturi interne </t>
  </si>
  <si>
    <t>81.02.05</t>
  </si>
  <si>
    <t>Rambursare imprumuturi externe</t>
  </si>
  <si>
    <t>81.01.05</t>
  </si>
  <si>
    <t>2.d</t>
  </si>
  <si>
    <t>ALTE SERVICII PUBLICE GENERALE - ALEGERI</t>
  </si>
  <si>
    <t>CAPITAL</t>
  </si>
  <si>
    <t>2.e</t>
  </si>
  <si>
    <t xml:space="preserve"> TRANFERURI CATRE UNITATILE IN EXTREMA DIFICULTATE</t>
  </si>
  <si>
    <t>Transferuri din bugetele consiliilor locale şi judeţene pentru acordarea unor ajutoare către unităţile administrativ-teritoriale în situaţii de extremă dificultate</t>
  </si>
  <si>
    <t>51.01.24</t>
  </si>
  <si>
    <t xml:space="preserve">TRANZACTII PRIVIND DATORIA PUBLICA </t>
  </si>
  <si>
    <t>55.02</t>
  </si>
  <si>
    <t>20.24.02</t>
  </si>
  <si>
    <t xml:space="preserve">III. Dobanzi aferente datoriei publice </t>
  </si>
  <si>
    <t xml:space="preserve">         Dobanzi aferente datoriei publice interne</t>
  </si>
  <si>
    <t>30.01.01</t>
  </si>
  <si>
    <t xml:space="preserve">         Dobanzi aferente datoriei publice externe</t>
  </si>
  <si>
    <t>Alte cheltuieli - ajutoare calamitati</t>
  </si>
  <si>
    <t>59.02</t>
  </si>
  <si>
    <t>APARARE (1.a+1.b)</t>
  </si>
  <si>
    <t>1.a</t>
  </si>
  <si>
    <t>CENTRUL MILITAR JUDETEAN ARGES</t>
  </si>
  <si>
    <t>60.02.02</t>
  </si>
  <si>
    <t>Masini , echipamente si mijloace de transport</t>
  </si>
  <si>
    <t>1.b</t>
  </si>
  <si>
    <t>STRUCTURA TERITORIALA PENTRU PROBLEME SPECIALE ARGES</t>
  </si>
  <si>
    <t>ORDINE PUBLICA SI SIGURANTA NATIONALA (2.a)</t>
  </si>
  <si>
    <t>INSPECTORATUL GENERAL PENTRU SITUATII DE URGENTA</t>
  </si>
  <si>
    <t>61.02.05.02</t>
  </si>
  <si>
    <t>VI Transferuri</t>
  </si>
  <si>
    <t>85.01</t>
  </si>
  <si>
    <t>Transferuri de capital - pt fin investitiilor la spitale</t>
  </si>
  <si>
    <t>Alte transferuri</t>
  </si>
  <si>
    <t>INVATAMANT (1.1+1.2)</t>
  </si>
  <si>
    <t>65.02</t>
  </si>
  <si>
    <t>1.1.</t>
  </si>
  <si>
    <t xml:space="preserve">  INVATAMANT SPECIAL (1.1.a+1.1.b+1.1.c+1.1.d+1.1.e+1.1f)</t>
  </si>
  <si>
    <t>65.02.07.04</t>
  </si>
  <si>
    <t>Asistenta sociala</t>
  </si>
  <si>
    <t>57.02.04</t>
  </si>
  <si>
    <t>1.1.a</t>
  </si>
  <si>
    <t>CENTRUL SCOLAR DE EDUCATIE INCLUZIVA "SF. FILOFTEIA" STEFANESTI</t>
  </si>
  <si>
    <t>65.02.07.04.01</t>
  </si>
  <si>
    <t xml:space="preserve">Ajutoare sociale </t>
  </si>
  <si>
    <t>57.02.</t>
  </si>
  <si>
    <t>1.1.b</t>
  </si>
  <si>
    <t>CENTRUL SCOLAR DE EDUCATIE INCLUZIVA "SF. NICOLAE" CAMPULUNG</t>
  </si>
  <si>
    <t>65.02.07.04.02</t>
  </si>
  <si>
    <t>1.1.c</t>
  </si>
  <si>
    <t>SCOALA SPECIALA PENTRU COPII CU DEFICIENTE ASOCIATE "SF. STELIAN" COSTESTI</t>
  </si>
  <si>
    <t>65.02.07.04.03</t>
  </si>
  <si>
    <t>Asistenta sociala- Ajutoare sociale in numerar</t>
  </si>
  <si>
    <t>57.02.01</t>
  </si>
  <si>
    <t xml:space="preserve">X. Cheltuieli de capital  </t>
  </si>
  <si>
    <t>1.1.d</t>
  </si>
  <si>
    <t>GRADINITA SPECIALA " SF. ELENA" PITESTI</t>
  </si>
  <si>
    <t>65.02.07.04.04</t>
  </si>
  <si>
    <t>1.1.e</t>
  </si>
  <si>
    <t>1.2.</t>
  </si>
  <si>
    <t>65.02.50</t>
  </si>
  <si>
    <t>Transferuri de la bugetul judetului catre bugetele locale pentru plata drepturilor de care beneficiaza copiii cu cerinte educationale speciale integrati in invatamantul de masa</t>
  </si>
  <si>
    <t>51.01.64</t>
  </si>
  <si>
    <t>Ajutoare sociale in natura</t>
  </si>
  <si>
    <t>57.02.02</t>
  </si>
  <si>
    <t>1.1.f</t>
  </si>
  <si>
    <t>CENTRUL JUDETEAN DE RESURSE SI ASISTENTA EDUCATIONALA</t>
  </si>
  <si>
    <t>65.02.11.30</t>
  </si>
  <si>
    <t>SANATATE (2.1+2.2)</t>
  </si>
  <si>
    <t>2.1.</t>
  </si>
  <si>
    <t>ALTE INSTITUTII SI ACTIUNI SANITARE</t>
  </si>
  <si>
    <t>66.02.50.50</t>
  </si>
  <si>
    <t>VI Transferuri curente, din care:</t>
  </si>
  <si>
    <t>51.01</t>
  </si>
  <si>
    <t>Actiuni de sanatate</t>
  </si>
  <si>
    <t>51.01.03</t>
  </si>
  <si>
    <t>2.2.</t>
  </si>
  <si>
    <t>UNITATI DE ASISTENTA MEDICO-SOCIALE (2.2.a+2.2.b+2.2.c+2.2.d+2.2.e)</t>
  </si>
  <si>
    <t>66.02.06.03</t>
  </si>
  <si>
    <t>VI Transferuri pt fin UMS</t>
  </si>
  <si>
    <t>51.01.39</t>
  </si>
  <si>
    <t>2.2.a</t>
  </si>
  <si>
    <t>UNITATEA DE ASISTENTA MEDICO-SOCIALA CALINESTI</t>
  </si>
  <si>
    <t>2.2.b</t>
  </si>
  <si>
    <t>UNITATEA DE ASISTENTA MEDICO-SOCIALA DEDULESTI</t>
  </si>
  <si>
    <t>2.2.c</t>
  </si>
  <si>
    <t>UNITATEA DE ASISTENTA MEDICO-SOCIALA  SUICI</t>
  </si>
  <si>
    <t>2.2.d</t>
  </si>
  <si>
    <t xml:space="preserve">UNITATEA DE ASISTENTA MEDICO-SOCIALA RUCAR </t>
  </si>
  <si>
    <t>2.2.e</t>
  </si>
  <si>
    <t>UNITATEA DE ASISTENTA MEDICO-SOCIALA  DOMNESTI</t>
  </si>
  <si>
    <t>67.02</t>
  </si>
  <si>
    <t>3.1.</t>
  </si>
  <si>
    <t>BIBLIOTECA JUDETEANA "DINICU GOLESCU"</t>
  </si>
  <si>
    <t>67.02.03</t>
  </si>
  <si>
    <t>56.16.03</t>
  </si>
  <si>
    <t>3.2.</t>
  </si>
  <si>
    <t>MUZEUL JUDETEAN ARGES</t>
  </si>
  <si>
    <t>67.02.03.02.01</t>
  </si>
  <si>
    <t>PROIECT " Muzeul Judetean Arges - mostenire culturala, istorie si continuitate</t>
  </si>
  <si>
    <t>67.02.03.02</t>
  </si>
  <si>
    <t>Finantare nationala</t>
  </si>
  <si>
    <t>PROIECT " Castru Jidova simbol al Romei la granita imperiu si lumea barbara"</t>
  </si>
  <si>
    <t>67.02.50</t>
  </si>
  <si>
    <t>Finantare UE</t>
  </si>
  <si>
    <t>MUZEUL VITICULTURII SI POMICULTURII GOLESTI</t>
  </si>
  <si>
    <t>67.02.03.02.02</t>
  </si>
  <si>
    <t>TEATRUL "AL. DAVILA" PITESTI</t>
  </si>
  <si>
    <t>67.02.03.04</t>
  </si>
  <si>
    <t>SCOALA POPULARA DE ARTE SI MESERII PITESTI</t>
  </si>
  <si>
    <t>67.02.03.05</t>
  </si>
  <si>
    <t>67.02.03.08</t>
  </si>
  <si>
    <t>PERSONAL NECLERICAL</t>
  </si>
  <si>
    <t>67.02.50.02</t>
  </si>
  <si>
    <t>IX Alte cheltuieli - contrib salariz pers neclerical</t>
  </si>
  <si>
    <t>CENTRUL DE CULTURA "BRATIANU" STEFANESTI</t>
  </si>
  <si>
    <t>67.02.50.01</t>
  </si>
  <si>
    <t>Programe Phare si alte progr. cu finantare neramb.</t>
  </si>
  <si>
    <t>55.01.08</t>
  </si>
  <si>
    <t>SERVICII RECREATIVE SI SPORTIVE</t>
  </si>
  <si>
    <t>67.02.05.02</t>
  </si>
  <si>
    <t>ASIGURARI SI ASIST. SOCIALA (4.1+4.2+4.3+4.4)</t>
  </si>
  <si>
    <t>DIRECTIA GENERALA DE ASISTENTA SOCIALA SI PROTECTIA COPILULUI ARGES</t>
  </si>
  <si>
    <t>68.02.06</t>
  </si>
  <si>
    <t>Ajutoare sociale in natura -tichete</t>
  </si>
  <si>
    <t xml:space="preserve">Alte cheltuieli </t>
  </si>
  <si>
    <t>Drepturi persoane cu handicap</t>
  </si>
  <si>
    <t xml:space="preserve">        Cheltuieli materiale - drepturi pers handicap</t>
  </si>
  <si>
    <t xml:space="preserve">        Asist. Soc.- drepturi pers cu handicap</t>
  </si>
  <si>
    <t xml:space="preserve">Ajutoare sociale in natura </t>
  </si>
  <si>
    <t>57.01.02</t>
  </si>
  <si>
    <t>Fnantare nationala</t>
  </si>
  <si>
    <t>56.02</t>
  </si>
  <si>
    <t>Mobilier , aparatura birotica</t>
  </si>
  <si>
    <t>4.2.</t>
  </si>
  <si>
    <t>68.02.04</t>
  </si>
  <si>
    <t>4.2.a</t>
  </si>
  <si>
    <t>CENTRUL DE INGRIJIRE SI ASISTENTA PITESTI</t>
  </si>
  <si>
    <t>68.02.04.01</t>
  </si>
  <si>
    <t>4.2.b</t>
  </si>
  <si>
    <t>CENTRUL DE INGRIJIRE SI ASISTENTA BASCOVELE</t>
  </si>
  <si>
    <t>68.02.04.02</t>
  </si>
  <si>
    <t>4.2.c.1</t>
  </si>
  <si>
    <t>CENTRUL DE INTEGRARE PRIN TERAPIE OCUPATIONALA TIGVENI</t>
  </si>
  <si>
    <t>68.02.05.02.01</t>
  </si>
  <si>
    <t>COMPLEXUL DE LOCUINTE PROTEJATE TIGVENI</t>
  </si>
  <si>
    <t>CENTRUL DE RECUPERARE SI REABILITARE NEUROPSIHIATRICA CALINESTI</t>
  </si>
  <si>
    <t>COMPLEXUL DE SERVICII PENTRU PERSOANE CU DIZABILITATI VULTURESTI</t>
  </si>
  <si>
    <t>68.02.05.02.03</t>
  </si>
  <si>
    <t>CENTRUL VULTURESTI</t>
  </si>
  <si>
    <t>68.02.05.02.04</t>
  </si>
  <si>
    <t>COMPLEXUL DE LOCUINTE PROTEJATE BUZOIESTI</t>
  </si>
  <si>
    <t>4.2.e</t>
  </si>
  <si>
    <t>CAMIN PERSOANE VARSTNICE MOZACENI</t>
  </si>
  <si>
    <t>4.3.</t>
  </si>
  <si>
    <t>UNITATI DE ASISTENTA MEDICO-SOCIALE (4.3.a+4.3.b+4.3.c+4.3.d+4.3.e)</t>
  </si>
  <si>
    <t>68.02.50</t>
  </si>
  <si>
    <t>4.3.a</t>
  </si>
  <si>
    <t>68.02.50.01</t>
  </si>
  <si>
    <t>4.3.b</t>
  </si>
  <si>
    <t>68.02.50.02</t>
  </si>
  <si>
    <t>4.3.c</t>
  </si>
  <si>
    <t>UNITATEA DE ASISTENTA MEDICO-SOCIALA SUICI</t>
  </si>
  <si>
    <t>68.02.50.03</t>
  </si>
  <si>
    <t>4.3.d</t>
  </si>
  <si>
    <t>UNITATEA DE ASISTENTA MEDICO-SOCIALA RUCAR</t>
  </si>
  <si>
    <t>4.3.e</t>
  </si>
  <si>
    <t>UNITATEA DE ASISTENTA MEDICO-SOCIALA DOMNESTI</t>
  </si>
  <si>
    <t>4.4.</t>
  </si>
  <si>
    <t>ALTE ACTIUNI DE ASISTENTA SOCIALA</t>
  </si>
  <si>
    <t>68.02.50.04</t>
  </si>
  <si>
    <t>SERVICIUL PUBLIC JUDETEAN SALVAMONT ARGES</t>
  </si>
  <si>
    <t>70.02.50</t>
  </si>
  <si>
    <t>PROIECT "Zona montana a Argesului  si Muscelului diversitate si unicitate in Romania"</t>
  </si>
  <si>
    <t>1.3.</t>
  </si>
  <si>
    <t>PROIECT "Extindere si reabilitare  infrastructura de apa si apa uzata"</t>
  </si>
  <si>
    <t>70.02.05.01</t>
  </si>
  <si>
    <t>1.4.</t>
  </si>
  <si>
    <t>20.30.30</t>
  </si>
  <si>
    <t>PROTECTIA MEDIULUI (2.1+2.2)</t>
  </si>
  <si>
    <t>Cheltuieli materiale</t>
  </si>
  <si>
    <t>Sume FEN postaderare</t>
  </si>
  <si>
    <t>COLECTARE , TRATARE  DESEURI - UIP</t>
  </si>
  <si>
    <t>74.02.05.02</t>
  </si>
  <si>
    <t>MANAGEMENTUL INTEGRAT AL DESEURILOR SOLIDE JUDETUL ARGES</t>
  </si>
  <si>
    <t>Finanatare de la UE</t>
  </si>
  <si>
    <t xml:space="preserve">Cheltuieli neeligibile </t>
  </si>
  <si>
    <t>V</t>
  </si>
  <si>
    <t>Transferuri curente</t>
  </si>
  <si>
    <t>VII ALTE TRANSFERURI - Progr de dezvoltare</t>
  </si>
  <si>
    <t>Transferuri din bugetul local către asociaţiile de dezvoltare intercomunitară</t>
  </si>
  <si>
    <t>55.01.42</t>
  </si>
  <si>
    <t>ACTIUNI GENERALE ECONOMICE (1.1+1.2)</t>
  </si>
  <si>
    <t xml:space="preserve"> II.  cheltuieli materiale</t>
  </si>
  <si>
    <t>PROGRAME DE DEZVOLTARE REGIONALA</t>
  </si>
  <si>
    <t>80.02.01.10</t>
  </si>
  <si>
    <t>80.02.01.30</t>
  </si>
  <si>
    <t xml:space="preserve"> II.   cheltuieli materiale</t>
  </si>
  <si>
    <t>20.30.02</t>
  </si>
  <si>
    <t>PREVENIRE SI COMBATERE INUNDATII</t>
  </si>
  <si>
    <t>80.02.01.06</t>
  </si>
  <si>
    <t>Alte cheltuieli  - alte ajutoare</t>
  </si>
  <si>
    <t>AGRICULTURA SI SILVICULTURA</t>
  </si>
  <si>
    <t>Alte cheltuieli in domeniul agriculturii</t>
  </si>
  <si>
    <t>83.02.03</t>
  </si>
  <si>
    <t>CAMERA AGRICOLA ARGES</t>
  </si>
  <si>
    <t>83.02.03.07</t>
  </si>
  <si>
    <t>Transferuri  din bugetele locale pentru finantarea camerelor agricole</t>
  </si>
  <si>
    <t>51.01.49</t>
  </si>
  <si>
    <t xml:space="preserve">TRANSPORTURI </t>
  </si>
  <si>
    <t xml:space="preserve">DRUMURI SI PODURI JUDETENE </t>
  </si>
  <si>
    <t>84.02.03.01</t>
  </si>
  <si>
    <t>CHELTUIELI DE CAPITAL  - INVESTITII</t>
  </si>
  <si>
    <t>87,02,04</t>
  </si>
  <si>
    <t>ProiecteFEN</t>
  </si>
  <si>
    <t xml:space="preserve"> DEFICIT</t>
  </si>
  <si>
    <t>Finantare din excedentul bugetului local</t>
  </si>
  <si>
    <t>Proiect "Sprijin pentru pregatirea aplicatiei de finantare si a documentatiiilor de atribuire  pentru Proiectul Regional de Dezvoltare a Infrastructurii de apa si apa uzata  din judetul Arges in perioada 2014-2020"</t>
  </si>
  <si>
    <t xml:space="preserve">Programe din Fondul European de Dezvoltare Regionala </t>
  </si>
  <si>
    <t>58,01,03</t>
  </si>
  <si>
    <t xml:space="preserve">BUGET INITIAL </t>
  </si>
  <si>
    <t>REALIZARI 2016</t>
  </si>
  <si>
    <t>PROPUNERI 2018</t>
  </si>
  <si>
    <t>ANUL 2021</t>
  </si>
  <si>
    <t xml:space="preserve">Contributia de intretinere a persoanelor asitate </t>
  </si>
  <si>
    <t>33,02,13</t>
  </si>
  <si>
    <t>71,01,01</t>
  </si>
  <si>
    <t>PROIECT "Cresterea eficientei energetice a Palatului Administrativ</t>
  </si>
  <si>
    <t>PROIECT "Restaurarea galeriei de Arta"Rudolf Schweitzer-Cumpana"-Consolidarea, protejarea si valorificarea patrimoniului cultural</t>
  </si>
  <si>
    <t>PROIECT "Restaurarea Muzeului Judetean Arges- Consolidarea, protejarea  si valorificarea patrimoniului cultural"</t>
  </si>
  <si>
    <t>PROIECT "Conservarea si consolidarea Cetatii Poienari"</t>
  </si>
  <si>
    <t xml:space="preserve">PROIECT "Cresterea eficientei energetice a Spitalului de Recuperare Bradet </t>
  </si>
  <si>
    <t>PROIECT "Modernizarea drumului judetean DJ504 lim Jud Teleorman-Popesti-Izvoru-Recea-Cornatel-Vulpesti(DN 65A),km 110+700-136+695, L=25,995 km, pe raza Com. Popesti, Izvoru, Recea, Buzoiesti, Jud Arges</t>
  </si>
  <si>
    <t>BUGETUL DE VENITURI SI CHELTUIELI PE ANUL 2018</t>
  </si>
  <si>
    <t xml:space="preserve">BUGET FINAL </t>
  </si>
  <si>
    <t>EXECUTIE 31,12,2017</t>
  </si>
  <si>
    <t xml:space="preserve">Despagubiri civile </t>
  </si>
  <si>
    <t xml:space="preserve">Proiect "Modernizare DJ 730 A lim . Jud Brasov - Podu Dimbovitei , Km 7+713-24+713 - Servicii de expertiza, DALI+PT+CS+DE+Asistenta tehnica </t>
  </si>
  <si>
    <t>Modernizare DJ  703 b Padureti (DJ769)-Costesti (DN 65 A) km 48+975-59+287, L=10,312 km, la lunca Corbului si Costeti</t>
  </si>
  <si>
    <t>X. Cheltuieli de capital - documentatii pentru poiecte</t>
  </si>
  <si>
    <t xml:space="preserve"> Servicii de expertiza tehnica structurala, studii de teren, audit energetic, DALI/SF, documentatii, avize solicitate  prin Certificat de Urbanism pentru obiectivul "Extindere modernizare si dotare spatii Urgenta Spitalul de Pediatrie  Pitesti</t>
  </si>
  <si>
    <t xml:space="preserve"> Servicii de expertiza tehnica structurala, studii de teren, audit energetic, DALI/SF, documentatii, avize solicitate  prin Certificat de Urbanism pentru obiectivul"Extindere si dotare spatii Urgenta si amenajari incinta Spitalul de Urgenta  Pitesti</t>
  </si>
  <si>
    <t xml:space="preserve">SF Extindere spatiu  Ambulatoriu integrat al Spitalului Judetean de Urgenta Pitesti precum si dotarea acestuia </t>
  </si>
  <si>
    <t>SFExtindere, modernizarea si dotarea  Ambulatoriului Integrat al spitalului cu componentele structurale Centrul de Sanatate Mintala si Laboratorul de recuperare, medicina fizica si balneologie (baza de tratament)</t>
  </si>
  <si>
    <t xml:space="preserve"> Cheltuieli de capital</t>
  </si>
  <si>
    <t>Dotari</t>
  </si>
  <si>
    <t xml:space="preserve">APARARE </t>
  </si>
  <si>
    <t>SANATATE</t>
  </si>
  <si>
    <t xml:space="preserve">CULTURA </t>
  </si>
  <si>
    <t xml:space="preserve">CENTRUL JUDETEAN  CULTURAL </t>
  </si>
  <si>
    <t xml:space="preserve">ASIGURARI SI ASIST. SOCIALA </t>
  </si>
  <si>
    <t>LOCUINTE SERVICII SI DEZVOLTARE PUBLICA</t>
  </si>
  <si>
    <t xml:space="preserve"> Cheltuieli de capital - documentatii pentru poiecte</t>
  </si>
  <si>
    <t xml:space="preserve">PLAN AMENAJARE TERITORIU JUDET </t>
  </si>
  <si>
    <t xml:space="preserve">Lucrari de investitii si dotari transporturi </t>
  </si>
  <si>
    <t>Sume def din TVA pentru finantarea cheltuielilor descentralizate  :</t>
  </si>
  <si>
    <t>hotarari judecatoresti</t>
  </si>
  <si>
    <t xml:space="preserve">       Drepturi copii cu cerinte educationale speciale care frecventeaza invatamantul special </t>
  </si>
  <si>
    <t>mii lei</t>
  </si>
  <si>
    <t xml:space="preserve">ASOCIATIA DE DEZVOLTARE INTERCOMUNITARA MOLIVISU - </t>
  </si>
  <si>
    <t xml:space="preserve">ALTE ACTIUNI ECONOMICE </t>
  </si>
  <si>
    <t xml:space="preserve">Obiectivul "Construire partie de schi Vidraru A1, Ghitu-MOLIVISU </t>
  </si>
  <si>
    <t>Reparatii capitale cladiri existente pentru realizarea Unitatii de Asistenta Medico-Sociala Domnesti - amenajari exterioare</t>
  </si>
  <si>
    <t>Reabilitarea si dotarea salii multifunctionale de sedinte  a Consiliului Judetean Arges</t>
  </si>
  <si>
    <t>Consolidare si reabilitare Spital Judetean de Urgenta Pitesti</t>
  </si>
  <si>
    <t>Servicii expertiza si DALI+PT+CS+DE+Asistenta tehnica Modernizare DJ 703 B Costesti (DN65A)-Serbanesti (DJ659), km 60+325-68+783, L=8,458 km , la Costesti si Rociu</t>
  </si>
  <si>
    <t xml:space="preserve">Servicii de expertiza tehnica structurala , studii de teren SF , documentatii, avize solicitate prin Certificatul de Urbanism pentru obiectivul de investitii Cale de acces mecanizata Cetatea Poienari </t>
  </si>
  <si>
    <t>4.2.d</t>
  </si>
  <si>
    <t>4.2.f</t>
  </si>
  <si>
    <t>4.2.g</t>
  </si>
  <si>
    <t>4.2.h</t>
  </si>
  <si>
    <t>536+</t>
  </si>
  <si>
    <t>CENTRUL DE  EDUCATIE INCLUZIVA SF.  MARINA CURTEA DE ARGES</t>
  </si>
  <si>
    <t>SUME PRIMITE DE LA UE /ALTI DONATORI IN CONTUL PLATILOR EFECTUATE SI PREFINANTARI AFERENTE CADRULUI FINANCIAR 2014-2020</t>
  </si>
  <si>
    <t>48.02.01.01</t>
  </si>
  <si>
    <t>48.02.01.02</t>
  </si>
  <si>
    <t>48.02.01.03</t>
  </si>
  <si>
    <t>48.02.01</t>
  </si>
  <si>
    <t>48.02</t>
  </si>
  <si>
    <t>Proiecte cu finantare FEN aferente cadrului financiar 2014-2020</t>
  </si>
  <si>
    <t xml:space="preserve">Finantare externa nerambursabila </t>
  </si>
  <si>
    <t>58.01.02</t>
  </si>
  <si>
    <t>58.01.03</t>
  </si>
  <si>
    <t>SF + PT - Marirea capacitatii sistemului de alimentare cu apa in Comuna Cuca si Moraresti</t>
  </si>
  <si>
    <t xml:space="preserve">Expertiza tehnica si PT pentru reamplasarea punctului termic si a instalatiilor aferente existente - centrul de Radioterapie - Spitalul Judetean de Urgenta </t>
  </si>
  <si>
    <t>SF si PT "Modernizare DJ 731 D km 7+200-20+700, L=13,5km"</t>
  </si>
  <si>
    <t xml:space="preserve">CENTRUL   CULTURAL JUDETEAN ARGES </t>
  </si>
  <si>
    <t>la H.C.J.  Nr. _____ / ________2018</t>
  </si>
  <si>
    <t xml:space="preserve">                alte cheltuieli</t>
  </si>
  <si>
    <t xml:space="preserve">                 alte cheltuieli</t>
  </si>
  <si>
    <t xml:space="preserve"> Servicii de expertiza tehnica structurala, studii de teren, audit energetic, DALI/SF, documentatii, avize solicitate  prin Certificat de Urbanism pentru obiectivul"Extindere si dotare spatii Urgenta si amenajari incinta Spitalul  Judetean de Urgenta  Pitesti</t>
  </si>
  <si>
    <t>Cheltuieli neeligibile-cofinantare</t>
  </si>
  <si>
    <t>VENITURI - TOTAL( A+B+C+D+E+F )</t>
  </si>
  <si>
    <t>b</t>
  </si>
  <si>
    <t>a</t>
  </si>
  <si>
    <t>g</t>
  </si>
  <si>
    <t>VENITURI PROPRII  ( 1+2+3+4+5+6+7)</t>
  </si>
  <si>
    <t xml:space="preserve">Centrele pentru persoane adulte cu handicap </t>
  </si>
  <si>
    <t xml:space="preserve">Programul pentru scoli  al Romaniei </t>
  </si>
  <si>
    <t>58.01</t>
  </si>
  <si>
    <t xml:space="preserve">Programe din Fondul European de Dezvoltare Regională (FEDR)  </t>
  </si>
  <si>
    <t>3,5,</t>
  </si>
  <si>
    <t>.3.4</t>
  </si>
  <si>
    <t>.3.6</t>
  </si>
  <si>
    <t>.3.7</t>
  </si>
  <si>
    <t>.3.8</t>
  </si>
  <si>
    <t>.3.9</t>
  </si>
  <si>
    <t>.3.10</t>
  </si>
  <si>
    <t>.3.11</t>
  </si>
  <si>
    <t>CULTURA, RECREERE SI RELIGIE (3.1+3.2+3.3+3.4+3.5+3.6+3.7+3.8+3.9+3.10+3.11)</t>
  </si>
  <si>
    <t>CENTRE DE ASISTENTA (4.2.a+4.2.b+4.2.c+4.2.d+4.2.e+4.2.f+4.2.g+4.2.h)</t>
  </si>
  <si>
    <t>LOCUINTE SERVICII SI DEZVOLTARE PUBLICA (1.1+1.2+1.3)</t>
  </si>
  <si>
    <t>.2.1</t>
  </si>
  <si>
    <t>.2.2</t>
  </si>
  <si>
    <t>.3.1</t>
  </si>
  <si>
    <t xml:space="preserve"> Cheltuieli de capital - Total, din care:</t>
  </si>
  <si>
    <t xml:space="preserve">  ALTE CHELTUIELI - PROGRAMUL PENTRU SCOLI AL ROMANIEI </t>
  </si>
  <si>
    <t>SI ESTIMARILE PE ANII 2019-2021</t>
  </si>
  <si>
    <t xml:space="preserve">      Cheltuieli cu bunuri si servicii</t>
  </si>
  <si>
    <r>
      <t xml:space="preserve">Cote defalcate din impozitul pe venit </t>
    </r>
    <r>
      <rPr>
        <b/>
        <sz val="11"/>
        <rFont val="Times New Roman"/>
        <family val="1"/>
        <charset val="238"/>
      </rPr>
      <t xml:space="preserve">(11.25% </t>
    </r>
    <r>
      <rPr>
        <sz val="11"/>
        <rFont val="Times New Roman"/>
        <family val="1"/>
        <charset val="238"/>
      </rPr>
      <t>)</t>
    </r>
  </si>
  <si>
    <r>
      <t>Sume din impozit pe venit  pentru echil.</t>
    </r>
    <r>
      <rPr>
        <b/>
        <sz val="11"/>
        <rFont val="Times New Roman"/>
        <family val="1"/>
        <charset val="238"/>
      </rPr>
      <t xml:space="preserve"> (17.25% )</t>
    </r>
  </si>
  <si>
    <r>
      <t xml:space="preserve">                                                                                                                            </t>
    </r>
    <r>
      <rPr>
        <b/>
        <u/>
        <sz val="11"/>
        <rFont val="Times New Roman"/>
        <family val="1"/>
        <charset val="238"/>
      </rPr>
      <t xml:space="preserve"> PARTEA I SERVICII PUBLICE  GENERALE (1+2+3)</t>
    </r>
    <r>
      <rPr>
        <b/>
        <sz val="11"/>
        <rFont val="Times New Roman"/>
        <family val="1"/>
        <charset val="238"/>
      </rPr>
      <t xml:space="preserve"> </t>
    </r>
  </si>
  <si>
    <r>
      <t xml:space="preserve">                                                                                                                   </t>
    </r>
    <r>
      <rPr>
        <b/>
        <u/>
        <sz val="11"/>
        <rFont val="Times New Roman"/>
        <family val="1"/>
        <charset val="238"/>
      </rPr>
      <t>PARTEA II APARARE, ORDINE PUBLICA (1+2</t>
    </r>
    <r>
      <rPr>
        <b/>
        <sz val="11"/>
        <rFont val="Times New Roman"/>
        <family val="1"/>
        <charset val="238"/>
      </rPr>
      <t>)</t>
    </r>
  </si>
  <si>
    <r>
      <t xml:space="preserve">                                                                                                   </t>
    </r>
    <r>
      <rPr>
        <b/>
        <u/>
        <sz val="11"/>
        <rFont val="Times New Roman"/>
        <family val="1"/>
        <charset val="238"/>
      </rPr>
      <t>PARTEA III CHELT SOCIAL- CULTURALE (1+2+3+4</t>
    </r>
    <r>
      <rPr>
        <b/>
        <sz val="11"/>
        <rFont val="Times New Roman"/>
        <family val="1"/>
        <charset val="238"/>
      </rPr>
      <t>)</t>
    </r>
  </si>
  <si>
    <r>
      <t xml:space="preserve">  I.             cheltuieli de personal </t>
    </r>
    <r>
      <rPr>
        <b/>
        <sz val="11"/>
        <rFont val="Times New Roman"/>
        <family val="1"/>
        <charset val="238"/>
      </rPr>
      <t>din care:</t>
    </r>
  </si>
  <si>
    <r>
      <t xml:space="preserve">sume pentru aplicarea Legii nr. </t>
    </r>
    <r>
      <rPr>
        <b/>
        <sz val="11"/>
        <rFont val="Times New Roman"/>
        <family val="1"/>
        <charset val="238"/>
      </rPr>
      <t>85/2016 (hotarari judecatoresti)</t>
    </r>
  </si>
  <si>
    <r>
      <t xml:space="preserve">       </t>
    </r>
    <r>
      <rPr>
        <b/>
        <u/>
        <sz val="11"/>
        <rFont val="Times New Roman"/>
        <family val="1"/>
        <charset val="238"/>
      </rPr>
      <t>PARTEA  IV  SERVICII SI DEZVOLTARE PUBLICA (1+2</t>
    </r>
    <r>
      <rPr>
        <b/>
        <sz val="11"/>
        <rFont val="Times New Roman"/>
        <family val="1"/>
        <charset val="238"/>
      </rPr>
      <t>)</t>
    </r>
  </si>
  <si>
    <r>
      <t xml:space="preserve">                                                                                                      </t>
    </r>
    <r>
      <rPr>
        <b/>
        <u/>
        <sz val="11"/>
        <rFont val="Times New Roman"/>
        <family val="1"/>
        <charset val="238"/>
      </rPr>
      <t>PARTEA V ACTIUNI ECONOMICE (1+2+3</t>
    </r>
    <r>
      <rPr>
        <b/>
        <sz val="11"/>
        <rFont val="Times New Roman"/>
        <family val="1"/>
        <charset val="238"/>
      </rPr>
      <t>)</t>
    </r>
  </si>
  <si>
    <t xml:space="preserve">PROPUNERE </t>
  </si>
  <si>
    <t xml:space="preserve">TRIMESTRUL </t>
  </si>
  <si>
    <t xml:space="preserve">ESTIMARI </t>
  </si>
  <si>
    <t>Invatamant special , din care :</t>
  </si>
  <si>
    <t xml:space="preserve"> DIRECTIA GENERALA DE ASISTENTA SOCIALA SI PROTECTIA COPILULUI ARGES</t>
  </si>
  <si>
    <t>.4.1.1</t>
  </si>
  <si>
    <t>.4.1.2</t>
  </si>
  <si>
    <t>ALTE CHELTUIELI PENTRU ACTIUNI GENERALE ECONOMICE</t>
  </si>
</sst>
</file>

<file path=xl/styles.xml><?xml version="1.0" encoding="utf-8"?>
<styleSheet xmlns="http://schemas.openxmlformats.org/spreadsheetml/2006/main">
  <fonts count="27">
    <font>
      <sz val="10"/>
      <name val="Arial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b/>
      <u/>
      <sz val="14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u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u/>
      <sz val="8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u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9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2" fillId="0" borderId="0" xfId="0" applyFont="1" applyFill="1" applyBorder="1"/>
    <xf numFmtId="0" fontId="2" fillId="2" borderId="0" xfId="0" applyFont="1" applyFill="1"/>
    <xf numFmtId="0" fontId="4" fillId="0" borderId="2" xfId="0" applyFont="1" applyBorder="1" applyAlignment="1">
      <alignment horizontal="left" wrapText="1"/>
    </xf>
    <xf numFmtId="0" fontId="3" fillId="0" borderId="0" xfId="0" applyFont="1" applyFill="1" applyBorder="1"/>
    <xf numFmtId="0" fontId="3" fillId="0" borderId="0" xfId="0" applyFont="1" applyFill="1"/>
    <xf numFmtId="2" fontId="2" fillId="2" borderId="0" xfId="0" applyNumberFormat="1" applyFont="1" applyFill="1"/>
    <xf numFmtId="0" fontId="7" fillId="0" borderId="0" xfId="0" applyFont="1" applyFill="1"/>
    <xf numFmtId="0" fontId="8" fillId="0" borderId="0" xfId="0" applyFont="1" applyFill="1"/>
    <xf numFmtId="0" fontId="9" fillId="2" borderId="0" xfId="0" applyFont="1" applyFill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11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7" fillId="2" borderId="0" xfId="0" applyFont="1" applyFill="1"/>
    <xf numFmtId="0" fontId="7" fillId="0" borderId="0" xfId="0" applyFont="1" applyFill="1" applyBorder="1"/>
    <xf numFmtId="0" fontId="11" fillId="0" borderId="0" xfId="0" applyFont="1" applyFill="1" applyBorder="1"/>
    <xf numFmtId="0" fontId="13" fillId="0" borderId="0" xfId="0" applyFont="1" applyFill="1" applyBorder="1" applyAlignment="1">
      <alignment horizontal="right"/>
    </xf>
    <xf numFmtId="0" fontId="11" fillId="0" borderId="0" xfId="0" applyFont="1" applyFill="1" applyAlignment="1">
      <alignment horizontal="right"/>
    </xf>
    <xf numFmtId="0" fontId="7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11" fillId="0" borderId="2" xfId="0" applyFont="1" applyFill="1" applyBorder="1"/>
    <xf numFmtId="2" fontId="7" fillId="4" borderId="3" xfId="0" applyNumberFormat="1" applyFont="1" applyFill="1" applyBorder="1"/>
    <xf numFmtId="2" fontId="8" fillId="4" borderId="2" xfId="0" applyNumberFormat="1" applyFont="1" applyFill="1" applyBorder="1"/>
    <xf numFmtId="2" fontId="7" fillId="4" borderId="2" xfId="0" applyNumberFormat="1" applyFont="1" applyFill="1" applyBorder="1"/>
    <xf numFmtId="2" fontId="11" fillId="5" borderId="2" xfId="0" applyNumberFormat="1" applyFont="1" applyFill="1" applyBorder="1"/>
    <xf numFmtId="2" fontId="11" fillId="2" borderId="2" xfId="0" applyNumberFormat="1" applyFont="1" applyFill="1" applyBorder="1"/>
    <xf numFmtId="0" fontId="13" fillId="0" borderId="2" xfId="0" applyFont="1" applyFill="1" applyBorder="1"/>
    <xf numFmtId="0" fontId="8" fillId="0" borderId="4" xfId="0" applyFont="1" applyFill="1" applyBorder="1" applyAlignment="1">
      <alignment horizontal="right"/>
    </xf>
    <xf numFmtId="2" fontId="15" fillId="4" borderId="2" xfId="0" applyNumberFormat="1" applyFont="1" applyFill="1" applyBorder="1"/>
    <xf numFmtId="2" fontId="16" fillId="4" borderId="2" xfId="0" applyNumberFormat="1" applyFont="1" applyFill="1" applyBorder="1"/>
    <xf numFmtId="2" fontId="11" fillId="0" borderId="2" xfId="0" applyNumberFormat="1" applyFont="1" applyFill="1" applyBorder="1"/>
    <xf numFmtId="0" fontId="7" fillId="0" borderId="2" xfId="0" applyFont="1" applyFill="1" applyBorder="1"/>
    <xf numFmtId="2" fontId="7" fillId="2" borderId="2" xfId="0" applyNumberFormat="1" applyFont="1" applyFill="1" applyBorder="1"/>
    <xf numFmtId="2" fontId="11" fillId="4" borderId="2" xfId="0" applyNumberFormat="1" applyFont="1" applyFill="1" applyBorder="1"/>
    <xf numFmtId="2" fontId="11" fillId="11" borderId="2" xfId="0" applyNumberFormat="1" applyFont="1" applyFill="1" applyBorder="1"/>
    <xf numFmtId="0" fontId="13" fillId="0" borderId="4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 wrapText="1"/>
    </xf>
    <xf numFmtId="0" fontId="13" fillId="0" borderId="2" xfId="0" applyFont="1" applyFill="1" applyBorder="1" applyAlignment="1">
      <alignment horizontal="center" wrapText="1"/>
    </xf>
    <xf numFmtId="2" fontId="7" fillId="5" borderId="2" xfId="0" applyNumberFormat="1" applyFont="1" applyFill="1" applyBorder="1"/>
    <xf numFmtId="0" fontId="11" fillId="4" borderId="2" xfId="0" applyFont="1" applyFill="1" applyBorder="1"/>
    <xf numFmtId="2" fontId="11" fillId="9" borderId="2" xfId="0" applyNumberFormat="1" applyFont="1" applyFill="1" applyBorder="1"/>
    <xf numFmtId="0" fontId="11" fillId="0" borderId="16" xfId="0" applyFont="1" applyFill="1" applyBorder="1" applyAlignment="1">
      <alignment horizontal="right"/>
    </xf>
    <xf numFmtId="2" fontId="11" fillId="2" borderId="1" xfId="0" applyNumberFormat="1" applyFont="1" applyFill="1" applyBorder="1"/>
    <xf numFmtId="2" fontId="11" fillId="2" borderId="0" xfId="0" applyNumberFormat="1" applyFont="1" applyFill="1" applyBorder="1"/>
    <xf numFmtId="0" fontId="8" fillId="0" borderId="2" xfId="0" applyFont="1" applyFill="1" applyBorder="1" applyAlignment="1">
      <alignment horizontal="center"/>
    </xf>
    <xf numFmtId="2" fontId="15" fillId="2" borderId="2" xfId="0" applyNumberFormat="1" applyFont="1" applyFill="1" applyBorder="1"/>
    <xf numFmtId="2" fontId="15" fillId="5" borderId="2" xfId="0" applyNumberFormat="1" applyFont="1" applyFill="1" applyBorder="1"/>
    <xf numFmtId="2" fontId="11" fillId="2" borderId="2" xfId="0" applyNumberFormat="1" applyFont="1" applyFill="1" applyBorder="1" applyAlignment="1">
      <alignment horizontal="right"/>
    </xf>
    <xf numFmtId="2" fontId="7" fillId="10" borderId="2" xfId="0" applyNumberFormat="1" applyFont="1" applyFill="1" applyBorder="1"/>
    <xf numFmtId="2" fontId="11" fillId="10" borderId="2" xfId="0" applyNumberFormat="1" applyFont="1" applyFill="1" applyBorder="1"/>
    <xf numFmtId="0" fontId="19" fillId="0" borderId="2" xfId="0" applyFont="1" applyFill="1" applyBorder="1"/>
    <xf numFmtId="2" fontId="19" fillId="2" borderId="2" xfId="0" applyNumberFormat="1" applyFont="1" applyFill="1" applyBorder="1"/>
    <xf numFmtId="0" fontId="8" fillId="2" borderId="4" xfId="0" applyFont="1" applyFill="1" applyBorder="1" applyAlignment="1">
      <alignment horizontal="right"/>
    </xf>
    <xf numFmtId="0" fontId="20" fillId="7" borderId="12" xfId="0" applyFont="1" applyFill="1" applyBorder="1" applyAlignment="1">
      <alignment horizontal="left"/>
    </xf>
    <xf numFmtId="2" fontId="15" fillId="8" borderId="2" xfId="0" applyNumberFormat="1" applyFont="1" applyFill="1" applyBorder="1"/>
    <xf numFmtId="0" fontId="16" fillId="0" borderId="0" xfId="0" applyFont="1" applyFill="1" applyBorder="1"/>
    <xf numFmtId="2" fontId="15" fillId="2" borderId="0" xfId="0" applyNumberFormat="1" applyFont="1" applyFill="1" applyBorder="1"/>
    <xf numFmtId="2" fontId="11" fillId="0" borderId="0" xfId="0" applyNumberFormat="1" applyFont="1" applyFill="1"/>
    <xf numFmtId="0" fontId="11" fillId="2" borderId="0" xfId="0" applyFont="1" applyFill="1"/>
    <xf numFmtId="0" fontId="13" fillId="0" borderId="0" xfId="0" applyFont="1" applyFill="1" applyBorder="1"/>
    <xf numFmtId="0" fontId="21" fillId="0" borderId="0" xfId="0" applyFont="1" applyFill="1"/>
    <xf numFmtId="0" fontId="20" fillId="0" borderId="0" xfId="0" applyFont="1" applyFill="1" applyBorder="1"/>
    <xf numFmtId="0" fontId="21" fillId="0" borderId="0" xfId="0" applyFont="1" applyFill="1" applyBorder="1"/>
    <xf numFmtId="0" fontId="20" fillId="0" borderId="2" xfId="0" applyFont="1" applyFill="1" applyBorder="1" applyAlignment="1">
      <alignment horizontal="center"/>
    </xf>
    <xf numFmtId="0" fontId="20" fillId="0" borderId="2" xfId="0" applyFont="1" applyFill="1" applyBorder="1" applyAlignment="1">
      <alignment wrapText="1"/>
    </xf>
    <xf numFmtId="0" fontId="21" fillId="0" borderId="2" xfId="0" applyFont="1" applyFill="1" applyBorder="1"/>
    <xf numFmtId="0" fontId="20" fillId="3" borderId="3" xfId="0" applyFont="1" applyFill="1" applyBorder="1"/>
    <xf numFmtId="0" fontId="20" fillId="3" borderId="5" xfId="0" applyFont="1" applyFill="1" applyBorder="1"/>
    <xf numFmtId="0" fontId="20" fillId="0" borderId="5" xfId="0" applyFont="1" applyFill="1" applyBorder="1"/>
    <xf numFmtId="0" fontId="21" fillId="0" borderId="5" xfId="0" applyFont="1" applyFill="1" applyBorder="1"/>
    <xf numFmtId="0" fontId="20" fillId="0" borderId="7" xfId="0" applyFont="1" applyFill="1" applyBorder="1"/>
    <xf numFmtId="2" fontId="21" fillId="0" borderId="7" xfId="0" applyNumberFormat="1" applyFont="1" applyFill="1" applyBorder="1"/>
    <xf numFmtId="2" fontId="21" fillId="0" borderId="7" xfId="0" applyNumberFormat="1" applyFont="1" applyFill="1" applyBorder="1" applyAlignment="1">
      <alignment wrapText="1"/>
    </xf>
    <xf numFmtId="0" fontId="21" fillId="2" borderId="2" xfId="0" applyFont="1" applyFill="1" applyBorder="1"/>
    <xf numFmtId="0" fontId="20" fillId="0" borderId="2" xfId="0" applyFont="1" applyFill="1" applyBorder="1" applyAlignment="1">
      <alignment horizontal="right"/>
    </xf>
    <xf numFmtId="0" fontId="20" fillId="0" borderId="7" xfId="0" applyFont="1" applyFill="1" applyBorder="1" applyAlignment="1">
      <alignment wrapText="1"/>
    </xf>
    <xf numFmtId="0" fontId="21" fillId="0" borderId="7" xfId="0" applyFont="1" applyFill="1" applyBorder="1" applyAlignment="1">
      <alignment wrapText="1"/>
    </xf>
    <xf numFmtId="0" fontId="21" fillId="0" borderId="7" xfId="0" applyFont="1" applyFill="1" applyBorder="1"/>
    <xf numFmtId="0" fontId="20" fillId="0" borderId="2" xfId="0" applyFont="1" applyFill="1" applyBorder="1"/>
    <xf numFmtId="0" fontId="21" fillId="0" borderId="2" xfId="0" applyFont="1" applyFill="1" applyBorder="1" applyAlignment="1">
      <alignment wrapText="1"/>
    </xf>
    <xf numFmtId="0" fontId="23" fillId="0" borderId="2" xfId="0" applyFont="1" applyFill="1" applyBorder="1" applyAlignment="1">
      <alignment horizontal="left" wrapText="1"/>
    </xf>
    <xf numFmtId="0" fontId="21" fillId="0" borderId="2" xfId="0" applyFont="1" applyFill="1" applyBorder="1" applyAlignment="1">
      <alignment vertical="justify"/>
    </xf>
    <xf numFmtId="0" fontId="20" fillId="0" borderId="3" xfId="0" applyFont="1" applyFill="1" applyBorder="1"/>
    <xf numFmtId="0" fontId="21" fillId="0" borderId="5" xfId="0" applyFont="1" applyFill="1" applyBorder="1" applyAlignment="1">
      <alignment wrapText="1"/>
    </xf>
    <xf numFmtId="0" fontId="20" fillId="0" borderId="4" xfId="0" applyFont="1" applyFill="1" applyBorder="1"/>
    <xf numFmtId="0" fontId="20" fillId="0" borderId="1" xfId="0" applyFont="1" applyFill="1" applyBorder="1"/>
    <xf numFmtId="0" fontId="21" fillId="0" borderId="1" xfId="0" applyFont="1" applyFill="1" applyBorder="1"/>
    <xf numFmtId="0" fontId="20" fillId="3" borderId="2" xfId="0" applyFont="1" applyFill="1" applyBorder="1"/>
    <xf numFmtId="0" fontId="22" fillId="3" borderId="2" xfId="0" applyFont="1" applyFill="1" applyBorder="1"/>
    <xf numFmtId="0" fontId="20" fillId="3" borderId="7" xfId="0" applyFont="1" applyFill="1" applyBorder="1" applyAlignment="1">
      <alignment wrapText="1"/>
    </xf>
    <xf numFmtId="0" fontId="22" fillId="0" borderId="2" xfId="0" applyFont="1" applyFill="1" applyBorder="1"/>
    <xf numFmtId="0" fontId="20" fillId="3" borderId="7" xfId="0" applyFont="1" applyFill="1" applyBorder="1"/>
    <xf numFmtId="0" fontId="21" fillId="2" borderId="7" xfId="0" applyFont="1" applyFill="1" applyBorder="1"/>
    <xf numFmtId="0" fontId="21" fillId="2" borderId="2" xfId="0" applyFont="1" applyFill="1" applyBorder="1" applyAlignment="1">
      <alignment wrapText="1"/>
    </xf>
    <xf numFmtId="0" fontId="21" fillId="2" borderId="7" xfId="0" applyFont="1" applyFill="1" applyBorder="1" applyAlignment="1">
      <alignment wrapText="1"/>
    </xf>
    <xf numFmtId="0" fontId="20" fillId="10" borderId="7" xfId="0" applyFont="1" applyFill="1" applyBorder="1" applyAlignment="1">
      <alignment wrapText="1"/>
    </xf>
    <xf numFmtId="0" fontId="20" fillId="10" borderId="7" xfId="0" applyFont="1" applyFill="1" applyBorder="1"/>
    <xf numFmtId="0" fontId="20" fillId="2" borderId="7" xfId="0" applyFont="1" applyFill="1" applyBorder="1" applyAlignment="1">
      <alignment wrapText="1"/>
    </xf>
    <xf numFmtId="0" fontId="21" fillId="0" borderId="9" xfId="1" applyFont="1" applyFill="1" applyBorder="1" applyAlignment="1">
      <alignment wrapText="1"/>
    </xf>
    <xf numFmtId="0" fontId="20" fillId="2" borderId="7" xfId="0" applyFont="1" applyFill="1" applyBorder="1"/>
    <xf numFmtId="16" fontId="20" fillId="0" borderId="2" xfId="0" applyNumberFormat="1" applyFont="1" applyFill="1" applyBorder="1"/>
    <xf numFmtId="16" fontId="21" fillId="0" borderId="2" xfId="0" applyNumberFormat="1" applyFont="1" applyFill="1" applyBorder="1"/>
    <xf numFmtId="0" fontId="20" fillId="0" borderId="4" xfId="0" applyFont="1" applyFill="1" applyBorder="1" applyAlignment="1">
      <alignment horizontal="left" wrapText="1"/>
    </xf>
    <xf numFmtId="2" fontId="20" fillId="0" borderId="2" xfId="0" applyNumberFormat="1" applyFont="1" applyFill="1" applyBorder="1"/>
    <xf numFmtId="0" fontId="20" fillId="3" borderId="7" xfId="0" applyFont="1" applyFill="1" applyBorder="1" applyAlignment="1">
      <alignment horizontal="left" wrapText="1"/>
    </xf>
    <xf numFmtId="0" fontId="20" fillId="2" borderId="10" xfId="0" applyFont="1" applyFill="1" applyBorder="1" applyAlignment="1">
      <alignment wrapText="1"/>
    </xf>
    <xf numFmtId="0" fontId="21" fillId="6" borderId="11" xfId="1" applyFont="1" applyFill="1" applyBorder="1" applyAlignment="1">
      <alignment wrapText="1"/>
    </xf>
    <xf numFmtId="0" fontId="21" fillId="6" borderId="0" xfId="1" applyFont="1" applyFill="1" applyBorder="1"/>
    <xf numFmtId="0" fontId="20" fillId="8" borderId="2" xfId="0" applyFont="1" applyFill="1" applyBorder="1"/>
    <xf numFmtId="0" fontId="22" fillId="8" borderId="2" xfId="0" applyFont="1" applyFill="1" applyBorder="1"/>
    <xf numFmtId="0" fontId="22" fillId="0" borderId="0" xfId="0" applyFont="1" applyFill="1" applyBorder="1"/>
    <xf numFmtId="0" fontId="20" fillId="0" borderId="13" xfId="0" applyFont="1" applyFill="1" applyBorder="1" applyAlignment="1">
      <alignment wrapText="1"/>
    </xf>
    <xf numFmtId="0" fontId="20" fillId="0" borderId="0" xfId="0" applyFont="1" applyFill="1" applyBorder="1" applyAlignment="1">
      <alignment wrapText="1"/>
    </xf>
    <xf numFmtId="0" fontId="20" fillId="12" borderId="2" xfId="0" applyFont="1" applyFill="1" applyBorder="1"/>
    <xf numFmtId="0" fontId="21" fillId="12" borderId="2" xfId="0" applyFont="1" applyFill="1" applyBorder="1"/>
    <xf numFmtId="0" fontId="24" fillId="0" borderId="2" xfId="0" applyFont="1" applyFill="1" applyBorder="1"/>
    <xf numFmtId="0" fontId="24" fillId="2" borderId="2" xfId="0" applyFont="1" applyFill="1" applyBorder="1"/>
    <xf numFmtId="0" fontId="21" fillId="2" borderId="2" xfId="0" applyFont="1" applyFill="1" applyBorder="1" applyAlignment="1">
      <alignment horizontal="left" wrapText="1"/>
    </xf>
    <xf numFmtId="0" fontId="20" fillId="2" borderId="2" xfId="0" applyFont="1" applyFill="1" applyBorder="1"/>
    <xf numFmtId="0" fontId="20" fillId="2" borderId="2" xfId="0" applyFont="1" applyFill="1" applyBorder="1" applyAlignment="1">
      <alignment wrapText="1"/>
    </xf>
    <xf numFmtId="0" fontId="20" fillId="12" borderId="2" xfId="0" applyFont="1" applyFill="1" applyBorder="1" applyAlignment="1">
      <alignment wrapText="1"/>
    </xf>
    <xf numFmtId="0" fontId="20" fillId="7" borderId="2" xfId="0" applyFont="1" applyFill="1" applyBorder="1" applyAlignment="1">
      <alignment horizontal="left"/>
    </xf>
    <xf numFmtId="4" fontId="8" fillId="4" borderId="2" xfId="0" applyNumberFormat="1" applyFont="1" applyFill="1" applyBorder="1"/>
    <xf numFmtId="4" fontId="7" fillId="4" borderId="2" xfId="0" applyNumberFormat="1" applyFont="1" applyFill="1" applyBorder="1"/>
    <xf numFmtId="4" fontId="13" fillId="0" borderId="2" xfId="0" applyNumberFormat="1" applyFont="1" applyFill="1" applyBorder="1"/>
    <xf numFmtId="4" fontId="11" fillId="0" borderId="2" xfId="0" applyNumberFormat="1" applyFont="1" applyFill="1" applyBorder="1"/>
    <xf numFmtId="4" fontId="16" fillId="4" borderId="2" xfId="0" applyNumberFormat="1" applyFont="1" applyFill="1" applyBorder="1"/>
    <xf numFmtId="4" fontId="15" fillId="4" borderId="2" xfId="0" applyNumberFormat="1" applyFont="1" applyFill="1" applyBorder="1"/>
    <xf numFmtId="4" fontId="11" fillId="2" borderId="2" xfId="0" applyNumberFormat="1" applyFont="1" applyFill="1" applyBorder="1"/>
    <xf numFmtId="4" fontId="11" fillId="5" borderId="2" xfId="0" applyNumberFormat="1" applyFont="1" applyFill="1" applyBorder="1"/>
    <xf numFmtId="4" fontId="7" fillId="14" borderId="2" xfId="0" applyNumberFormat="1" applyFont="1" applyFill="1" applyBorder="1"/>
    <xf numFmtId="4" fontId="11" fillId="4" borderId="2" xfId="0" applyNumberFormat="1" applyFont="1" applyFill="1" applyBorder="1"/>
    <xf numFmtId="4" fontId="11" fillId="13" borderId="2" xfId="0" applyNumberFormat="1" applyFont="1" applyFill="1" applyBorder="1"/>
    <xf numFmtId="4" fontId="11" fillId="11" borderId="2" xfId="0" applyNumberFormat="1" applyFont="1" applyFill="1" applyBorder="1"/>
    <xf numFmtId="4" fontId="7" fillId="5" borderId="2" xfId="0" applyNumberFormat="1" applyFont="1" applyFill="1" applyBorder="1"/>
    <xf numFmtId="4" fontId="11" fillId="9" borderId="2" xfId="0" applyNumberFormat="1" applyFont="1" applyFill="1" applyBorder="1"/>
    <xf numFmtId="4" fontId="7" fillId="2" borderId="2" xfId="0" applyNumberFormat="1" applyFont="1" applyFill="1" applyBorder="1"/>
    <xf numFmtId="4" fontId="15" fillId="5" borderId="2" xfId="0" applyNumberFormat="1" applyFont="1" applyFill="1" applyBorder="1"/>
    <xf numFmtId="4" fontId="7" fillId="10" borderId="2" xfId="0" applyNumberFormat="1" applyFont="1" applyFill="1" applyBorder="1"/>
    <xf numFmtId="4" fontId="11" fillId="10" borderId="2" xfId="0" applyNumberFormat="1" applyFont="1" applyFill="1" applyBorder="1"/>
    <xf numFmtId="4" fontId="7" fillId="0" borderId="2" xfId="0" applyNumberFormat="1" applyFont="1" applyFill="1" applyBorder="1"/>
    <xf numFmtId="4" fontId="8" fillId="5" borderId="2" xfId="0" applyNumberFormat="1" applyFont="1" applyFill="1" applyBorder="1" applyAlignment="1">
      <alignment horizontal="right"/>
    </xf>
    <xf numFmtId="4" fontId="8" fillId="5" borderId="4" xfId="0" applyNumberFormat="1" applyFont="1" applyFill="1" applyBorder="1" applyAlignment="1">
      <alignment horizontal="right"/>
    </xf>
    <xf numFmtId="4" fontId="15" fillId="8" borderId="2" xfId="0" applyNumberFormat="1" applyFont="1" applyFill="1" applyBorder="1"/>
    <xf numFmtId="0" fontId="8" fillId="3" borderId="6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13" fillId="0" borderId="6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11" fillId="0" borderId="15" xfId="0" applyFont="1" applyBorder="1" applyAlignment="1">
      <alignment horizontal="center" vertical="justify"/>
    </xf>
    <xf numFmtId="0" fontId="13" fillId="0" borderId="8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/>
    </xf>
    <xf numFmtId="0" fontId="16" fillId="3" borderId="4" xfId="0" applyFont="1" applyFill="1" applyBorder="1" applyAlignment="1">
      <alignment horizontal="center"/>
    </xf>
    <xf numFmtId="0" fontId="16" fillId="0" borderId="4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8" fillId="10" borderId="4" xfId="0" applyFont="1" applyFill="1" applyBorder="1" applyAlignment="1">
      <alignment horizontal="center"/>
    </xf>
    <xf numFmtId="0" fontId="13" fillId="10" borderId="4" xfId="0" applyFont="1" applyFill="1" applyBorder="1" applyAlignment="1">
      <alignment horizontal="center"/>
    </xf>
    <xf numFmtId="0" fontId="18" fillId="3" borderId="4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13" fillId="0" borderId="10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 wrapText="1"/>
    </xf>
    <xf numFmtId="49" fontId="13" fillId="6" borderId="11" xfId="1" applyNumberFormat="1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49" fontId="13" fillId="6" borderId="0" xfId="1" applyNumberFormat="1" applyFont="1" applyFill="1" applyBorder="1" applyAlignment="1">
      <alignment horizontal="center"/>
    </xf>
    <xf numFmtId="0" fontId="16" fillId="8" borderId="4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20" fillId="12" borderId="3" xfId="0" applyFont="1" applyFill="1" applyBorder="1"/>
    <xf numFmtId="0" fontId="20" fillId="12" borderId="5" xfId="0" applyFont="1" applyFill="1" applyBorder="1"/>
    <xf numFmtId="0" fontId="13" fillId="12" borderId="4" xfId="0" applyFont="1" applyFill="1" applyBorder="1" applyAlignment="1">
      <alignment horizontal="center"/>
    </xf>
    <xf numFmtId="2" fontId="7" fillId="12" borderId="2" xfId="0" applyNumberFormat="1" applyFont="1" applyFill="1" applyBorder="1"/>
    <xf numFmtId="4" fontId="7" fillId="12" borderId="2" xfId="0" applyNumberFormat="1" applyFont="1" applyFill="1" applyBorder="1"/>
    <xf numFmtId="0" fontId="8" fillId="12" borderId="6" xfId="0" applyFont="1" applyFill="1" applyBorder="1" applyAlignment="1">
      <alignment horizontal="center"/>
    </xf>
    <xf numFmtId="2" fontId="7" fillId="12" borderId="3" xfId="0" applyNumberFormat="1" applyFont="1" applyFill="1" applyBorder="1"/>
    <xf numFmtId="0" fontId="20" fillId="12" borderId="7" xfId="0" applyFont="1" applyFill="1" applyBorder="1"/>
    <xf numFmtId="4" fontId="25" fillId="0" borderId="2" xfId="0" applyNumberFormat="1" applyFont="1" applyFill="1" applyBorder="1"/>
    <xf numFmtId="4" fontId="25" fillId="5" borderId="2" xfId="0" applyNumberFormat="1" applyFont="1" applyFill="1" applyBorder="1"/>
    <xf numFmtId="4" fontId="26" fillId="5" borderId="2" xfId="0" applyNumberFormat="1" applyFont="1" applyFill="1" applyBorder="1"/>
    <xf numFmtId="14" fontId="8" fillId="0" borderId="2" xfId="0" applyNumberFormat="1" applyFont="1" applyFill="1" applyBorder="1"/>
    <xf numFmtId="0" fontId="8" fillId="0" borderId="2" xfId="0" applyFont="1" applyFill="1" applyBorder="1"/>
    <xf numFmtId="0" fontId="7" fillId="0" borderId="0" xfId="0" applyFont="1" applyFill="1" applyAlignment="1">
      <alignment horizontal="right"/>
    </xf>
    <xf numFmtId="0" fontId="12" fillId="0" borderId="0" xfId="0" applyFont="1" applyFill="1" applyAlignment="1">
      <alignment horizontal="center"/>
    </xf>
    <xf numFmtId="0" fontId="11" fillId="0" borderId="0" xfId="0" applyFont="1" applyAlignment="1"/>
    <xf numFmtId="0" fontId="9" fillId="0" borderId="0" xfId="0" applyFont="1" applyFill="1" applyAlignment="1">
      <alignment horizontal="center"/>
    </xf>
    <xf numFmtId="0" fontId="11" fillId="0" borderId="0" xfId="0" applyFont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11" fillId="0" borderId="3" xfId="0" applyFont="1" applyFill="1" applyBorder="1" applyAlignment="1">
      <alignment wrapText="1"/>
    </xf>
    <xf numFmtId="0" fontId="7" fillId="0" borderId="4" xfId="0" applyFont="1" applyFill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7" xfId="0" applyBorder="1" applyAlignment="1">
      <alignment horizontal="center"/>
    </xf>
    <xf numFmtId="4" fontId="8" fillId="0" borderId="14" xfId="0" applyNumberFormat="1" applyFont="1" applyFill="1" applyBorder="1"/>
    <xf numFmtId="4" fontId="8" fillId="0" borderId="0" xfId="0" applyNumberFormat="1" applyFont="1" applyFill="1" applyBorder="1"/>
    <xf numFmtId="4" fontId="8" fillId="0" borderId="2" xfId="0" applyNumberFormat="1" applyFont="1" applyFill="1" applyBorder="1"/>
    <xf numFmtId="4" fontId="13" fillId="12" borderId="2" xfId="0" applyNumberFormat="1" applyFont="1" applyFill="1" applyBorder="1"/>
    <xf numFmtId="4" fontId="13" fillId="2" borderId="2" xfId="0" applyNumberFormat="1" applyFont="1" applyFill="1" applyBorder="1"/>
    <xf numFmtId="4" fontId="8" fillId="12" borderId="2" xfId="0" applyNumberFormat="1" applyFont="1" applyFill="1" applyBorder="1"/>
  </cellXfs>
  <cellStyles count="2">
    <cellStyle name="Normal" xfId="0" builtinId="0"/>
    <cellStyle name="Normal_Anexa F 140 146 10.07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1019"/>
  <sheetViews>
    <sheetView tabSelected="1" workbookViewId="0">
      <pane xSplit="3" ySplit="11" topLeftCell="J894" activePane="bottomRight" state="frozen"/>
      <selection pane="topRight" activeCell="D1" sqref="D1"/>
      <selection pane="bottomLeft" activeCell="A12" sqref="A12"/>
      <selection pane="bottomRight" activeCell="M196" sqref="M196"/>
    </sheetView>
  </sheetViews>
  <sheetFormatPr defaultRowHeight="12.75"/>
  <cols>
    <col min="1" max="1" width="5.140625" style="2" customWidth="1"/>
    <col min="2" max="2" width="49.42578125" style="2" customWidth="1"/>
    <col min="3" max="3" width="10" style="7" customWidth="1"/>
    <col min="4" max="4" width="13.5703125" style="4" hidden="1" customWidth="1"/>
    <col min="5" max="5" width="13.5703125" style="2" hidden="1" customWidth="1"/>
    <col min="6" max="6" width="5.28515625" style="2" hidden="1" customWidth="1"/>
    <col min="7" max="7" width="9.5703125" style="2" hidden="1" customWidth="1"/>
    <col min="8" max="8" width="9.7109375" style="2" hidden="1" customWidth="1"/>
    <col min="9" max="9" width="8" style="2" hidden="1" customWidth="1"/>
    <col min="10" max="10" width="10.7109375" style="2" customWidth="1"/>
    <col min="11" max="11" width="9.85546875" style="2" customWidth="1"/>
    <col min="12" max="12" width="9" style="2" customWidth="1"/>
    <col min="13" max="13" width="9.28515625" style="2" customWidth="1"/>
    <col min="14" max="14" width="8.5703125" style="2" customWidth="1"/>
    <col min="15" max="15" width="10.28515625" style="2" customWidth="1"/>
    <col min="16" max="16" width="10.140625" style="2" customWidth="1"/>
    <col min="17" max="17" width="9.7109375" style="2" customWidth="1"/>
    <col min="18" max="18" width="9.5703125" style="2" bestFit="1" customWidth="1"/>
    <col min="19" max="16384" width="9.140625" style="2"/>
  </cols>
  <sheetData>
    <row r="1" spans="1:22" s="1" customFormat="1" ht="15.75">
      <c r="A1" s="9"/>
      <c r="B1" s="9" t="s">
        <v>0</v>
      </c>
      <c r="C1" s="10"/>
      <c r="D1" s="11"/>
      <c r="E1" s="9"/>
      <c r="F1" s="9"/>
      <c r="G1" s="9"/>
      <c r="H1" s="9"/>
      <c r="I1" s="9"/>
      <c r="J1" s="9"/>
      <c r="K1" s="9"/>
      <c r="L1" s="9"/>
      <c r="M1" s="9"/>
      <c r="N1" s="9"/>
      <c r="O1" s="9" t="s">
        <v>1</v>
      </c>
      <c r="P1" s="9"/>
      <c r="Q1" s="9"/>
    </row>
    <row r="2" spans="1:22" ht="18.75">
      <c r="A2" s="12"/>
      <c r="B2" s="192"/>
      <c r="C2" s="192"/>
      <c r="D2" s="13"/>
      <c r="E2" s="14"/>
      <c r="F2" s="14"/>
      <c r="G2" s="14"/>
      <c r="H2" s="14"/>
      <c r="I2" s="14"/>
      <c r="J2" s="14"/>
      <c r="K2" s="14"/>
      <c r="L2" s="14"/>
      <c r="M2" s="14"/>
      <c r="N2" s="14"/>
      <c r="O2" s="14" t="s">
        <v>542</v>
      </c>
      <c r="P2" s="14"/>
      <c r="Q2" s="14"/>
    </row>
    <row r="3" spans="1:22" ht="18.75">
      <c r="A3" s="12"/>
      <c r="B3" s="15"/>
      <c r="C3" s="16"/>
      <c r="D3" s="13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</row>
    <row r="4" spans="1:22" ht="18.75">
      <c r="A4" s="12"/>
      <c r="B4" s="15"/>
      <c r="C4" s="16"/>
      <c r="D4" s="17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</row>
    <row r="5" spans="1:22" ht="18.75">
      <c r="A5" s="193" t="s">
        <v>2</v>
      </c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  <c r="P5" s="194"/>
      <c r="Q5" s="14"/>
    </row>
    <row r="6" spans="1:22" ht="15.75">
      <c r="A6" s="195" t="s">
        <v>488</v>
      </c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4"/>
    </row>
    <row r="7" spans="1:22" ht="15.75">
      <c r="A7" s="18"/>
      <c r="B7" s="197" t="s">
        <v>572</v>
      </c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194"/>
      <c r="O7" s="194"/>
      <c r="P7" s="194"/>
      <c r="Q7" s="14"/>
    </row>
    <row r="8" spans="1:22">
      <c r="A8" s="18"/>
      <c r="B8" s="19"/>
      <c r="C8" s="20"/>
      <c r="D8" s="13" t="s">
        <v>3</v>
      </c>
      <c r="E8" s="14"/>
      <c r="F8" s="14"/>
      <c r="G8" s="14"/>
      <c r="H8" s="14"/>
      <c r="I8" s="14"/>
      <c r="K8" s="21"/>
      <c r="L8" s="21"/>
      <c r="M8" s="21"/>
      <c r="N8" s="21"/>
      <c r="O8" s="14"/>
      <c r="P8" s="14"/>
      <c r="Q8" s="21" t="s">
        <v>513</v>
      </c>
    </row>
    <row r="9" spans="1:22" ht="49.5" customHeight="1">
      <c r="A9" s="198" t="s">
        <v>4</v>
      </c>
      <c r="B9" s="22" t="s">
        <v>5</v>
      </c>
      <c r="C9" s="23" t="s">
        <v>6</v>
      </c>
      <c r="D9" s="24" t="s">
        <v>476</v>
      </c>
      <c r="E9" s="25" t="s">
        <v>489</v>
      </c>
      <c r="F9" s="25" t="s">
        <v>490</v>
      </c>
      <c r="G9" s="25" t="s">
        <v>477</v>
      </c>
      <c r="H9" s="26"/>
      <c r="I9" s="27" t="s">
        <v>475</v>
      </c>
      <c r="J9" s="28" t="s">
        <v>583</v>
      </c>
      <c r="K9" s="200" t="s">
        <v>584</v>
      </c>
      <c r="L9" s="201"/>
      <c r="M9" s="201"/>
      <c r="N9" s="202"/>
      <c r="O9" s="200" t="s">
        <v>585</v>
      </c>
      <c r="P9" s="201"/>
      <c r="Q9" s="202"/>
    </row>
    <row r="10" spans="1:22" ht="24.75" customHeight="1">
      <c r="A10" s="199"/>
      <c r="B10" s="29"/>
      <c r="C10" s="30"/>
      <c r="D10" s="31"/>
      <c r="E10" s="26"/>
      <c r="F10" s="26"/>
      <c r="G10" s="26"/>
      <c r="H10" s="26"/>
      <c r="I10" s="32">
        <v>2017</v>
      </c>
      <c r="J10" s="178">
        <v>2018</v>
      </c>
      <c r="K10" s="178" t="s">
        <v>7</v>
      </c>
      <c r="L10" s="178" t="s">
        <v>8</v>
      </c>
      <c r="M10" s="178" t="s">
        <v>9</v>
      </c>
      <c r="N10" s="178" t="s">
        <v>10</v>
      </c>
      <c r="O10" s="29" t="s">
        <v>11</v>
      </c>
      <c r="P10" s="29" t="s">
        <v>12</v>
      </c>
      <c r="Q10" s="26" t="s">
        <v>478</v>
      </c>
      <c r="R10" s="4"/>
    </row>
    <row r="11" spans="1:22" ht="14.25">
      <c r="A11" s="78"/>
      <c r="B11" s="79" t="s">
        <v>547</v>
      </c>
      <c r="C11" s="156"/>
      <c r="D11" s="33">
        <f t="shared" ref="D11:Q11" si="0">D14+D17+D37+D70+D92+D12</f>
        <v>370704.21</v>
      </c>
      <c r="E11" s="33">
        <f t="shared" si="0"/>
        <v>369022.75</v>
      </c>
      <c r="F11" s="34">
        <f t="shared" si="0"/>
        <v>363755.74</v>
      </c>
      <c r="G11" s="34">
        <f t="shared" si="0"/>
        <v>346872</v>
      </c>
      <c r="H11" s="35">
        <f t="shared" si="0"/>
        <v>0</v>
      </c>
      <c r="I11" s="33">
        <f t="shared" si="0"/>
        <v>8673</v>
      </c>
      <c r="J11" s="134">
        <f t="shared" si="0"/>
        <v>332471.31</v>
      </c>
      <c r="K11" s="134">
        <f>K14+K17+K37+K70+K92+K12</f>
        <v>99627.31</v>
      </c>
      <c r="L11" s="134">
        <f>L14+L17+L37+L70+L92+L12</f>
        <v>96789</v>
      </c>
      <c r="M11" s="134">
        <f>M14+M17+M37+M70+M92+M12</f>
        <v>84022</v>
      </c>
      <c r="N11" s="134">
        <f>N14+N17+N37+N70+N92+N12</f>
        <v>52033</v>
      </c>
      <c r="O11" s="135">
        <f t="shared" si="0"/>
        <v>398030</v>
      </c>
      <c r="P11" s="135">
        <f t="shared" si="0"/>
        <v>437192</v>
      </c>
      <c r="Q11" s="135">
        <f t="shared" si="0"/>
        <v>390600</v>
      </c>
      <c r="R11" s="4"/>
    </row>
    <row r="12" spans="1:22" ht="14.25">
      <c r="A12" s="75" t="s">
        <v>13</v>
      </c>
      <c r="B12" s="80" t="s">
        <v>14</v>
      </c>
      <c r="C12" s="157">
        <v>1.02</v>
      </c>
      <c r="D12" s="35">
        <f t="shared" ref="D12:Q12" si="1">D13</f>
        <v>163.16999999999999</v>
      </c>
      <c r="E12" s="35">
        <f t="shared" si="1"/>
        <v>180</v>
      </c>
      <c r="F12" s="35">
        <f t="shared" si="1"/>
        <v>178.4</v>
      </c>
      <c r="G12" s="34">
        <f t="shared" si="1"/>
        <v>180</v>
      </c>
      <c r="H12" s="35">
        <f t="shared" si="1"/>
        <v>0</v>
      </c>
      <c r="I12" s="35">
        <f t="shared" si="1"/>
        <v>180</v>
      </c>
      <c r="J12" s="134">
        <f t="shared" si="1"/>
        <v>180</v>
      </c>
      <c r="K12" s="134">
        <f t="shared" si="1"/>
        <v>0</v>
      </c>
      <c r="L12" s="134">
        <f t="shared" si="1"/>
        <v>90</v>
      </c>
      <c r="M12" s="134">
        <f t="shared" si="1"/>
        <v>90</v>
      </c>
      <c r="N12" s="134">
        <f t="shared" si="1"/>
        <v>0</v>
      </c>
      <c r="O12" s="135">
        <f t="shared" si="1"/>
        <v>180</v>
      </c>
      <c r="P12" s="135">
        <f t="shared" si="1"/>
        <v>180</v>
      </c>
      <c r="Q12" s="135">
        <f t="shared" si="1"/>
        <v>180</v>
      </c>
      <c r="R12" s="4"/>
    </row>
    <row r="13" spans="1:22" ht="15">
      <c r="A13" s="75"/>
      <c r="B13" s="81" t="s">
        <v>15</v>
      </c>
      <c r="C13" s="158" t="s">
        <v>16</v>
      </c>
      <c r="D13" s="36">
        <v>163.16999999999999</v>
      </c>
      <c r="E13" s="37">
        <f>177+3</f>
        <v>180</v>
      </c>
      <c r="F13" s="32">
        <v>178.4</v>
      </c>
      <c r="G13" s="38">
        <v>180</v>
      </c>
      <c r="H13" s="32">
        <v>0</v>
      </c>
      <c r="I13" s="37">
        <f>177+3</f>
        <v>180</v>
      </c>
      <c r="J13" s="136">
        <v>180</v>
      </c>
      <c r="K13" s="136">
        <v>0</v>
      </c>
      <c r="L13" s="136">
        <v>90</v>
      </c>
      <c r="M13" s="136">
        <v>90</v>
      </c>
      <c r="N13" s="136"/>
      <c r="O13" s="137">
        <v>180</v>
      </c>
      <c r="P13" s="137">
        <v>180</v>
      </c>
      <c r="Q13" s="137">
        <v>180</v>
      </c>
      <c r="R13" s="4"/>
    </row>
    <row r="14" spans="1:22" ht="14.25">
      <c r="A14" s="75" t="s">
        <v>17</v>
      </c>
      <c r="B14" s="82" t="s">
        <v>18</v>
      </c>
      <c r="C14" s="159">
        <v>4.0199999999999996</v>
      </c>
      <c r="D14" s="40">
        <f t="shared" ref="D14:Q14" si="2">D15+D16</f>
        <v>123531.55</v>
      </c>
      <c r="E14" s="40">
        <f t="shared" si="2"/>
        <v>137770</v>
      </c>
      <c r="F14" s="41">
        <f t="shared" si="2"/>
        <v>142920.71</v>
      </c>
      <c r="G14" s="41">
        <f t="shared" si="2"/>
        <v>100544</v>
      </c>
      <c r="H14" s="40">
        <f t="shared" si="2"/>
        <v>0</v>
      </c>
      <c r="I14" s="40">
        <f t="shared" si="2"/>
        <v>0</v>
      </c>
      <c r="J14" s="138">
        <f t="shared" si="2"/>
        <v>100544</v>
      </c>
      <c r="K14" s="138">
        <f>K15+K16</f>
        <v>36166</v>
      </c>
      <c r="L14" s="138">
        <f>L15+L16</f>
        <v>35533</v>
      </c>
      <c r="M14" s="138">
        <f>M15+M16</f>
        <v>16758</v>
      </c>
      <c r="N14" s="138">
        <f>N15+N16</f>
        <v>12087</v>
      </c>
      <c r="O14" s="139">
        <f t="shared" si="2"/>
        <v>103779</v>
      </c>
      <c r="P14" s="139">
        <f t="shared" si="2"/>
        <v>109683</v>
      </c>
      <c r="Q14" s="139">
        <f t="shared" si="2"/>
        <v>115275</v>
      </c>
      <c r="R14" s="4"/>
    </row>
    <row r="15" spans="1:22" ht="14.25" customHeight="1">
      <c r="A15" s="75"/>
      <c r="B15" s="83" t="s">
        <v>574</v>
      </c>
      <c r="C15" s="47" t="s">
        <v>19</v>
      </c>
      <c r="D15" s="37">
        <v>85548.160000000003</v>
      </c>
      <c r="E15" s="37">
        <v>93824</v>
      </c>
      <c r="F15" s="32">
        <v>98975.56</v>
      </c>
      <c r="G15" s="32">
        <v>71106</v>
      </c>
      <c r="H15" s="32"/>
      <c r="I15" s="37"/>
      <c r="J15" s="137">
        <v>71106</v>
      </c>
      <c r="K15" s="137">
        <f>25000+429+100+500-29+60+106</f>
        <v>26166</v>
      </c>
      <c r="L15" s="137">
        <f>25258+125+50+100</f>
        <v>25533</v>
      </c>
      <c r="M15" s="137">
        <f>11305-175-50-60</f>
        <v>11020</v>
      </c>
      <c r="N15" s="137">
        <f>9114-100-450+29-206</f>
        <v>8387</v>
      </c>
      <c r="O15" s="137">
        <v>75159</v>
      </c>
      <c r="P15" s="137">
        <v>79443</v>
      </c>
      <c r="Q15" s="137">
        <v>83415</v>
      </c>
      <c r="R15" s="4"/>
    </row>
    <row r="16" spans="1:22" ht="12.75" customHeight="1">
      <c r="A16" s="75"/>
      <c r="B16" s="84" t="s">
        <v>575</v>
      </c>
      <c r="C16" s="47" t="s">
        <v>20</v>
      </c>
      <c r="D16" s="37">
        <v>37983.39</v>
      </c>
      <c r="E16" s="37">
        <v>43946</v>
      </c>
      <c r="F16" s="32">
        <v>43945.15</v>
      </c>
      <c r="G16" s="32">
        <v>29438</v>
      </c>
      <c r="H16" s="32"/>
      <c r="I16" s="37"/>
      <c r="J16" s="137">
        <v>29438</v>
      </c>
      <c r="K16" s="137">
        <v>10000</v>
      </c>
      <c r="L16" s="137">
        <v>10000</v>
      </c>
      <c r="M16" s="137">
        <v>5738</v>
      </c>
      <c r="N16" s="137">
        <v>3700</v>
      </c>
      <c r="O16" s="140">
        <v>28620</v>
      </c>
      <c r="P16" s="140">
        <v>30240</v>
      </c>
      <c r="Q16" s="140">
        <v>31860</v>
      </c>
      <c r="R16" s="4"/>
      <c r="S16" s="4"/>
      <c r="T16" s="4"/>
      <c r="U16" s="4"/>
      <c r="V16" s="4"/>
    </row>
    <row r="17" spans="1:18" ht="14.25">
      <c r="A17" s="75" t="s">
        <v>21</v>
      </c>
      <c r="B17" s="82" t="s">
        <v>22</v>
      </c>
      <c r="C17" s="47" t="s">
        <v>23</v>
      </c>
      <c r="D17" s="40">
        <f t="shared" ref="D17:Q17" si="3">D18+D34+D35+D36</f>
        <v>101387.5</v>
      </c>
      <c r="E17" s="40">
        <f t="shared" si="3"/>
        <v>112293</v>
      </c>
      <c r="F17" s="40">
        <f t="shared" si="3"/>
        <v>101964.45</v>
      </c>
      <c r="G17" s="40">
        <f t="shared" si="3"/>
        <v>75580</v>
      </c>
      <c r="H17" s="40">
        <f t="shared" si="3"/>
        <v>0</v>
      </c>
      <c r="I17" s="40">
        <f t="shared" si="3"/>
        <v>1720</v>
      </c>
      <c r="J17" s="139">
        <f t="shared" si="3"/>
        <v>75580</v>
      </c>
      <c r="K17" s="139">
        <f>K18+K34+K35+K36</f>
        <v>21500</v>
      </c>
      <c r="L17" s="139">
        <f>L18+L34+L35+L36</f>
        <v>21500</v>
      </c>
      <c r="M17" s="139">
        <f>M18+M34+M35+M36</f>
        <v>20000</v>
      </c>
      <c r="N17" s="139">
        <f>N18+N34+N35+N36</f>
        <v>12580</v>
      </c>
      <c r="O17" s="139">
        <f t="shared" si="3"/>
        <v>113313</v>
      </c>
      <c r="P17" s="139">
        <f t="shared" si="3"/>
        <v>106496</v>
      </c>
      <c r="Q17" s="139">
        <f t="shared" si="3"/>
        <v>93933</v>
      </c>
      <c r="R17" s="4"/>
    </row>
    <row r="18" spans="1:18" ht="26.25" customHeight="1">
      <c r="A18" s="86">
        <v>1</v>
      </c>
      <c r="B18" s="87" t="s">
        <v>510</v>
      </c>
      <c r="C18" s="47" t="s">
        <v>24</v>
      </c>
      <c r="D18" s="35">
        <f t="shared" ref="D18:N18" si="4">D19+D20+D22+D23+D24+D29+D32+D33+D21</f>
        <v>83783.5</v>
      </c>
      <c r="E18" s="35">
        <f t="shared" si="4"/>
        <v>88017</v>
      </c>
      <c r="F18" s="35">
        <f t="shared" si="4"/>
        <v>77688.45</v>
      </c>
      <c r="G18" s="35">
        <f t="shared" si="4"/>
        <v>64373</v>
      </c>
      <c r="H18" s="35">
        <f t="shared" si="4"/>
        <v>0</v>
      </c>
      <c r="I18" s="35">
        <f t="shared" si="4"/>
        <v>1720</v>
      </c>
      <c r="J18" s="135">
        <f t="shared" si="4"/>
        <v>64373</v>
      </c>
      <c r="K18" s="135">
        <f t="shared" si="4"/>
        <v>19500</v>
      </c>
      <c r="L18" s="135">
        <f t="shared" si="4"/>
        <v>18000</v>
      </c>
      <c r="M18" s="135">
        <f t="shared" si="4"/>
        <v>16500</v>
      </c>
      <c r="N18" s="135">
        <f t="shared" si="4"/>
        <v>10373</v>
      </c>
      <c r="O18" s="135">
        <f>O19+O20+O22+O23+O24+O29+O32+O33+O21</f>
        <v>68101</v>
      </c>
      <c r="P18" s="135">
        <f>P19+P20+P22+P23+P24+P29+P32+P33+P21</f>
        <v>68113</v>
      </c>
      <c r="Q18" s="135">
        <f>Q19+Q20+Q22+Q23+Q24+Q29+Q32+Q33+Q21</f>
        <v>68179</v>
      </c>
      <c r="R18" s="4"/>
    </row>
    <row r="19" spans="1:18" ht="15" customHeight="1">
      <c r="A19" s="86" t="s">
        <v>549</v>
      </c>
      <c r="B19" s="88" t="s">
        <v>25</v>
      </c>
      <c r="C19" s="47" t="s">
        <v>24</v>
      </c>
      <c r="D19" s="37">
        <v>16825.5</v>
      </c>
      <c r="E19" s="37">
        <v>21591</v>
      </c>
      <c r="F19" s="42">
        <v>21591</v>
      </c>
      <c r="G19" s="42">
        <v>21999</v>
      </c>
      <c r="H19" s="42"/>
      <c r="I19" s="42"/>
      <c r="J19" s="137">
        <v>21999</v>
      </c>
      <c r="K19" s="137">
        <f>7000+226+200+3354+200</f>
        <v>10980</v>
      </c>
      <c r="L19" s="137">
        <f>6200+225+1600+200+700</f>
        <v>8925</v>
      </c>
      <c r="M19" s="137">
        <f>5954+226-4486+6-400-300</f>
        <v>1000</v>
      </c>
      <c r="N19" s="137">
        <f>1500-6-400</f>
        <v>1094</v>
      </c>
      <c r="O19" s="137">
        <v>21999</v>
      </c>
      <c r="P19" s="137">
        <v>21999</v>
      </c>
      <c r="Q19" s="137">
        <v>21999</v>
      </c>
      <c r="R19" s="4"/>
    </row>
    <row r="20" spans="1:18" ht="15">
      <c r="A20" s="86" t="s">
        <v>548</v>
      </c>
      <c r="B20" s="89" t="s">
        <v>552</v>
      </c>
      <c r="C20" s="47" t="s">
        <v>24</v>
      </c>
      <c r="D20" s="37">
        <v>22277</v>
      </c>
      <c r="E20" s="37">
        <v>17178</v>
      </c>
      <c r="F20" s="32">
        <v>17178</v>
      </c>
      <c r="G20" s="42">
        <v>17083</v>
      </c>
      <c r="H20" s="42"/>
      <c r="I20" s="42"/>
      <c r="J20" s="137">
        <v>17083</v>
      </c>
      <c r="K20" s="137">
        <f>3000+200</f>
        <v>3200</v>
      </c>
      <c r="L20" s="137">
        <v>3000</v>
      </c>
      <c r="M20" s="137">
        <f>7000+2586-6-200</f>
        <v>9380</v>
      </c>
      <c r="N20" s="137">
        <f>4083-2580</f>
        <v>1503</v>
      </c>
      <c r="O20" s="137">
        <v>17083</v>
      </c>
      <c r="P20" s="137">
        <v>17083</v>
      </c>
      <c r="Q20" s="137">
        <v>17083</v>
      </c>
      <c r="R20" s="4"/>
    </row>
    <row r="21" spans="1:18" ht="15">
      <c r="A21" s="86" t="s">
        <v>26</v>
      </c>
      <c r="B21" s="89" t="s">
        <v>27</v>
      </c>
      <c r="C21" s="47" t="s">
        <v>24</v>
      </c>
      <c r="D21" s="37">
        <v>0</v>
      </c>
      <c r="E21" s="37">
        <v>71</v>
      </c>
      <c r="F21" s="32">
        <v>71</v>
      </c>
      <c r="G21" s="42">
        <v>71</v>
      </c>
      <c r="H21" s="42"/>
      <c r="I21" s="42"/>
      <c r="J21" s="137">
        <v>71</v>
      </c>
      <c r="K21" s="137">
        <v>20</v>
      </c>
      <c r="L21" s="137">
        <v>20</v>
      </c>
      <c r="M21" s="137">
        <v>20</v>
      </c>
      <c r="N21" s="137">
        <v>11</v>
      </c>
      <c r="O21" s="137">
        <v>71</v>
      </c>
      <c r="P21" s="137">
        <v>71</v>
      </c>
      <c r="Q21" s="137">
        <v>71</v>
      </c>
      <c r="R21" s="4"/>
    </row>
    <row r="22" spans="1:18" ht="12" customHeight="1">
      <c r="A22" s="86" t="s">
        <v>28</v>
      </c>
      <c r="B22" s="89" t="s">
        <v>553</v>
      </c>
      <c r="C22" s="47" t="s">
        <v>24</v>
      </c>
      <c r="D22" s="37">
        <v>12539</v>
      </c>
      <c r="E22" s="37">
        <v>14144</v>
      </c>
      <c r="F22" s="42">
        <v>3815.45</v>
      </c>
      <c r="G22" s="42">
        <v>9286</v>
      </c>
      <c r="H22" s="42"/>
      <c r="I22" s="42"/>
      <c r="J22" s="137">
        <v>9286</v>
      </c>
      <c r="K22" s="137">
        <v>1700</v>
      </c>
      <c r="L22" s="137">
        <v>2800</v>
      </c>
      <c r="M22" s="137">
        <v>1800</v>
      </c>
      <c r="N22" s="137">
        <f>1532+1054+400</f>
        <v>2986</v>
      </c>
      <c r="O22" s="137">
        <v>12975</v>
      </c>
      <c r="P22" s="137">
        <v>12949</v>
      </c>
      <c r="Q22" s="137">
        <v>12980</v>
      </c>
      <c r="R22" s="4"/>
    </row>
    <row r="23" spans="1:18" ht="15" hidden="1">
      <c r="A23" s="86" t="s">
        <v>29</v>
      </c>
      <c r="B23" s="89" t="s">
        <v>30</v>
      </c>
      <c r="C23" s="47"/>
      <c r="D23" s="37">
        <v>1404</v>
      </c>
      <c r="E23" s="37">
        <v>1616</v>
      </c>
      <c r="F23" s="32">
        <v>1616</v>
      </c>
      <c r="G23" s="32">
        <v>0</v>
      </c>
      <c r="H23" s="32"/>
      <c r="I23" s="37">
        <v>1616</v>
      </c>
      <c r="J23" s="137">
        <v>0</v>
      </c>
      <c r="K23" s="137">
        <v>0</v>
      </c>
      <c r="L23" s="137">
        <v>0</v>
      </c>
      <c r="M23" s="137">
        <v>0</v>
      </c>
      <c r="N23" s="137">
        <v>0</v>
      </c>
      <c r="O23" s="141">
        <v>0</v>
      </c>
      <c r="P23" s="141">
        <v>0</v>
      </c>
      <c r="Q23" s="141">
        <v>0</v>
      </c>
      <c r="R23" s="4"/>
    </row>
    <row r="24" spans="1:18" ht="15">
      <c r="A24" s="86" t="s">
        <v>31</v>
      </c>
      <c r="B24" s="89" t="s">
        <v>586</v>
      </c>
      <c r="C24" s="47" t="s">
        <v>24</v>
      </c>
      <c r="D24" s="35">
        <f>D25+D26+D27+D28</f>
        <v>17018</v>
      </c>
      <c r="E24" s="35">
        <f t="shared" ref="E24:Q24" si="5">E25+E26+E27+E28</f>
        <v>21573</v>
      </c>
      <c r="F24" s="35">
        <f t="shared" si="5"/>
        <v>21573</v>
      </c>
      <c r="G24" s="35">
        <f t="shared" si="5"/>
        <v>2654</v>
      </c>
      <c r="H24" s="35">
        <f t="shared" si="5"/>
        <v>0</v>
      </c>
      <c r="I24" s="35">
        <f t="shared" si="5"/>
        <v>104</v>
      </c>
      <c r="J24" s="148">
        <f t="shared" si="5"/>
        <v>2654</v>
      </c>
      <c r="K24" s="148">
        <f>K25+K26+K27+K28</f>
        <v>500</v>
      </c>
      <c r="L24" s="148">
        <f>L25+L26+L27+L28</f>
        <v>755</v>
      </c>
      <c r="M24" s="148">
        <f>M25+M26+M27+M28</f>
        <v>700</v>
      </c>
      <c r="N24" s="148">
        <f>N25+N26+N27+N28</f>
        <v>699</v>
      </c>
      <c r="O24" s="148">
        <f t="shared" si="5"/>
        <v>2683</v>
      </c>
      <c r="P24" s="148">
        <f t="shared" si="5"/>
        <v>2712</v>
      </c>
      <c r="Q24" s="148">
        <f t="shared" si="5"/>
        <v>2738</v>
      </c>
      <c r="R24" s="4"/>
    </row>
    <row r="25" spans="1:18" ht="0.75" customHeight="1">
      <c r="A25" s="86"/>
      <c r="B25" s="89" t="s">
        <v>32</v>
      </c>
      <c r="C25" s="47"/>
      <c r="D25" s="37">
        <v>15569</v>
      </c>
      <c r="E25" s="37">
        <v>19173</v>
      </c>
      <c r="F25" s="32">
        <v>19173</v>
      </c>
      <c r="G25" s="42">
        <v>0</v>
      </c>
      <c r="H25" s="42"/>
      <c r="I25" s="42"/>
      <c r="J25" s="137">
        <v>0</v>
      </c>
      <c r="K25" s="137">
        <v>0</v>
      </c>
      <c r="L25" s="137">
        <v>0</v>
      </c>
      <c r="M25" s="137">
        <v>0</v>
      </c>
      <c r="N25" s="137">
        <v>0</v>
      </c>
      <c r="O25" s="137">
        <v>0</v>
      </c>
      <c r="P25" s="137">
        <v>0</v>
      </c>
      <c r="Q25" s="137">
        <v>0</v>
      </c>
      <c r="R25" s="4"/>
    </row>
    <row r="26" spans="1:18" ht="15">
      <c r="A26" s="86"/>
      <c r="B26" s="89" t="s">
        <v>573</v>
      </c>
      <c r="C26" s="47" t="s">
        <v>24</v>
      </c>
      <c r="D26" s="37">
        <v>1152</v>
      </c>
      <c r="E26" s="37">
        <v>1183</v>
      </c>
      <c r="F26" s="32">
        <v>1183</v>
      </c>
      <c r="G26" s="42">
        <v>1272</v>
      </c>
      <c r="H26" s="42"/>
      <c r="I26" s="42"/>
      <c r="J26" s="137">
        <v>1272</v>
      </c>
      <c r="K26" s="137">
        <v>300</v>
      </c>
      <c r="L26" s="137">
        <v>355</v>
      </c>
      <c r="M26" s="137">
        <v>300</v>
      </c>
      <c r="N26" s="137">
        <v>317</v>
      </c>
      <c r="O26" s="137">
        <v>1301</v>
      </c>
      <c r="P26" s="137">
        <v>1330</v>
      </c>
      <c r="Q26" s="137">
        <v>1356</v>
      </c>
      <c r="R26" s="4"/>
    </row>
    <row r="27" spans="1:18" ht="0.75" customHeight="1">
      <c r="A27" s="86"/>
      <c r="B27" s="89" t="s">
        <v>511</v>
      </c>
      <c r="C27" s="47"/>
      <c r="D27" s="37">
        <v>297</v>
      </c>
      <c r="E27" s="37">
        <v>1217</v>
      </c>
      <c r="F27" s="32">
        <v>1217</v>
      </c>
      <c r="G27" s="32"/>
      <c r="H27" s="32"/>
      <c r="I27" s="37">
        <v>104</v>
      </c>
      <c r="J27" s="137"/>
      <c r="K27" s="137"/>
      <c r="L27" s="137"/>
      <c r="M27" s="137"/>
      <c r="N27" s="137"/>
      <c r="O27" s="141"/>
      <c r="P27" s="141"/>
      <c r="Q27" s="141"/>
      <c r="R27" s="4"/>
    </row>
    <row r="28" spans="1:18" ht="26.25" customHeight="1">
      <c r="A28" s="86"/>
      <c r="B28" s="88" t="s">
        <v>512</v>
      </c>
      <c r="C28" s="47" t="s">
        <v>24</v>
      </c>
      <c r="D28" s="37"/>
      <c r="E28" s="37"/>
      <c r="F28" s="32"/>
      <c r="G28" s="32">
        <v>1382</v>
      </c>
      <c r="H28" s="32"/>
      <c r="I28" s="37"/>
      <c r="J28" s="137">
        <v>1382</v>
      </c>
      <c r="K28" s="137">
        <v>200</v>
      </c>
      <c r="L28" s="137">
        <v>400</v>
      </c>
      <c r="M28" s="137">
        <v>400</v>
      </c>
      <c r="N28" s="137">
        <v>382</v>
      </c>
      <c r="O28" s="140">
        <v>1382</v>
      </c>
      <c r="P28" s="140">
        <v>1382</v>
      </c>
      <c r="Q28" s="140">
        <v>1382</v>
      </c>
      <c r="R28" s="4"/>
    </row>
    <row r="29" spans="1:18" ht="15">
      <c r="A29" s="86" t="s">
        <v>550</v>
      </c>
      <c r="B29" s="89" t="s">
        <v>33</v>
      </c>
      <c r="C29" s="47" t="s">
        <v>24</v>
      </c>
      <c r="D29" s="35">
        <f t="shared" ref="D29:Q29" si="6">D30+D31</f>
        <v>10034</v>
      </c>
      <c r="E29" s="35">
        <f t="shared" si="6"/>
        <v>11655</v>
      </c>
      <c r="F29" s="35">
        <f t="shared" si="6"/>
        <v>11655</v>
      </c>
      <c r="G29" s="35">
        <f t="shared" si="6"/>
        <v>13055</v>
      </c>
      <c r="H29" s="35">
        <f t="shared" si="6"/>
        <v>0</v>
      </c>
      <c r="I29" s="35">
        <f t="shared" si="6"/>
        <v>0</v>
      </c>
      <c r="J29" s="135">
        <f t="shared" si="6"/>
        <v>13055</v>
      </c>
      <c r="K29" s="135">
        <f>K30+K31</f>
        <v>3100</v>
      </c>
      <c r="L29" s="135">
        <f>L30+L31</f>
        <v>2500</v>
      </c>
      <c r="M29" s="135">
        <f>M30+M31</f>
        <v>3600</v>
      </c>
      <c r="N29" s="135">
        <f>N30+N31</f>
        <v>3855</v>
      </c>
      <c r="O29" s="142">
        <f t="shared" si="6"/>
        <v>13055</v>
      </c>
      <c r="P29" s="142">
        <f t="shared" si="6"/>
        <v>13055</v>
      </c>
      <c r="Q29" s="142">
        <f t="shared" si="6"/>
        <v>13055</v>
      </c>
      <c r="R29" s="4"/>
    </row>
    <row r="30" spans="1:18" ht="15">
      <c r="A30" s="86"/>
      <c r="B30" s="89" t="s">
        <v>34</v>
      </c>
      <c r="C30" s="47" t="s">
        <v>24</v>
      </c>
      <c r="D30" s="37">
        <v>9934</v>
      </c>
      <c r="E30" s="37">
        <v>11455</v>
      </c>
      <c r="F30" s="32">
        <v>11455</v>
      </c>
      <c r="G30" s="32">
        <v>12855</v>
      </c>
      <c r="H30" s="32"/>
      <c r="I30" s="37"/>
      <c r="J30" s="137">
        <v>12855</v>
      </c>
      <c r="K30" s="137">
        <f>2600+500</f>
        <v>3100</v>
      </c>
      <c r="L30" s="137">
        <f>2800-300</f>
        <v>2500</v>
      </c>
      <c r="M30" s="137">
        <f>3800-200</f>
        <v>3600</v>
      </c>
      <c r="N30" s="137">
        <v>3655</v>
      </c>
      <c r="O30" s="140">
        <v>12855</v>
      </c>
      <c r="P30" s="140">
        <v>12855</v>
      </c>
      <c r="Q30" s="140">
        <v>12855</v>
      </c>
      <c r="R30" s="4"/>
    </row>
    <row r="31" spans="1:18" ht="15">
      <c r="A31" s="86"/>
      <c r="B31" s="89" t="s">
        <v>35</v>
      </c>
      <c r="C31" s="47" t="s">
        <v>24</v>
      </c>
      <c r="D31" s="37">
        <v>100</v>
      </c>
      <c r="E31" s="37">
        <v>200</v>
      </c>
      <c r="F31" s="32">
        <v>200</v>
      </c>
      <c r="G31" s="32">
        <v>200</v>
      </c>
      <c r="H31" s="32"/>
      <c r="I31" s="37"/>
      <c r="J31" s="137">
        <v>200</v>
      </c>
      <c r="K31" s="137"/>
      <c r="L31" s="137"/>
      <c r="M31" s="137"/>
      <c r="N31" s="137">
        <v>200</v>
      </c>
      <c r="O31" s="140">
        <v>200</v>
      </c>
      <c r="P31" s="140">
        <v>200</v>
      </c>
      <c r="Q31" s="140">
        <v>200</v>
      </c>
      <c r="R31" s="4"/>
    </row>
    <row r="32" spans="1:18" ht="17.25" customHeight="1">
      <c r="A32" s="86" t="s">
        <v>36</v>
      </c>
      <c r="B32" s="89" t="s">
        <v>37</v>
      </c>
      <c r="C32" s="47" t="s">
        <v>24</v>
      </c>
      <c r="D32" s="37">
        <v>100</v>
      </c>
      <c r="E32" s="37">
        <f>217-28</f>
        <v>189</v>
      </c>
      <c r="F32" s="32">
        <v>189</v>
      </c>
      <c r="G32" s="32">
        <v>225</v>
      </c>
      <c r="H32" s="32"/>
      <c r="I32" s="37"/>
      <c r="J32" s="137">
        <v>225</v>
      </c>
      <c r="K32" s="137">
        <v>0</v>
      </c>
      <c r="L32" s="137">
        <v>0</v>
      </c>
      <c r="M32" s="137">
        <v>0</v>
      </c>
      <c r="N32" s="137">
        <v>225</v>
      </c>
      <c r="O32" s="140">
        <f>62+172+1</f>
        <v>235</v>
      </c>
      <c r="P32" s="140">
        <f>71+172+1</f>
        <v>244</v>
      </c>
      <c r="Q32" s="140">
        <f>80+172+1</f>
        <v>253</v>
      </c>
      <c r="R32" s="4"/>
    </row>
    <row r="33" spans="1:21" ht="0.75" customHeight="1">
      <c r="A33" s="86" t="s">
        <v>38</v>
      </c>
      <c r="B33" s="88" t="s">
        <v>39</v>
      </c>
      <c r="C33" s="47"/>
      <c r="D33" s="37">
        <v>3586</v>
      </c>
      <c r="E33" s="37"/>
      <c r="F33" s="32"/>
      <c r="G33" s="32"/>
      <c r="H33" s="32"/>
      <c r="I33" s="37"/>
      <c r="J33" s="137"/>
      <c r="K33" s="137"/>
      <c r="L33" s="137"/>
      <c r="M33" s="137"/>
      <c r="N33" s="137"/>
      <c r="O33" s="137"/>
      <c r="P33" s="137"/>
      <c r="Q33" s="137"/>
      <c r="R33" s="4"/>
    </row>
    <row r="34" spans="1:21" ht="14.25">
      <c r="A34" s="90">
        <v>2</v>
      </c>
      <c r="B34" s="82" t="s">
        <v>40</v>
      </c>
      <c r="C34" s="47" t="s">
        <v>41</v>
      </c>
      <c r="D34" s="44"/>
      <c r="E34" s="44">
        <v>7112</v>
      </c>
      <c r="F34" s="32">
        <v>7112</v>
      </c>
      <c r="G34" s="32">
        <v>11207</v>
      </c>
      <c r="H34" s="32"/>
      <c r="I34" s="44"/>
      <c r="J34" s="137">
        <v>11207</v>
      </c>
      <c r="K34" s="137">
        <v>2000</v>
      </c>
      <c r="L34" s="137">
        <v>3500</v>
      </c>
      <c r="M34" s="137">
        <v>3500</v>
      </c>
      <c r="N34" s="137">
        <v>2207</v>
      </c>
      <c r="O34" s="137">
        <v>12452</v>
      </c>
      <c r="P34" s="137">
        <v>12452</v>
      </c>
      <c r="Q34" s="137">
        <v>12452</v>
      </c>
      <c r="R34" s="4"/>
      <c r="S34" s="4"/>
      <c r="T34" s="4"/>
      <c r="U34" s="4"/>
    </row>
    <row r="35" spans="1:21" ht="14.25">
      <c r="A35" s="90">
        <v>3</v>
      </c>
      <c r="B35" s="82" t="s">
        <v>42</v>
      </c>
      <c r="C35" s="47" t="s">
        <v>43</v>
      </c>
      <c r="D35" s="44">
        <v>17604</v>
      </c>
      <c r="E35" s="44">
        <v>17164</v>
      </c>
      <c r="F35" s="32">
        <v>17164</v>
      </c>
      <c r="G35" s="32"/>
      <c r="H35" s="32"/>
      <c r="I35" s="44"/>
      <c r="J35" s="137"/>
      <c r="K35" s="137"/>
      <c r="L35" s="137"/>
      <c r="M35" s="137"/>
      <c r="N35" s="137"/>
      <c r="O35" s="140">
        <v>32760</v>
      </c>
      <c r="P35" s="140">
        <v>25931</v>
      </c>
      <c r="Q35" s="140">
        <v>13302</v>
      </c>
      <c r="R35" s="4"/>
      <c r="S35" s="4"/>
      <c r="T35" s="4"/>
      <c r="U35" s="4"/>
    </row>
    <row r="36" spans="1:21" ht="14.25" hidden="1" customHeight="1">
      <c r="A36" s="90"/>
      <c r="B36" s="89"/>
      <c r="C36" s="47"/>
      <c r="D36" s="37"/>
      <c r="E36" s="37"/>
      <c r="F36" s="32"/>
      <c r="G36" s="32"/>
      <c r="H36" s="32"/>
      <c r="I36" s="37"/>
      <c r="J36" s="137"/>
      <c r="K36" s="137"/>
      <c r="L36" s="137"/>
      <c r="M36" s="137"/>
      <c r="N36" s="137"/>
      <c r="O36" s="137"/>
      <c r="P36" s="137"/>
      <c r="Q36" s="137"/>
      <c r="R36" s="4"/>
    </row>
    <row r="37" spans="1:21" ht="14.25">
      <c r="A37" s="75" t="s">
        <v>44</v>
      </c>
      <c r="B37" s="82" t="s">
        <v>551</v>
      </c>
      <c r="C37" s="159"/>
      <c r="D37" s="40">
        <f t="shared" ref="D37:N37" si="7">D38+D42+D49+D56+D59+D64+D54+D67</f>
        <v>8189.54</v>
      </c>
      <c r="E37" s="40">
        <f t="shared" si="7"/>
        <v>7704.75</v>
      </c>
      <c r="F37" s="40">
        <f t="shared" si="7"/>
        <v>7857</v>
      </c>
      <c r="G37" s="40">
        <f t="shared" si="7"/>
        <v>10020</v>
      </c>
      <c r="H37" s="40">
        <f t="shared" si="7"/>
        <v>0</v>
      </c>
      <c r="I37" s="40">
        <f t="shared" si="7"/>
        <v>6218</v>
      </c>
      <c r="J37" s="139">
        <f t="shared" si="7"/>
        <v>10215.31</v>
      </c>
      <c r="K37" s="139">
        <f t="shared" si="7"/>
        <v>2704.31</v>
      </c>
      <c r="L37" s="139">
        <f t="shared" si="7"/>
        <v>2504</v>
      </c>
      <c r="M37" s="139">
        <f t="shared" si="7"/>
        <v>2503</v>
      </c>
      <c r="N37" s="139">
        <f t="shared" si="7"/>
        <v>2504</v>
      </c>
      <c r="O37" s="139">
        <f>O38+O42+O49+O56+O59+O64+O54+O67</f>
        <v>10098</v>
      </c>
      <c r="P37" s="139">
        <f>P38+P42+P49+P56+P59+P64+P54+P67</f>
        <v>10106</v>
      </c>
      <c r="Q37" s="139">
        <f>Q38+Q42+Q49+Q56+Q59+Q64+Q54+Q67</f>
        <v>10172</v>
      </c>
      <c r="R37" s="4"/>
    </row>
    <row r="38" spans="1:21" ht="14.25">
      <c r="A38" s="90">
        <v>1</v>
      </c>
      <c r="B38" s="82" t="s">
        <v>45</v>
      </c>
      <c r="C38" s="47">
        <v>16.02</v>
      </c>
      <c r="D38" s="45">
        <f t="shared" ref="D38:Q38" si="8">D39+D41+D40</f>
        <v>2466.8199999999997</v>
      </c>
      <c r="E38" s="45">
        <f t="shared" si="8"/>
        <v>2183</v>
      </c>
      <c r="F38" s="45">
        <f t="shared" si="8"/>
        <v>2119.08</v>
      </c>
      <c r="G38" s="45">
        <f t="shared" si="8"/>
        <v>2750</v>
      </c>
      <c r="H38" s="45">
        <f t="shared" si="8"/>
        <v>0</v>
      </c>
      <c r="I38" s="45">
        <f t="shared" si="8"/>
        <v>2058</v>
      </c>
      <c r="J38" s="143">
        <f t="shared" si="8"/>
        <v>2750</v>
      </c>
      <c r="K38" s="143">
        <f>K39+K41+K40</f>
        <v>687</v>
      </c>
      <c r="L38" s="143">
        <f>L39+L41+L40</f>
        <v>688</v>
      </c>
      <c r="M38" s="143">
        <f>M39+M41+M40</f>
        <v>687</v>
      </c>
      <c r="N38" s="143">
        <f>N39+N41+N40</f>
        <v>688</v>
      </c>
      <c r="O38" s="143">
        <f t="shared" si="8"/>
        <v>2760</v>
      </c>
      <c r="P38" s="143">
        <f t="shared" si="8"/>
        <v>2770</v>
      </c>
      <c r="Q38" s="143">
        <f t="shared" si="8"/>
        <v>2780</v>
      </c>
      <c r="R38" s="4"/>
    </row>
    <row r="39" spans="1:21" ht="15">
      <c r="A39" s="90"/>
      <c r="B39" s="89" t="s">
        <v>46</v>
      </c>
      <c r="C39" s="47" t="s">
        <v>47</v>
      </c>
      <c r="D39" s="37">
        <v>103.09</v>
      </c>
      <c r="E39" s="37">
        <v>108</v>
      </c>
      <c r="F39" s="32">
        <v>120.78</v>
      </c>
      <c r="G39" s="32">
        <v>250</v>
      </c>
      <c r="H39" s="32"/>
      <c r="I39" s="37">
        <v>108</v>
      </c>
      <c r="J39" s="137">
        <v>250</v>
      </c>
      <c r="K39" s="137">
        <v>62</v>
      </c>
      <c r="L39" s="137">
        <v>63</v>
      </c>
      <c r="M39" s="137">
        <v>62</v>
      </c>
      <c r="N39" s="137">
        <v>63</v>
      </c>
      <c r="O39" s="137">
        <v>260</v>
      </c>
      <c r="P39" s="137">
        <v>270</v>
      </c>
      <c r="Q39" s="137">
        <v>280</v>
      </c>
      <c r="R39" s="4"/>
    </row>
    <row r="40" spans="1:21" ht="15">
      <c r="A40" s="90"/>
      <c r="B40" s="89" t="s">
        <v>48</v>
      </c>
      <c r="C40" s="47" t="s">
        <v>49</v>
      </c>
      <c r="D40" s="37">
        <v>1822.32</v>
      </c>
      <c r="E40" s="37">
        <v>1975</v>
      </c>
      <c r="F40" s="32">
        <v>1949.64</v>
      </c>
      <c r="G40" s="32">
        <v>2400</v>
      </c>
      <c r="H40" s="32"/>
      <c r="I40" s="37">
        <v>1850</v>
      </c>
      <c r="J40" s="137">
        <v>2400</v>
      </c>
      <c r="K40" s="137">
        <v>600</v>
      </c>
      <c r="L40" s="137">
        <v>600</v>
      </c>
      <c r="M40" s="137">
        <v>600</v>
      </c>
      <c r="N40" s="137">
        <v>600</v>
      </c>
      <c r="O40" s="137">
        <v>2400</v>
      </c>
      <c r="P40" s="137">
        <v>2400</v>
      </c>
      <c r="Q40" s="137">
        <v>2400</v>
      </c>
      <c r="R40" s="4"/>
    </row>
    <row r="41" spans="1:21" ht="15">
      <c r="A41" s="90"/>
      <c r="B41" s="89" t="s">
        <v>50</v>
      </c>
      <c r="C41" s="47" t="s">
        <v>51</v>
      </c>
      <c r="D41" s="37">
        <v>541.41</v>
      </c>
      <c r="E41" s="37">
        <v>100</v>
      </c>
      <c r="F41" s="32">
        <v>48.66</v>
      </c>
      <c r="G41" s="32">
        <v>100</v>
      </c>
      <c r="H41" s="32"/>
      <c r="I41" s="37">
        <v>100</v>
      </c>
      <c r="J41" s="137">
        <v>100</v>
      </c>
      <c r="K41" s="137">
        <v>25</v>
      </c>
      <c r="L41" s="137">
        <v>25</v>
      </c>
      <c r="M41" s="137">
        <v>25</v>
      </c>
      <c r="N41" s="137">
        <v>25</v>
      </c>
      <c r="O41" s="137">
        <v>100</v>
      </c>
      <c r="P41" s="137">
        <v>100</v>
      </c>
      <c r="Q41" s="137">
        <v>100</v>
      </c>
      <c r="R41" s="4"/>
    </row>
    <row r="42" spans="1:21" ht="12" customHeight="1">
      <c r="A42" s="90">
        <v>2</v>
      </c>
      <c r="B42" s="82" t="s">
        <v>52</v>
      </c>
      <c r="C42" s="47" t="s">
        <v>53</v>
      </c>
      <c r="D42" s="45">
        <f t="shared" ref="D42:Q42" si="9">D43+D44+D45+D46+D47</f>
        <v>4063.4300000000003</v>
      </c>
      <c r="E42" s="45">
        <f t="shared" si="9"/>
        <v>4145</v>
      </c>
      <c r="F42" s="45">
        <f t="shared" si="9"/>
        <v>3893.27</v>
      </c>
      <c r="G42" s="45">
        <f t="shared" si="9"/>
        <v>4246</v>
      </c>
      <c r="H42" s="45">
        <f t="shared" si="9"/>
        <v>0</v>
      </c>
      <c r="I42" s="45">
        <f t="shared" si="9"/>
        <v>4145</v>
      </c>
      <c r="J42" s="143">
        <f t="shared" si="9"/>
        <v>4246</v>
      </c>
      <c r="K42" s="143">
        <f t="shared" si="9"/>
        <v>1116</v>
      </c>
      <c r="L42" s="143">
        <f t="shared" si="9"/>
        <v>1110</v>
      </c>
      <c r="M42" s="143">
        <f t="shared" si="9"/>
        <v>1010</v>
      </c>
      <c r="N42" s="143">
        <f t="shared" si="9"/>
        <v>1010</v>
      </c>
      <c r="O42" s="143">
        <f t="shared" si="9"/>
        <v>4250</v>
      </c>
      <c r="P42" s="143">
        <f t="shared" si="9"/>
        <v>4260</v>
      </c>
      <c r="Q42" s="143">
        <f t="shared" si="9"/>
        <v>4270</v>
      </c>
      <c r="R42" s="4"/>
    </row>
    <row r="43" spans="1:21" ht="15.75" hidden="1" customHeight="1">
      <c r="A43" s="90"/>
      <c r="B43" s="89" t="s">
        <v>54</v>
      </c>
      <c r="C43" s="47" t="s">
        <v>55</v>
      </c>
      <c r="D43" s="37"/>
      <c r="E43" s="37">
        <v>0</v>
      </c>
      <c r="F43" s="32"/>
      <c r="G43" s="32"/>
      <c r="H43" s="32"/>
      <c r="I43" s="37">
        <v>0</v>
      </c>
      <c r="J43" s="137"/>
      <c r="K43" s="137"/>
      <c r="L43" s="137"/>
      <c r="M43" s="137"/>
      <c r="N43" s="137"/>
      <c r="O43" s="137"/>
      <c r="P43" s="137"/>
      <c r="Q43" s="137"/>
      <c r="R43" s="4"/>
    </row>
    <row r="44" spans="1:21" ht="16.5" hidden="1" customHeight="1">
      <c r="A44" s="90"/>
      <c r="B44" s="89" t="s">
        <v>56</v>
      </c>
      <c r="C44" s="47" t="s">
        <v>57</v>
      </c>
      <c r="D44" s="37"/>
      <c r="E44" s="37">
        <v>0</v>
      </c>
      <c r="F44" s="32"/>
      <c r="G44" s="32"/>
      <c r="H44" s="32"/>
      <c r="I44" s="37">
        <v>0</v>
      </c>
      <c r="J44" s="137"/>
      <c r="K44" s="137"/>
      <c r="L44" s="137"/>
      <c r="M44" s="137"/>
      <c r="N44" s="137"/>
      <c r="O44" s="137"/>
      <c r="P44" s="137"/>
      <c r="Q44" s="137"/>
      <c r="R44" s="4"/>
    </row>
    <row r="45" spans="1:21" ht="16.5" customHeight="1">
      <c r="A45" s="90"/>
      <c r="B45" s="89" t="s">
        <v>58</v>
      </c>
      <c r="C45" s="47" t="s">
        <v>59</v>
      </c>
      <c r="D45" s="37">
        <v>4022.13</v>
      </c>
      <c r="E45" s="37">
        <v>4100</v>
      </c>
      <c r="F45" s="32">
        <v>3846.46</v>
      </c>
      <c r="G45" s="32">
        <v>4200</v>
      </c>
      <c r="H45" s="32"/>
      <c r="I45" s="37">
        <v>4100</v>
      </c>
      <c r="J45" s="137">
        <v>4200</v>
      </c>
      <c r="K45" s="137">
        <v>1100</v>
      </c>
      <c r="L45" s="137">
        <v>1100</v>
      </c>
      <c r="M45" s="137">
        <v>1000</v>
      </c>
      <c r="N45" s="137">
        <v>1000</v>
      </c>
      <c r="O45" s="137">
        <v>4200</v>
      </c>
      <c r="P45" s="137">
        <v>4200</v>
      </c>
      <c r="Q45" s="137">
        <v>4200</v>
      </c>
      <c r="R45" s="4"/>
    </row>
    <row r="46" spans="1:21" ht="12.75" hidden="1" customHeight="1">
      <c r="A46" s="90"/>
      <c r="B46" s="89" t="s">
        <v>60</v>
      </c>
      <c r="C46" s="47" t="s">
        <v>61</v>
      </c>
      <c r="D46" s="37">
        <v>0</v>
      </c>
      <c r="E46" s="37">
        <v>0</v>
      </c>
      <c r="F46" s="32"/>
      <c r="G46" s="32"/>
      <c r="H46" s="32"/>
      <c r="I46" s="37">
        <v>0</v>
      </c>
      <c r="J46" s="137"/>
      <c r="K46" s="137"/>
      <c r="L46" s="137"/>
      <c r="M46" s="137"/>
      <c r="N46" s="137"/>
      <c r="O46" s="137"/>
      <c r="P46" s="137"/>
      <c r="Q46" s="137"/>
      <c r="R46" s="4"/>
    </row>
    <row r="47" spans="1:21" ht="15" customHeight="1">
      <c r="A47" s="90"/>
      <c r="B47" s="89" t="s">
        <v>62</v>
      </c>
      <c r="C47" s="47" t="s">
        <v>63</v>
      </c>
      <c r="D47" s="45">
        <f t="shared" ref="D47:Q47" si="10">D48</f>
        <v>41.3</v>
      </c>
      <c r="E47" s="45">
        <f t="shared" si="10"/>
        <v>45</v>
      </c>
      <c r="F47" s="45">
        <f t="shared" si="10"/>
        <v>46.81</v>
      </c>
      <c r="G47" s="45">
        <f t="shared" si="10"/>
        <v>46</v>
      </c>
      <c r="H47" s="45">
        <f t="shared" si="10"/>
        <v>0</v>
      </c>
      <c r="I47" s="45">
        <f t="shared" si="10"/>
        <v>45</v>
      </c>
      <c r="J47" s="143">
        <f t="shared" si="10"/>
        <v>46</v>
      </c>
      <c r="K47" s="143">
        <f t="shared" si="10"/>
        <v>16</v>
      </c>
      <c r="L47" s="143">
        <f t="shared" si="10"/>
        <v>10</v>
      </c>
      <c r="M47" s="143">
        <f t="shared" si="10"/>
        <v>10</v>
      </c>
      <c r="N47" s="143">
        <f t="shared" si="10"/>
        <v>10</v>
      </c>
      <c r="O47" s="143">
        <f t="shared" si="10"/>
        <v>50</v>
      </c>
      <c r="P47" s="143">
        <f t="shared" si="10"/>
        <v>60</v>
      </c>
      <c r="Q47" s="143">
        <f t="shared" si="10"/>
        <v>70</v>
      </c>
      <c r="R47" s="4"/>
    </row>
    <row r="48" spans="1:21" ht="12.75" customHeight="1">
      <c r="A48" s="90"/>
      <c r="B48" s="89" t="s">
        <v>64</v>
      </c>
      <c r="C48" s="47" t="s">
        <v>65</v>
      </c>
      <c r="D48" s="37">
        <v>41.3</v>
      </c>
      <c r="E48" s="37">
        <v>45</v>
      </c>
      <c r="F48" s="32">
        <v>46.81</v>
      </c>
      <c r="G48" s="32">
        <v>46</v>
      </c>
      <c r="H48" s="32"/>
      <c r="I48" s="37">
        <v>45</v>
      </c>
      <c r="J48" s="137">
        <v>46</v>
      </c>
      <c r="K48" s="137">
        <v>16</v>
      </c>
      <c r="L48" s="137">
        <v>10</v>
      </c>
      <c r="M48" s="137">
        <v>10</v>
      </c>
      <c r="N48" s="137">
        <v>10</v>
      </c>
      <c r="O48" s="137">
        <v>50</v>
      </c>
      <c r="P48" s="137">
        <v>60</v>
      </c>
      <c r="Q48" s="137">
        <v>70</v>
      </c>
      <c r="R48" s="4"/>
    </row>
    <row r="49" spans="1:18" ht="14.25">
      <c r="A49" s="90">
        <v>3</v>
      </c>
      <c r="B49" s="82" t="s">
        <v>66</v>
      </c>
      <c r="C49" s="47">
        <v>33.020000000000003</v>
      </c>
      <c r="D49" s="45">
        <f>D51+D52+D53+D50</f>
        <v>13.350000000000001</v>
      </c>
      <c r="E49" s="45">
        <f t="shared" ref="E49:Q49" si="11">E51+E52+E53+E50</f>
        <v>1166</v>
      </c>
      <c r="F49" s="45">
        <f t="shared" si="11"/>
        <v>1033.46</v>
      </c>
      <c r="G49" s="45">
        <f t="shared" si="11"/>
        <v>3024</v>
      </c>
      <c r="H49" s="45">
        <f t="shared" si="11"/>
        <v>0</v>
      </c>
      <c r="I49" s="45">
        <f t="shared" si="11"/>
        <v>15</v>
      </c>
      <c r="J49" s="143">
        <f t="shared" si="11"/>
        <v>3024</v>
      </c>
      <c r="K49" s="143">
        <f>K51+K52+K53+K50</f>
        <v>706</v>
      </c>
      <c r="L49" s="143">
        <f>L51+L52+L53+L50</f>
        <v>706</v>
      </c>
      <c r="M49" s="143">
        <f>M51+M52+M53+M50</f>
        <v>806</v>
      </c>
      <c r="N49" s="143">
        <f>N51+N52+N53+N50</f>
        <v>806</v>
      </c>
      <c r="O49" s="143">
        <f t="shared" si="11"/>
        <v>3088</v>
      </c>
      <c r="P49" s="143">
        <f t="shared" si="11"/>
        <v>3076</v>
      </c>
      <c r="Q49" s="143">
        <f t="shared" si="11"/>
        <v>3122</v>
      </c>
      <c r="R49" s="4"/>
    </row>
    <row r="50" spans="1:18" ht="15">
      <c r="A50" s="90"/>
      <c r="B50" s="89" t="s">
        <v>479</v>
      </c>
      <c r="C50" s="47" t="s">
        <v>480</v>
      </c>
      <c r="D50" s="45"/>
      <c r="E50" s="45">
        <v>1136</v>
      </c>
      <c r="F50" s="45">
        <v>1011.91</v>
      </c>
      <c r="G50" s="45">
        <v>3000</v>
      </c>
      <c r="H50" s="45"/>
      <c r="I50" s="45"/>
      <c r="J50" s="140">
        <v>3000</v>
      </c>
      <c r="K50" s="140">
        <v>700</v>
      </c>
      <c r="L50" s="140">
        <v>700</v>
      </c>
      <c r="M50" s="140">
        <v>800</v>
      </c>
      <c r="N50" s="140">
        <v>800</v>
      </c>
      <c r="O50" s="140">
        <v>3058</v>
      </c>
      <c r="P50" s="140">
        <v>3036</v>
      </c>
      <c r="Q50" s="140">
        <v>3072</v>
      </c>
      <c r="R50" s="4"/>
    </row>
    <row r="51" spans="1:18" ht="15">
      <c r="A51" s="90"/>
      <c r="B51" s="89" t="s">
        <v>67</v>
      </c>
      <c r="C51" s="47" t="s">
        <v>68</v>
      </c>
      <c r="D51" s="37">
        <v>10.65</v>
      </c>
      <c r="E51" s="37">
        <v>12</v>
      </c>
      <c r="F51" s="32">
        <v>9.6999999999999993</v>
      </c>
      <c r="G51" s="32">
        <v>12</v>
      </c>
      <c r="H51" s="32"/>
      <c r="I51" s="37">
        <v>12</v>
      </c>
      <c r="J51" s="137">
        <v>12</v>
      </c>
      <c r="K51" s="137">
        <v>3</v>
      </c>
      <c r="L51" s="137">
        <v>3</v>
      </c>
      <c r="M51" s="137">
        <v>3</v>
      </c>
      <c r="N51" s="137">
        <v>3</v>
      </c>
      <c r="O51" s="137">
        <v>15</v>
      </c>
      <c r="P51" s="137">
        <v>20</v>
      </c>
      <c r="Q51" s="137">
        <v>25</v>
      </c>
      <c r="R51" s="4"/>
    </row>
    <row r="52" spans="1:18" ht="15" hidden="1">
      <c r="A52" s="90"/>
      <c r="B52" s="89" t="s">
        <v>69</v>
      </c>
      <c r="C52" s="47" t="s">
        <v>70</v>
      </c>
      <c r="D52" s="37"/>
      <c r="E52" s="37">
        <v>0</v>
      </c>
      <c r="F52" s="32"/>
      <c r="G52" s="32"/>
      <c r="H52" s="32"/>
      <c r="I52" s="37">
        <v>0</v>
      </c>
      <c r="J52" s="137"/>
      <c r="K52" s="137"/>
      <c r="L52" s="137"/>
      <c r="M52" s="137"/>
      <c r="N52" s="137"/>
      <c r="O52" s="137"/>
      <c r="P52" s="137"/>
      <c r="Q52" s="137"/>
      <c r="R52" s="4"/>
    </row>
    <row r="53" spans="1:18" ht="14.25" customHeight="1">
      <c r="A53" s="90"/>
      <c r="B53" s="89" t="s">
        <v>66</v>
      </c>
      <c r="C53" s="47" t="s">
        <v>71</v>
      </c>
      <c r="D53" s="37">
        <v>2.7</v>
      </c>
      <c r="E53" s="37">
        <v>18</v>
      </c>
      <c r="F53" s="32">
        <v>11.85</v>
      </c>
      <c r="G53" s="32">
        <v>12</v>
      </c>
      <c r="H53" s="32"/>
      <c r="I53" s="37">
        <v>3</v>
      </c>
      <c r="J53" s="137">
        <v>12</v>
      </c>
      <c r="K53" s="137">
        <v>3</v>
      </c>
      <c r="L53" s="137">
        <v>3</v>
      </c>
      <c r="M53" s="137">
        <v>3</v>
      </c>
      <c r="N53" s="137">
        <v>3</v>
      </c>
      <c r="O53" s="137">
        <v>15</v>
      </c>
      <c r="P53" s="137">
        <v>20</v>
      </c>
      <c r="Q53" s="137">
        <v>25</v>
      </c>
      <c r="R53" s="4"/>
    </row>
    <row r="54" spans="1:18" ht="14.25" customHeight="1">
      <c r="A54" s="90">
        <v>4</v>
      </c>
      <c r="B54" s="82" t="s">
        <v>72</v>
      </c>
      <c r="C54" s="47">
        <v>35.020000000000003</v>
      </c>
      <c r="D54" s="37">
        <f>D55</f>
        <v>29.99</v>
      </c>
      <c r="E54" s="37">
        <f t="shared" ref="E54:Q54" si="12">E55</f>
        <v>0</v>
      </c>
      <c r="F54" s="37">
        <f t="shared" si="12"/>
        <v>13.19</v>
      </c>
      <c r="G54" s="37">
        <f t="shared" si="12"/>
        <v>0</v>
      </c>
      <c r="H54" s="37">
        <f t="shared" si="12"/>
        <v>0</v>
      </c>
      <c r="I54" s="37">
        <f t="shared" si="12"/>
        <v>0</v>
      </c>
      <c r="J54" s="140">
        <f t="shared" si="12"/>
        <v>0</v>
      </c>
      <c r="K54" s="140">
        <f t="shared" si="12"/>
        <v>0</v>
      </c>
      <c r="L54" s="140">
        <f t="shared" si="12"/>
        <v>0</v>
      </c>
      <c r="M54" s="140">
        <f t="shared" si="12"/>
        <v>0</v>
      </c>
      <c r="N54" s="140">
        <f t="shared" si="12"/>
        <v>0</v>
      </c>
      <c r="O54" s="140">
        <f t="shared" si="12"/>
        <v>0</v>
      </c>
      <c r="P54" s="140">
        <f t="shared" si="12"/>
        <v>0</v>
      </c>
      <c r="Q54" s="140">
        <f t="shared" si="12"/>
        <v>0</v>
      </c>
      <c r="R54" s="4"/>
    </row>
    <row r="55" spans="1:18" ht="14.25" hidden="1" customHeight="1">
      <c r="A55" s="90"/>
      <c r="B55" s="89" t="s">
        <v>73</v>
      </c>
      <c r="C55" s="47" t="s">
        <v>74</v>
      </c>
      <c r="D55" s="37">
        <v>29.99</v>
      </c>
      <c r="E55" s="37">
        <v>0</v>
      </c>
      <c r="F55" s="32">
        <v>13.19</v>
      </c>
      <c r="G55" s="32"/>
      <c r="H55" s="32"/>
      <c r="I55" s="37">
        <v>0</v>
      </c>
      <c r="J55" s="137"/>
      <c r="K55" s="137"/>
      <c r="L55" s="137"/>
      <c r="M55" s="137"/>
      <c r="N55" s="137"/>
      <c r="O55" s="137"/>
      <c r="P55" s="137"/>
      <c r="Q55" s="137"/>
      <c r="R55" s="4"/>
    </row>
    <row r="56" spans="1:18" ht="13.5" customHeight="1">
      <c r="A56" s="90">
        <v>5</v>
      </c>
      <c r="B56" s="82" t="s">
        <v>75</v>
      </c>
      <c r="C56" s="47">
        <v>36.020000000000003</v>
      </c>
      <c r="D56" s="37">
        <f t="shared" ref="D56:Q56" si="13">D57+D58</f>
        <v>1009.25</v>
      </c>
      <c r="E56" s="37">
        <f t="shared" si="13"/>
        <v>0</v>
      </c>
      <c r="F56" s="37">
        <f t="shared" si="13"/>
        <v>74.239999999999995</v>
      </c>
      <c r="G56" s="37">
        <f t="shared" si="13"/>
        <v>0</v>
      </c>
      <c r="H56" s="37">
        <f t="shared" si="13"/>
        <v>0</v>
      </c>
      <c r="I56" s="37">
        <f t="shared" si="13"/>
        <v>0</v>
      </c>
      <c r="J56" s="140">
        <f t="shared" si="13"/>
        <v>0</v>
      </c>
      <c r="K56" s="140">
        <f>K57+K58</f>
        <v>0</v>
      </c>
      <c r="L56" s="140">
        <f>L57+L58</f>
        <v>0</v>
      </c>
      <c r="M56" s="140">
        <f>M57+M58</f>
        <v>0</v>
      </c>
      <c r="N56" s="140">
        <f>N57+N58</f>
        <v>0</v>
      </c>
      <c r="O56" s="140">
        <f t="shared" si="13"/>
        <v>0</v>
      </c>
      <c r="P56" s="140">
        <f t="shared" si="13"/>
        <v>0</v>
      </c>
      <c r="Q56" s="140">
        <f t="shared" si="13"/>
        <v>0</v>
      </c>
      <c r="R56" s="4"/>
    </row>
    <row r="57" spans="1:18" ht="14.25" hidden="1" customHeight="1">
      <c r="A57" s="90"/>
      <c r="B57" s="89" t="s">
        <v>76</v>
      </c>
      <c r="C57" s="47" t="s">
        <v>77</v>
      </c>
      <c r="D57" s="37">
        <v>881.3</v>
      </c>
      <c r="E57" s="37">
        <v>0</v>
      </c>
      <c r="F57" s="32"/>
      <c r="G57" s="32"/>
      <c r="H57" s="32"/>
      <c r="I57" s="37">
        <v>0</v>
      </c>
      <c r="J57" s="137"/>
      <c r="K57" s="137"/>
      <c r="L57" s="137"/>
      <c r="M57" s="137"/>
      <c r="N57" s="137"/>
      <c r="O57" s="137"/>
      <c r="P57" s="137"/>
      <c r="Q57" s="137"/>
      <c r="R57" s="4"/>
    </row>
    <row r="58" spans="1:18" ht="14.25" hidden="1" customHeight="1">
      <c r="A58" s="90"/>
      <c r="B58" s="89" t="s">
        <v>78</v>
      </c>
      <c r="C58" s="47" t="s">
        <v>79</v>
      </c>
      <c r="D58" s="37">
        <v>127.95</v>
      </c>
      <c r="E58" s="37">
        <v>0</v>
      </c>
      <c r="F58" s="32">
        <v>74.239999999999995</v>
      </c>
      <c r="G58" s="32"/>
      <c r="H58" s="32"/>
      <c r="I58" s="37">
        <v>0</v>
      </c>
      <c r="J58" s="137"/>
      <c r="K58" s="137"/>
      <c r="L58" s="137"/>
      <c r="M58" s="137"/>
      <c r="N58" s="137"/>
      <c r="O58" s="137"/>
      <c r="P58" s="137"/>
      <c r="Q58" s="137"/>
      <c r="R58" s="4"/>
    </row>
    <row r="59" spans="1:18" ht="17.25" customHeight="1">
      <c r="A59" s="90">
        <v>6</v>
      </c>
      <c r="B59" s="82" t="s">
        <v>80</v>
      </c>
      <c r="C59" s="47">
        <v>37.020000000000003</v>
      </c>
      <c r="D59" s="37">
        <f t="shared" ref="D59:I59" si="14">D60+D63</f>
        <v>30</v>
      </c>
      <c r="E59" s="37">
        <f t="shared" si="14"/>
        <v>210.75</v>
      </c>
      <c r="F59" s="37">
        <f t="shared" si="14"/>
        <v>23.88</v>
      </c>
      <c r="G59" s="37">
        <f t="shared" si="14"/>
        <v>0</v>
      </c>
      <c r="H59" s="37">
        <f t="shared" si="14"/>
        <v>0</v>
      </c>
      <c r="I59" s="37">
        <f t="shared" si="14"/>
        <v>0</v>
      </c>
      <c r="J59" s="144">
        <f>J60+J63+J61+J62</f>
        <v>195.31</v>
      </c>
      <c r="K59" s="144">
        <f t="shared" ref="K59:Q59" si="15">K60+K63+K61+K62</f>
        <v>195.31</v>
      </c>
      <c r="L59" s="144">
        <f t="shared" si="15"/>
        <v>0</v>
      </c>
      <c r="M59" s="144">
        <f t="shared" si="15"/>
        <v>0</v>
      </c>
      <c r="N59" s="144">
        <f t="shared" si="15"/>
        <v>0</v>
      </c>
      <c r="O59" s="144">
        <f t="shared" si="15"/>
        <v>0</v>
      </c>
      <c r="P59" s="144">
        <f t="shared" si="15"/>
        <v>0</v>
      </c>
      <c r="Q59" s="144">
        <f t="shared" si="15"/>
        <v>0</v>
      </c>
      <c r="R59" s="4"/>
    </row>
    <row r="60" spans="1:18" ht="18.75" customHeight="1">
      <c r="A60" s="90"/>
      <c r="B60" s="89" t="s">
        <v>81</v>
      </c>
      <c r="C60" s="47" t="s">
        <v>82</v>
      </c>
      <c r="D60" s="37">
        <v>30</v>
      </c>
      <c r="E60" s="37">
        <v>210.75</v>
      </c>
      <c r="F60" s="32">
        <v>23.88</v>
      </c>
      <c r="G60" s="32"/>
      <c r="H60" s="32"/>
      <c r="I60" s="37">
        <v>0</v>
      </c>
      <c r="J60" s="137">
        <f>186.87+4.22+4.22</f>
        <v>195.31</v>
      </c>
      <c r="K60" s="137">
        <f>186.87+4.22+4.22</f>
        <v>195.31</v>
      </c>
      <c r="L60" s="137"/>
      <c r="M60" s="137"/>
      <c r="N60" s="137"/>
      <c r="O60" s="137"/>
      <c r="P60" s="137"/>
      <c r="Q60" s="137"/>
      <c r="R60" s="4"/>
    </row>
    <row r="61" spans="1:18" ht="28.5" customHeight="1">
      <c r="A61" s="90"/>
      <c r="B61" s="88" t="s">
        <v>83</v>
      </c>
      <c r="C61" s="47" t="s">
        <v>84</v>
      </c>
      <c r="D61" s="37">
        <v>-579.80999999999995</v>
      </c>
      <c r="E61" s="37">
        <v>-6255.65</v>
      </c>
      <c r="F61" s="42">
        <v>-2579.81</v>
      </c>
      <c r="G61" s="42" t="e">
        <f t="shared" ref="G61:I61" si="16">-G221</f>
        <v>#REF!</v>
      </c>
      <c r="H61" s="42" t="e">
        <f t="shared" si="16"/>
        <v>#REF!</v>
      </c>
      <c r="I61" s="42" t="e">
        <f t="shared" si="16"/>
        <v>#REF!</v>
      </c>
      <c r="J61" s="137">
        <f>-90</f>
        <v>-90</v>
      </c>
      <c r="K61" s="137">
        <f>-90</f>
        <v>-90</v>
      </c>
      <c r="L61" s="137">
        <f t="shared" ref="L61:Q61" si="17">-L221+L92</f>
        <v>0</v>
      </c>
      <c r="M61" s="137">
        <f t="shared" si="17"/>
        <v>0</v>
      </c>
      <c r="N61" s="137">
        <f t="shared" si="17"/>
        <v>0</v>
      </c>
      <c r="O61" s="137">
        <f t="shared" si="17"/>
        <v>-8231</v>
      </c>
      <c r="P61" s="137">
        <f t="shared" si="17"/>
        <v>-5865</v>
      </c>
      <c r="Q61" s="137">
        <f t="shared" si="17"/>
        <v>-5580</v>
      </c>
      <c r="R61" s="4"/>
    </row>
    <row r="62" spans="1:18" ht="15">
      <c r="A62" s="90"/>
      <c r="B62" s="89" t="s">
        <v>85</v>
      </c>
      <c r="C62" s="47" t="s">
        <v>86</v>
      </c>
      <c r="D62" s="37">
        <v>579.80999999999995</v>
      </c>
      <c r="E62" s="37">
        <f>-E61</f>
        <v>6255.65</v>
      </c>
      <c r="F62" s="37">
        <f t="shared" ref="F62:Q62" si="18">-F61</f>
        <v>2579.81</v>
      </c>
      <c r="G62" s="37" t="e">
        <f t="shared" si="18"/>
        <v>#REF!</v>
      </c>
      <c r="H62" s="37" t="e">
        <f t="shared" si="18"/>
        <v>#REF!</v>
      </c>
      <c r="I62" s="37" t="e">
        <f t="shared" si="18"/>
        <v>#REF!</v>
      </c>
      <c r="J62" s="140">
        <f t="shared" si="18"/>
        <v>90</v>
      </c>
      <c r="K62" s="140">
        <f>-K61</f>
        <v>90</v>
      </c>
      <c r="L62" s="140">
        <f>-L61</f>
        <v>0</v>
      </c>
      <c r="M62" s="140">
        <f>-M61</f>
        <v>0</v>
      </c>
      <c r="N62" s="140">
        <f>-N61</f>
        <v>0</v>
      </c>
      <c r="O62" s="140">
        <f t="shared" si="18"/>
        <v>8231</v>
      </c>
      <c r="P62" s="140">
        <f t="shared" si="18"/>
        <v>5865</v>
      </c>
      <c r="Q62" s="140">
        <f t="shared" si="18"/>
        <v>5580</v>
      </c>
      <c r="R62" s="4"/>
    </row>
    <row r="63" spans="1:18" ht="17.25" hidden="1" customHeight="1">
      <c r="A63" s="90"/>
      <c r="B63" s="89" t="s">
        <v>87</v>
      </c>
      <c r="C63" s="47" t="s">
        <v>88</v>
      </c>
      <c r="D63" s="37">
        <v>0</v>
      </c>
      <c r="E63" s="37">
        <v>0</v>
      </c>
      <c r="F63" s="32"/>
      <c r="G63" s="32"/>
      <c r="H63" s="32"/>
      <c r="I63" s="37">
        <v>0</v>
      </c>
      <c r="J63" s="137"/>
      <c r="K63" s="137"/>
      <c r="L63" s="137"/>
      <c r="M63" s="137"/>
      <c r="N63" s="137"/>
      <c r="O63" s="137"/>
      <c r="P63" s="137"/>
      <c r="Q63" s="137"/>
      <c r="R63" s="4"/>
    </row>
    <row r="64" spans="1:18" ht="18" hidden="1" customHeight="1">
      <c r="A64" s="90">
        <v>7</v>
      </c>
      <c r="B64" s="82" t="s">
        <v>89</v>
      </c>
      <c r="C64" s="47">
        <v>39</v>
      </c>
      <c r="D64" s="37">
        <f t="shared" ref="D64:Q64" si="19">D65+D66</f>
        <v>576.69999999999993</v>
      </c>
      <c r="E64" s="37">
        <f t="shared" si="19"/>
        <v>0</v>
      </c>
      <c r="F64" s="37">
        <f t="shared" si="19"/>
        <v>699.88</v>
      </c>
      <c r="G64" s="37">
        <f t="shared" si="19"/>
        <v>0</v>
      </c>
      <c r="H64" s="37">
        <f t="shared" si="19"/>
        <v>0</v>
      </c>
      <c r="I64" s="37">
        <f t="shared" si="19"/>
        <v>0</v>
      </c>
      <c r="J64" s="140">
        <f t="shared" si="19"/>
        <v>0</v>
      </c>
      <c r="K64" s="140">
        <f>K65+K66</f>
        <v>0</v>
      </c>
      <c r="L64" s="140">
        <f>L65+L66</f>
        <v>0</v>
      </c>
      <c r="M64" s="140">
        <f>M65+M66</f>
        <v>0</v>
      </c>
      <c r="N64" s="140">
        <f>N65+N66</f>
        <v>0</v>
      </c>
      <c r="O64" s="140">
        <f t="shared" si="19"/>
        <v>0</v>
      </c>
      <c r="P64" s="140">
        <f t="shared" si="19"/>
        <v>0</v>
      </c>
      <c r="Q64" s="140">
        <f t="shared" si="19"/>
        <v>0</v>
      </c>
      <c r="R64" s="4"/>
    </row>
    <row r="65" spans="1:18" ht="18.75" hidden="1" customHeight="1">
      <c r="A65" s="90"/>
      <c r="B65" s="89" t="s">
        <v>90</v>
      </c>
      <c r="C65" s="47" t="s">
        <v>91</v>
      </c>
      <c r="D65" s="37">
        <v>4.6399999999999997</v>
      </c>
      <c r="E65" s="37">
        <v>0</v>
      </c>
      <c r="F65" s="32">
        <v>8.33</v>
      </c>
      <c r="G65" s="32"/>
      <c r="H65" s="32"/>
      <c r="I65" s="37">
        <v>0</v>
      </c>
      <c r="J65" s="137"/>
      <c r="K65" s="137"/>
      <c r="L65" s="137"/>
      <c r="M65" s="137"/>
      <c r="N65" s="137"/>
      <c r="O65" s="137"/>
      <c r="P65" s="137"/>
      <c r="Q65" s="137"/>
      <c r="R65" s="4"/>
    </row>
    <row r="66" spans="1:18" ht="11.25" hidden="1" customHeight="1">
      <c r="A66" s="90"/>
      <c r="B66" s="89" t="s">
        <v>92</v>
      </c>
      <c r="C66" s="47" t="s">
        <v>93</v>
      </c>
      <c r="D66" s="37">
        <v>572.05999999999995</v>
      </c>
      <c r="E66" s="37">
        <v>0</v>
      </c>
      <c r="F66" s="32">
        <v>691.55</v>
      </c>
      <c r="G66" s="32"/>
      <c r="H66" s="32"/>
      <c r="I66" s="37">
        <v>0</v>
      </c>
      <c r="J66" s="137"/>
      <c r="K66" s="137"/>
      <c r="L66" s="137"/>
      <c r="M66" s="137"/>
      <c r="N66" s="137"/>
      <c r="O66" s="137"/>
      <c r="P66" s="137"/>
      <c r="Q66" s="137"/>
      <c r="R66" s="4"/>
    </row>
    <row r="67" spans="1:18" ht="11.25" hidden="1" customHeight="1">
      <c r="A67" s="90">
        <v>8</v>
      </c>
      <c r="B67" s="89" t="s">
        <v>94</v>
      </c>
      <c r="C67" s="47">
        <v>40</v>
      </c>
      <c r="D67" s="37">
        <f>D68</f>
        <v>0</v>
      </c>
      <c r="E67" s="37">
        <f>E68</f>
        <v>0</v>
      </c>
      <c r="F67" s="32"/>
      <c r="G67" s="32"/>
      <c r="H67" s="32"/>
      <c r="I67" s="37">
        <f>I68</f>
        <v>0</v>
      </c>
      <c r="J67" s="137"/>
      <c r="K67" s="137"/>
      <c r="L67" s="137"/>
      <c r="M67" s="137"/>
      <c r="N67" s="137"/>
      <c r="O67" s="137"/>
      <c r="P67" s="137"/>
      <c r="Q67" s="137"/>
      <c r="R67" s="4"/>
    </row>
    <row r="68" spans="1:18" ht="11.25" hidden="1" customHeight="1">
      <c r="A68" s="90"/>
      <c r="B68" s="89" t="s">
        <v>95</v>
      </c>
      <c r="C68" s="47">
        <v>4014</v>
      </c>
      <c r="D68" s="37"/>
      <c r="E68" s="37"/>
      <c r="F68" s="32"/>
      <c r="G68" s="32"/>
      <c r="H68" s="32"/>
      <c r="I68" s="37"/>
      <c r="J68" s="137"/>
      <c r="K68" s="137"/>
      <c r="L68" s="137"/>
      <c r="M68" s="137"/>
      <c r="N68" s="137"/>
      <c r="O68" s="137"/>
      <c r="P68" s="137"/>
      <c r="Q68" s="137"/>
      <c r="R68" s="4"/>
    </row>
    <row r="69" spans="1:18" ht="11.25" hidden="1" customHeight="1">
      <c r="A69" s="90"/>
      <c r="B69" s="89"/>
      <c r="C69" s="47"/>
      <c r="D69" s="37"/>
      <c r="E69" s="37"/>
      <c r="F69" s="32"/>
      <c r="G69" s="32"/>
      <c r="H69" s="32"/>
      <c r="I69" s="37"/>
      <c r="J69" s="137"/>
      <c r="K69" s="137"/>
      <c r="L69" s="137"/>
      <c r="M69" s="137"/>
      <c r="N69" s="137"/>
      <c r="O69" s="137"/>
      <c r="P69" s="137"/>
      <c r="Q69" s="137"/>
      <c r="R69" s="4"/>
    </row>
    <row r="70" spans="1:18" ht="14.25">
      <c r="A70" s="75" t="s">
        <v>96</v>
      </c>
      <c r="B70" s="82" t="s">
        <v>97</v>
      </c>
      <c r="C70" s="47" t="s">
        <v>98</v>
      </c>
      <c r="D70" s="40">
        <f t="shared" ref="D70:Q70" si="20">D71</f>
        <v>117009.25000000001</v>
      </c>
      <c r="E70" s="40">
        <f t="shared" si="20"/>
        <v>111075</v>
      </c>
      <c r="F70" s="40">
        <f t="shared" si="20"/>
        <v>110835.18</v>
      </c>
      <c r="G70" s="40">
        <f t="shared" si="20"/>
        <v>160548</v>
      </c>
      <c r="H70" s="40">
        <f t="shared" si="20"/>
        <v>0</v>
      </c>
      <c r="I70" s="40">
        <f t="shared" si="20"/>
        <v>555</v>
      </c>
      <c r="J70" s="139">
        <f t="shared" si="20"/>
        <v>140238</v>
      </c>
      <c r="K70" s="139">
        <f t="shared" si="20"/>
        <v>33543</v>
      </c>
      <c r="L70" s="139">
        <f t="shared" si="20"/>
        <v>37162</v>
      </c>
      <c r="M70" s="139">
        <f t="shared" si="20"/>
        <v>44671</v>
      </c>
      <c r="N70" s="139">
        <f t="shared" si="20"/>
        <v>24862</v>
      </c>
      <c r="O70" s="139">
        <f t="shared" si="20"/>
        <v>144030</v>
      </c>
      <c r="P70" s="139">
        <f t="shared" si="20"/>
        <v>146035</v>
      </c>
      <c r="Q70" s="139">
        <f t="shared" si="20"/>
        <v>147040</v>
      </c>
      <c r="R70" s="4"/>
    </row>
    <row r="71" spans="1:18" ht="15">
      <c r="A71" s="90"/>
      <c r="B71" s="89" t="s">
        <v>99</v>
      </c>
      <c r="C71" s="47">
        <v>42.02</v>
      </c>
      <c r="D71" s="35">
        <f t="shared" ref="D71:Q71" si="21">D72+D73+D77+D78+D79+D80+D82+D83+D84+D85+D88+D89+D81+D91</f>
        <v>117009.25000000001</v>
      </c>
      <c r="E71" s="35">
        <f t="shared" si="21"/>
        <v>111075</v>
      </c>
      <c r="F71" s="35">
        <f t="shared" si="21"/>
        <v>110835.18</v>
      </c>
      <c r="G71" s="35">
        <f t="shared" si="21"/>
        <v>160548</v>
      </c>
      <c r="H71" s="35">
        <f t="shared" si="21"/>
        <v>0</v>
      </c>
      <c r="I71" s="35">
        <f t="shared" si="21"/>
        <v>555</v>
      </c>
      <c r="J71" s="135">
        <f t="shared" si="21"/>
        <v>140238</v>
      </c>
      <c r="K71" s="135">
        <f>K72+K73+K77+K78+K79+K80+K82+K83+K84+K85+K88+K89+K81+K91</f>
        <v>33543</v>
      </c>
      <c r="L71" s="135">
        <f>L72+L73+L77+L78+L79+L80+L82+L83+L84+L85+L88+L89+L81+L91</f>
        <v>37162</v>
      </c>
      <c r="M71" s="135">
        <f>M72+M73+M77+M78+M79+M80+M82+M83+M84+M85+M88+M89+M81+M91</f>
        <v>44671</v>
      </c>
      <c r="N71" s="135">
        <f>N72+N73+N77+N78+N79+N80+N82+N83+N84+N85+N88+N89+N81+N91</f>
        <v>24862</v>
      </c>
      <c r="O71" s="135">
        <f t="shared" si="21"/>
        <v>144030</v>
      </c>
      <c r="P71" s="135">
        <f t="shared" si="21"/>
        <v>146035</v>
      </c>
      <c r="Q71" s="135">
        <f t="shared" si="21"/>
        <v>147040</v>
      </c>
      <c r="R71" s="4"/>
    </row>
    <row r="72" spans="1:18" ht="0.75" hidden="1" customHeight="1">
      <c r="A72" s="90"/>
      <c r="B72" s="77" t="s">
        <v>100</v>
      </c>
      <c r="C72" s="47" t="s">
        <v>101</v>
      </c>
      <c r="D72" s="37">
        <v>0</v>
      </c>
      <c r="E72" s="37">
        <v>0</v>
      </c>
      <c r="F72" s="32"/>
      <c r="G72" s="32"/>
      <c r="H72" s="32"/>
      <c r="I72" s="37">
        <v>0</v>
      </c>
      <c r="J72" s="137"/>
      <c r="K72" s="137"/>
      <c r="L72" s="137"/>
      <c r="M72" s="137"/>
      <c r="N72" s="137"/>
      <c r="O72" s="137"/>
      <c r="P72" s="137"/>
      <c r="Q72" s="137"/>
      <c r="R72" s="4"/>
    </row>
    <row r="73" spans="1:18" ht="16.5" hidden="1" customHeight="1">
      <c r="A73" s="90"/>
      <c r="B73" s="77" t="s">
        <v>102</v>
      </c>
      <c r="C73" s="159" t="s">
        <v>103</v>
      </c>
      <c r="D73" s="44">
        <f>D74+D75+D76</f>
        <v>450</v>
      </c>
      <c r="E73" s="44">
        <f>E74+E75+E76</f>
        <v>0</v>
      </c>
      <c r="F73" s="32"/>
      <c r="G73" s="32"/>
      <c r="H73" s="32"/>
      <c r="I73" s="44">
        <f>I74+I75+I76</f>
        <v>0</v>
      </c>
      <c r="J73" s="137"/>
      <c r="K73" s="137"/>
      <c r="L73" s="137"/>
      <c r="M73" s="137"/>
      <c r="N73" s="137"/>
      <c r="O73" s="137"/>
      <c r="P73" s="137"/>
      <c r="Q73" s="137"/>
      <c r="R73" s="4"/>
    </row>
    <row r="74" spans="1:18" ht="23.25" hidden="1" customHeight="1">
      <c r="A74" s="90"/>
      <c r="B74" s="91" t="s">
        <v>104</v>
      </c>
      <c r="C74" s="47" t="s">
        <v>105</v>
      </c>
      <c r="D74" s="37">
        <v>450</v>
      </c>
      <c r="E74" s="37">
        <v>0</v>
      </c>
      <c r="F74" s="32"/>
      <c r="G74" s="32"/>
      <c r="H74" s="32"/>
      <c r="I74" s="37">
        <v>0</v>
      </c>
      <c r="J74" s="137"/>
      <c r="K74" s="137"/>
      <c r="L74" s="137"/>
      <c r="M74" s="137"/>
      <c r="N74" s="137"/>
      <c r="O74" s="137"/>
      <c r="P74" s="137"/>
      <c r="Q74" s="137"/>
      <c r="R74" s="4"/>
    </row>
    <row r="75" spans="1:18" ht="15" hidden="1" customHeight="1">
      <c r="A75" s="90"/>
      <c r="B75" s="77" t="s">
        <v>106</v>
      </c>
      <c r="C75" s="47" t="s">
        <v>107</v>
      </c>
      <c r="D75" s="37">
        <v>0</v>
      </c>
      <c r="E75" s="37">
        <v>0</v>
      </c>
      <c r="F75" s="32"/>
      <c r="G75" s="32"/>
      <c r="H75" s="32"/>
      <c r="I75" s="37">
        <v>0</v>
      </c>
      <c r="J75" s="137"/>
      <c r="K75" s="137"/>
      <c r="L75" s="137"/>
      <c r="M75" s="137"/>
      <c r="N75" s="137"/>
      <c r="O75" s="137"/>
      <c r="P75" s="137"/>
      <c r="Q75" s="137"/>
      <c r="R75" s="4"/>
    </row>
    <row r="76" spans="1:18" ht="13.5" hidden="1" customHeight="1">
      <c r="A76" s="90"/>
      <c r="B76" s="77" t="s">
        <v>108</v>
      </c>
      <c r="C76" s="47" t="s">
        <v>109</v>
      </c>
      <c r="D76" s="37">
        <v>0</v>
      </c>
      <c r="E76" s="37">
        <v>0</v>
      </c>
      <c r="F76" s="32"/>
      <c r="G76" s="32"/>
      <c r="H76" s="32"/>
      <c r="I76" s="37">
        <v>0</v>
      </c>
      <c r="J76" s="137"/>
      <c r="K76" s="137"/>
      <c r="L76" s="137"/>
      <c r="M76" s="137"/>
      <c r="N76" s="137"/>
      <c r="O76" s="137"/>
      <c r="P76" s="137"/>
      <c r="Q76" s="137"/>
      <c r="R76" s="4"/>
    </row>
    <row r="77" spans="1:18" ht="24" hidden="1" customHeight="1">
      <c r="A77" s="90"/>
      <c r="B77" s="91" t="s">
        <v>110</v>
      </c>
      <c r="C77" s="47" t="s">
        <v>111</v>
      </c>
      <c r="D77" s="37">
        <v>0</v>
      </c>
      <c r="E77" s="37">
        <v>0</v>
      </c>
      <c r="F77" s="32"/>
      <c r="G77" s="32"/>
      <c r="H77" s="32"/>
      <c r="I77" s="37">
        <v>0</v>
      </c>
      <c r="J77" s="137"/>
      <c r="K77" s="137"/>
      <c r="L77" s="137"/>
      <c r="M77" s="137"/>
      <c r="N77" s="137"/>
      <c r="O77" s="137"/>
      <c r="P77" s="137"/>
      <c r="Q77" s="137"/>
      <c r="R77" s="4"/>
    </row>
    <row r="78" spans="1:18" ht="25.5" hidden="1" customHeight="1">
      <c r="A78" s="90"/>
      <c r="B78" s="91" t="s">
        <v>112</v>
      </c>
      <c r="C78" s="47" t="s">
        <v>113</v>
      </c>
      <c r="D78" s="37">
        <v>0</v>
      </c>
      <c r="E78" s="37">
        <v>0</v>
      </c>
      <c r="F78" s="32"/>
      <c r="G78" s="32"/>
      <c r="H78" s="32"/>
      <c r="I78" s="37">
        <v>0</v>
      </c>
      <c r="J78" s="137"/>
      <c r="K78" s="137"/>
      <c r="L78" s="137"/>
      <c r="M78" s="137"/>
      <c r="N78" s="137"/>
      <c r="O78" s="137"/>
      <c r="P78" s="137"/>
      <c r="Q78" s="137"/>
      <c r="R78" s="4"/>
    </row>
    <row r="79" spans="1:18" ht="15" hidden="1">
      <c r="A79" s="90"/>
      <c r="B79" s="77" t="s">
        <v>114</v>
      </c>
      <c r="C79" s="47" t="s">
        <v>115</v>
      </c>
      <c r="D79" s="37">
        <v>12983.17</v>
      </c>
      <c r="E79" s="37">
        <v>0</v>
      </c>
      <c r="F79" s="32"/>
      <c r="G79" s="32"/>
      <c r="H79" s="32"/>
      <c r="I79" s="37">
        <v>0</v>
      </c>
      <c r="J79" s="137"/>
      <c r="K79" s="137"/>
      <c r="L79" s="137"/>
      <c r="M79" s="137"/>
      <c r="N79" s="137"/>
      <c r="O79" s="137"/>
      <c r="P79" s="137"/>
      <c r="Q79" s="137"/>
      <c r="R79" s="4"/>
    </row>
    <row r="80" spans="1:18" ht="15">
      <c r="A80" s="90"/>
      <c r="B80" s="77" t="s">
        <v>116</v>
      </c>
      <c r="C80" s="47" t="s">
        <v>117</v>
      </c>
      <c r="D80" s="37">
        <v>99152.97</v>
      </c>
      <c r="E80" s="37">
        <v>102519</v>
      </c>
      <c r="F80" s="42">
        <v>102344.37</v>
      </c>
      <c r="G80" s="46">
        <f t="shared" ref="G80:Q80" si="22">G639</f>
        <v>152770</v>
      </c>
      <c r="H80" s="46">
        <f t="shared" si="22"/>
        <v>0</v>
      </c>
      <c r="I80" s="46">
        <f t="shared" si="22"/>
        <v>0</v>
      </c>
      <c r="J80" s="145">
        <v>135158</v>
      </c>
      <c r="K80" s="145">
        <f>K639</f>
        <v>32178</v>
      </c>
      <c r="L80" s="145">
        <f>L639</f>
        <v>35727</v>
      </c>
      <c r="M80" s="145">
        <f>M639</f>
        <v>43266</v>
      </c>
      <c r="N80" s="145">
        <f>N639</f>
        <v>23987</v>
      </c>
      <c r="O80" s="145">
        <f t="shared" si="22"/>
        <v>138000</v>
      </c>
      <c r="P80" s="145">
        <f t="shared" si="22"/>
        <v>140000</v>
      </c>
      <c r="Q80" s="145">
        <f t="shared" si="22"/>
        <v>141000</v>
      </c>
      <c r="R80" s="4"/>
    </row>
    <row r="81" spans="1:18" ht="0.75" customHeight="1">
      <c r="A81" s="90"/>
      <c r="B81" s="77" t="s">
        <v>118</v>
      </c>
      <c r="C81" s="47" t="s">
        <v>119</v>
      </c>
      <c r="D81" s="37">
        <v>706</v>
      </c>
      <c r="E81" s="37">
        <v>0</v>
      </c>
      <c r="F81" s="32"/>
      <c r="G81" s="32"/>
      <c r="H81" s="32"/>
      <c r="I81" s="37">
        <v>0</v>
      </c>
      <c r="J81" s="137"/>
      <c r="K81" s="137"/>
      <c r="L81" s="137"/>
      <c r="M81" s="137"/>
      <c r="N81" s="137"/>
      <c r="O81" s="137"/>
      <c r="P81" s="137"/>
      <c r="Q81" s="137"/>
      <c r="R81" s="4"/>
    </row>
    <row r="82" spans="1:18" ht="13.5" hidden="1" customHeight="1">
      <c r="A82" s="90"/>
      <c r="B82" s="77" t="s">
        <v>120</v>
      </c>
      <c r="C82" s="47" t="s">
        <v>121</v>
      </c>
      <c r="D82" s="37">
        <v>0</v>
      </c>
      <c r="E82" s="37">
        <v>0</v>
      </c>
      <c r="F82" s="32"/>
      <c r="G82" s="32"/>
      <c r="H82" s="32"/>
      <c r="I82" s="37">
        <v>0</v>
      </c>
      <c r="J82" s="137"/>
      <c r="K82" s="137"/>
      <c r="L82" s="137"/>
      <c r="M82" s="137"/>
      <c r="N82" s="137"/>
      <c r="O82" s="137"/>
      <c r="P82" s="137"/>
      <c r="Q82" s="137"/>
      <c r="R82" s="4"/>
    </row>
    <row r="83" spans="1:18" ht="15" hidden="1" customHeight="1">
      <c r="A83" s="90"/>
      <c r="B83" s="77" t="s">
        <v>122</v>
      </c>
      <c r="C83" s="47" t="s">
        <v>123</v>
      </c>
      <c r="D83" s="37">
        <v>0</v>
      </c>
      <c r="E83" s="37">
        <v>0</v>
      </c>
      <c r="F83" s="32"/>
      <c r="G83" s="32"/>
      <c r="H83" s="32"/>
      <c r="I83" s="37">
        <v>0</v>
      </c>
      <c r="J83" s="137"/>
      <c r="K83" s="137"/>
      <c r="L83" s="137"/>
      <c r="M83" s="137"/>
      <c r="N83" s="137"/>
      <c r="O83" s="137"/>
      <c r="P83" s="137"/>
      <c r="Q83" s="137"/>
      <c r="R83" s="4"/>
    </row>
    <row r="84" spans="1:18" ht="16.5" customHeight="1">
      <c r="A84" s="90"/>
      <c r="B84" s="77" t="s">
        <v>124</v>
      </c>
      <c r="C84" s="47" t="s">
        <v>125</v>
      </c>
      <c r="D84" s="45">
        <v>2364.9499999999998</v>
      </c>
      <c r="E84" s="45">
        <v>4092</v>
      </c>
      <c r="F84" s="45">
        <v>4031.72</v>
      </c>
      <c r="G84" s="46">
        <f t="shared" ref="G84:Q84" si="23">G489</f>
        <v>7778</v>
      </c>
      <c r="H84" s="46">
        <f t="shared" si="23"/>
        <v>0</v>
      </c>
      <c r="I84" s="46">
        <f t="shared" si="23"/>
        <v>0</v>
      </c>
      <c r="J84" s="145">
        <f t="shared" si="23"/>
        <v>5080</v>
      </c>
      <c r="K84" s="145">
        <f>K489</f>
        <v>1365</v>
      </c>
      <c r="L84" s="145">
        <f>L489</f>
        <v>1435</v>
      </c>
      <c r="M84" s="145">
        <f>M489</f>
        <v>1405</v>
      </c>
      <c r="N84" s="145">
        <f>N489</f>
        <v>875</v>
      </c>
      <c r="O84" s="145">
        <f t="shared" si="23"/>
        <v>6030</v>
      </c>
      <c r="P84" s="145">
        <f t="shared" si="23"/>
        <v>6035</v>
      </c>
      <c r="Q84" s="145">
        <f t="shared" si="23"/>
        <v>6040</v>
      </c>
      <c r="R84" s="4"/>
    </row>
    <row r="85" spans="1:18" ht="17.25" hidden="1" customHeight="1">
      <c r="A85" s="90"/>
      <c r="B85" s="77" t="s">
        <v>126</v>
      </c>
      <c r="C85" s="47" t="s">
        <v>127</v>
      </c>
      <c r="D85" s="37">
        <v>826.21</v>
      </c>
      <c r="E85" s="37"/>
      <c r="F85" s="32"/>
      <c r="G85" s="32"/>
      <c r="H85" s="32"/>
      <c r="I85" s="37"/>
      <c r="J85" s="137"/>
      <c r="K85" s="137"/>
      <c r="L85" s="137"/>
      <c r="M85" s="137"/>
      <c r="N85" s="137"/>
      <c r="O85" s="137"/>
      <c r="P85" s="137"/>
      <c r="Q85" s="137"/>
      <c r="R85" s="4"/>
    </row>
    <row r="86" spans="1:18" ht="17.25" hidden="1" customHeight="1">
      <c r="A86" s="90"/>
      <c r="B86" s="77" t="s">
        <v>128</v>
      </c>
      <c r="C86" s="47" t="s">
        <v>129</v>
      </c>
      <c r="D86" s="37">
        <v>0</v>
      </c>
      <c r="E86" s="37">
        <v>0</v>
      </c>
      <c r="F86" s="32"/>
      <c r="G86" s="32"/>
      <c r="H86" s="32"/>
      <c r="I86" s="37">
        <v>0</v>
      </c>
      <c r="J86" s="137"/>
      <c r="K86" s="137"/>
      <c r="L86" s="137"/>
      <c r="M86" s="137"/>
      <c r="N86" s="137"/>
      <c r="O86" s="137"/>
      <c r="P86" s="137"/>
      <c r="Q86" s="137"/>
      <c r="R86" s="4"/>
    </row>
    <row r="87" spans="1:18" ht="17.25" hidden="1" customHeight="1">
      <c r="A87" s="90"/>
      <c r="B87" s="91" t="s">
        <v>130</v>
      </c>
      <c r="C87" s="47" t="s">
        <v>131</v>
      </c>
      <c r="D87" s="37">
        <v>0</v>
      </c>
      <c r="E87" s="37">
        <v>0</v>
      </c>
      <c r="F87" s="32"/>
      <c r="G87" s="32"/>
      <c r="H87" s="32"/>
      <c r="I87" s="37">
        <v>0</v>
      </c>
      <c r="J87" s="137"/>
      <c r="K87" s="137"/>
      <c r="L87" s="137"/>
      <c r="M87" s="137"/>
      <c r="N87" s="137"/>
      <c r="O87" s="137"/>
      <c r="P87" s="137"/>
      <c r="Q87" s="137"/>
      <c r="R87" s="4"/>
    </row>
    <row r="88" spans="1:18" ht="17.25" hidden="1" customHeight="1">
      <c r="A88" s="90"/>
      <c r="B88" s="91" t="s">
        <v>132</v>
      </c>
      <c r="C88" s="47" t="s">
        <v>133</v>
      </c>
      <c r="D88" s="37">
        <v>307.85000000000002</v>
      </c>
      <c r="E88" s="37"/>
      <c r="F88" s="32"/>
      <c r="G88" s="32"/>
      <c r="H88" s="32"/>
      <c r="I88" s="37"/>
      <c r="J88" s="137"/>
      <c r="K88" s="137"/>
      <c r="L88" s="137"/>
      <c r="M88" s="137"/>
      <c r="N88" s="137"/>
      <c r="O88" s="137"/>
      <c r="P88" s="137"/>
      <c r="Q88" s="137"/>
      <c r="R88" s="4"/>
    </row>
    <row r="89" spans="1:18" ht="17.25" hidden="1" customHeight="1">
      <c r="A89" s="90"/>
      <c r="B89" s="91" t="s">
        <v>134</v>
      </c>
      <c r="C89" s="47" t="s">
        <v>135</v>
      </c>
      <c r="D89" s="37">
        <v>0</v>
      </c>
      <c r="E89" s="37">
        <v>0</v>
      </c>
      <c r="F89" s="32"/>
      <c r="G89" s="32"/>
      <c r="H89" s="32"/>
      <c r="I89" s="37">
        <v>0</v>
      </c>
      <c r="J89" s="137"/>
      <c r="K89" s="137"/>
      <c r="L89" s="137"/>
      <c r="M89" s="137"/>
      <c r="N89" s="137"/>
      <c r="O89" s="137"/>
      <c r="P89" s="137"/>
      <c r="Q89" s="137"/>
      <c r="R89" s="4"/>
    </row>
    <row r="90" spans="1:18" ht="17.25" hidden="1" customHeight="1">
      <c r="A90" s="90"/>
      <c r="B90" s="92" t="s">
        <v>136</v>
      </c>
      <c r="C90" s="48" t="s">
        <v>137</v>
      </c>
      <c r="D90" s="37">
        <v>0</v>
      </c>
      <c r="E90" s="37">
        <v>0</v>
      </c>
      <c r="F90" s="32"/>
      <c r="G90" s="32"/>
      <c r="H90" s="32"/>
      <c r="I90" s="37">
        <v>0</v>
      </c>
      <c r="J90" s="137"/>
      <c r="K90" s="137"/>
      <c r="L90" s="137"/>
      <c r="M90" s="137"/>
      <c r="N90" s="137"/>
      <c r="O90" s="137"/>
      <c r="P90" s="137"/>
      <c r="Q90" s="137"/>
      <c r="R90" s="4"/>
    </row>
    <row r="91" spans="1:18" ht="17.25" hidden="1" customHeight="1">
      <c r="A91" s="90"/>
      <c r="B91" s="92" t="s">
        <v>138</v>
      </c>
      <c r="C91" s="49" t="s">
        <v>139</v>
      </c>
      <c r="D91" s="37">
        <v>218.1</v>
      </c>
      <c r="E91" s="37">
        <v>4464</v>
      </c>
      <c r="F91" s="32">
        <v>4459.09</v>
      </c>
      <c r="G91" s="32"/>
      <c r="H91" s="32"/>
      <c r="I91" s="37">
        <v>555</v>
      </c>
      <c r="J91" s="137"/>
      <c r="K91" s="137"/>
      <c r="L91" s="137"/>
      <c r="M91" s="137"/>
      <c r="N91" s="137"/>
      <c r="O91" s="137"/>
      <c r="P91" s="137"/>
      <c r="Q91" s="137"/>
      <c r="R91" s="4"/>
    </row>
    <row r="92" spans="1:18" ht="58.5" customHeight="1">
      <c r="A92" s="75" t="s">
        <v>140</v>
      </c>
      <c r="B92" s="76" t="s">
        <v>528</v>
      </c>
      <c r="C92" s="159">
        <v>48.02</v>
      </c>
      <c r="D92" s="35">
        <f t="shared" ref="D92:Q92" si="24">D93+D97+D101</f>
        <v>20423.2</v>
      </c>
      <c r="E92" s="35">
        <f t="shared" si="24"/>
        <v>0</v>
      </c>
      <c r="F92" s="35">
        <f t="shared" si="24"/>
        <v>0</v>
      </c>
      <c r="G92" s="35">
        <f t="shared" si="24"/>
        <v>0</v>
      </c>
      <c r="H92" s="35">
        <f t="shared" si="24"/>
        <v>0</v>
      </c>
      <c r="I92" s="35">
        <f t="shared" si="24"/>
        <v>0</v>
      </c>
      <c r="J92" s="135">
        <f t="shared" si="24"/>
        <v>5714</v>
      </c>
      <c r="K92" s="135">
        <f>K93+K97+K101</f>
        <v>5714</v>
      </c>
      <c r="L92" s="135">
        <f>L93+L97+L101</f>
        <v>0</v>
      </c>
      <c r="M92" s="135">
        <f>M93+M97+M101</f>
        <v>0</v>
      </c>
      <c r="N92" s="135">
        <f>N93+N97+N101</f>
        <v>0</v>
      </c>
      <c r="O92" s="135">
        <f t="shared" si="24"/>
        <v>26630</v>
      </c>
      <c r="P92" s="135">
        <f t="shared" si="24"/>
        <v>64692</v>
      </c>
      <c r="Q92" s="135">
        <f t="shared" si="24"/>
        <v>24000</v>
      </c>
      <c r="R92" s="4"/>
    </row>
    <row r="93" spans="1:18" ht="29.25" customHeight="1">
      <c r="A93" s="90"/>
      <c r="B93" s="93" t="s">
        <v>555</v>
      </c>
      <c r="C93" s="159" t="s">
        <v>532</v>
      </c>
      <c r="D93" s="35">
        <f t="shared" ref="D93:Q93" si="25">D94+D95+D96</f>
        <v>0</v>
      </c>
      <c r="E93" s="35">
        <f t="shared" si="25"/>
        <v>0</v>
      </c>
      <c r="F93" s="35">
        <f t="shared" si="25"/>
        <v>0</v>
      </c>
      <c r="G93" s="35">
        <f t="shared" si="25"/>
        <v>0</v>
      </c>
      <c r="H93" s="35">
        <f t="shared" si="25"/>
        <v>0</v>
      </c>
      <c r="I93" s="35">
        <f t="shared" si="25"/>
        <v>0</v>
      </c>
      <c r="J93" s="135">
        <f t="shared" si="25"/>
        <v>5714</v>
      </c>
      <c r="K93" s="135">
        <f>K94+K95+K96</f>
        <v>5714</v>
      </c>
      <c r="L93" s="135">
        <f>L94+L95+L96</f>
        <v>0</v>
      </c>
      <c r="M93" s="135">
        <f>M94+M95+M96</f>
        <v>0</v>
      </c>
      <c r="N93" s="135">
        <f>N94+N95+N96</f>
        <v>0</v>
      </c>
      <c r="O93" s="135">
        <f t="shared" si="25"/>
        <v>26630</v>
      </c>
      <c r="P93" s="135">
        <f t="shared" si="25"/>
        <v>64692</v>
      </c>
      <c r="Q93" s="135">
        <f t="shared" si="25"/>
        <v>24000</v>
      </c>
      <c r="R93" s="4"/>
    </row>
    <row r="94" spans="1:18" ht="17.25" hidden="1" customHeight="1">
      <c r="A94" s="90"/>
      <c r="B94" s="77" t="s">
        <v>141</v>
      </c>
      <c r="C94" s="47" t="s">
        <v>529</v>
      </c>
      <c r="D94" s="37">
        <v>0</v>
      </c>
      <c r="E94" s="37">
        <v>0</v>
      </c>
      <c r="F94" s="32"/>
      <c r="G94" s="32"/>
      <c r="H94" s="32"/>
      <c r="I94" s="37">
        <v>0</v>
      </c>
      <c r="J94" s="137"/>
      <c r="K94" s="137"/>
      <c r="L94" s="137"/>
      <c r="M94" s="137"/>
      <c r="N94" s="137"/>
      <c r="O94" s="137"/>
      <c r="P94" s="137"/>
      <c r="Q94" s="137"/>
      <c r="R94" s="4"/>
    </row>
    <row r="95" spans="1:18" ht="17.25" hidden="1" customHeight="1">
      <c r="A95" s="90"/>
      <c r="B95" s="77" t="s">
        <v>142</v>
      </c>
      <c r="C95" s="47" t="s">
        <v>530</v>
      </c>
      <c r="D95" s="37"/>
      <c r="E95" s="37"/>
      <c r="F95" s="32"/>
      <c r="G95" s="32"/>
      <c r="H95" s="32"/>
      <c r="I95" s="37"/>
      <c r="J95" s="137"/>
      <c r="K95" s="137"/>
      <c r="L95" s="137"/>
      <c r="M95" s="137"/>
      <c r="N95" s="137"/>
      <c r="O95" s="137"/>
      <c r="P95" s="137"/>
      <c r="Q95" s="137"/>
      <c r="R95" s="4"/>
    </row>
    <row r="96" spans="1:18" ht="17.25" customHeight="1">
      <c r="A96" s="90"/>
      <c r="B96" s="77" t="s">
        <v>143</v>
      </c>
      <c r="C96" s="47" t="s">
        <v>531</v>
      </c>
      <c r="D96" s="37">
        <v>0</v>
      </c>
      <c r="E96" s="37">
        <v>0</v>
      </c>
      <c r="F96" s="32"/>
      <c r="G96" s="32"/>
      <c r="H96" s="32"/>
      <c r="I96" s="37">
        <v>0</v>
      </c>
      <c r="J96" s="137">
        <f>2254+2495+965</f>
        <v>5714</v>
      </c>
      <c r="K96" s="137">
        <v>5714</v>
      </c>
      <c r="L96" s="137"/>
      <c r="M96" s="137"/>
      <c r="N96" s="137"/>
      <c r="O96" s="137">
        <f>8854+8825+8951</f>
        <v>26630</v>
      </c>
      <c r="P96" s="137">
        <f>7661+6262+50769</f>
        <v>64692</v>
      </c>
      <c r="Q96" s="137">
        <f>2000+2000+20000</f>
        <v>24000</v>
      </c>
      <c r="R96" s="4"/>
    </row>
    <row r="97" spans="1:18" ht="17.25" hidden="1" customHeight="1">
      <c r="A97" s="90"/>
      <c r="B97" s="90" t="s">
        <v>144</v>
      </c>
      <c r="C97" s="159" t="s">
        <v>145</v>
      </c>
      <c r="D97" s="45">
        <f t="shared" ref="D97:Q97" si="26">D98+D99+D100</f>
        <v>20423.2</v>
      </c>
      <c r="E97" s="45">
        <f t="shared" si="26"/>
        <v>0</v>
      </c>
      <c r="F97" s="45">
        <f t="shared" si="26"/>
        <v>0</v>
      </c>
      <c r="G97" s="45">
        <f t="shared" si="26"/>
        <v>0</v>
      </c>
      <c r="H97" s="45">
        <f t="shared" si="26"/>
        <v>0</v>
      </c>
      <c r="I97" s="45">
        <f t="shared" si="26"/>
        <v>0</v>
      </c>
      <c r="J97" s="143">
        <f t="shared" si="26"/>
        <v>0</v>
      </c>
      <c r="K97" s="143">
        <f>K98+K99+K100</f>
        <v>0</v>
      </c>
      <c r="L97" s="143">
        <f>L98+L99+L100</f>
        <v>0</v>
      </c>
      <c r="M97" s="143">
        <f>M98+M99+M100</f>
        <v>0</v>
      </c>
      <c r="N97" s="143">
        <f>N98+N99+N100</f>
        <v>0</v>
      </c>
      <c r="O97" s="143">
        <f t="shared" si="26"/>
        <v>0</v>
      </c>
      <c r="P97" s="143">
        <f t="shared" si="26"/>
        <v>0</v>
      </c>
      <c r="Q97" s="143">
        <f t="shared" si="26"/>
        <v>0</v>
      </c>
      <c r="R97" s="4"/>
    </row>
    <row r="98" spans="1:18" ht="17.25" hidden="1" customHeight="1">
      <c r="A98" s="90"/>
      <c r="B98" s="77" t="s">
        <v>141</v>
      </c>
      <c r="C98" s="47" t="s">
        <v>146</v>
      </c>
      <c r="D98" s="37">
        <v>20410.47</v>
      </c>
      <c r="E98" s="37">
        <v>0</v>
      </c>
      <c r="F98" s="32"/>
      <c r="G98" s="32"/>
      <c r="H98" s="32"/>
      <c r="I98" s="37">
        <v>0</v>
      </c>
      <c r="J98" s="137"/>
      <c r="K98" s="137"/>
      <c r="L98" s="137"/>
      <c r="M98" s="137"/>
      <c r="N98" s="137"/>
      <c r="O98" s="137"/>
      <c r="P98" s="137"/>
      <c r="Q98" s="137"/>
      <c r="R98" s="4"/>
    </row>
    <row r="99" spans="1:18" ht="17.25" hidden="1" customHeight="1">
      <c r="A99" s="90"/>
      <c r="B99" s="77" t="s">
        <v>142</v>
      </c>
      <c r="C99" s="47" t="s">
        <v>147</v>
      </c>
      <c r="D99" s="37">
        <v>12.73</v>
      </c>
      <c r="E99" s="37">
        <v>0</v>
      </c>
      <c r="F99" s="32"/>
      <c r="G99" s="32"/>
      <c r="H99" s="32"/>
      <c r="I99" s="37">
        <v>0</v>
      </c>
      <c r="J99" s="137"/>
      <c r="K99" s="137"/>
      <c r="L99" s="137"/>
      <c r="M99" s="137"/>
      <c r="N99" s="137"/>
      <c r="O99" s="137"/>
      <c r="P99" s="137"/>
      <c r="Q99" s="137"/>
      <c r="R99" s="4"/>
    </row>
    <row r="100" spans="1:18" ht="3" hidden="1" customHeight="1">
      <c r="A100" s="90"/>
      <c r="B100" s="77" t="s">
        <v>143</v>
      </c>
      <c r="C100" s="47" t="s">
        <v>148</v>
      </c>
      <c r="D100" s="37">
        <v>0</v>
      </c>
      <c r="E100" s="37">
        <v>0</v>
      </c>
      <c r="F100" s="32"/>
      <c r="G100" s="32"/>
      <c r="H100" s="32"/>
      <c r="I100" s="37">
        <v>0</v>
      </c>
      <c r="J100" s="137"/>
      <c r="K100" s="137"/>
      <c r="L100" s="137"/>
      <c r="M100" s="137"/>
      <c r="N100" s="137"/>
      <c r="O100" s="137"/>
      <c r="P100" s="137"/>
      <c r="Q100" s="137"/>
      <c r="R100" s="4"/>
    </row>
    <row r="101" spans="1:18" ht="17.25" hidden="1" customHeight="1">
      <c r="A101" s="90"/>
      <c r="B101" s="90" t="s">
        <v>149</v>
      </c>
      <c r="C101" s="159" t="s">
        <v>150</v>
      </c>
      <c r="D101" s="45">
        <f t="shared" ref="D101:Q101" si="27">D102+D103+D104</f>
        <v>0</v>
      </c>
      <c r="E101" s="45">
        <f t="shared" si="27"/>
        <v>0</v>
      </c>
      <c r="F101" s="45">
        <f t="shared" si="27"/>
        <v>0</v>
      </c>
      <c r="G101" s="45">
        <f t="shared" si="27"/>
        <v>0</v>
      </c>
      <c r="H101" s="45">
        <f t="shared" si="27"/>
        <v>0</v>
      </c>
      <c r="I101" s="45">
        <f t="shared" si="27"/>
        <v>0</v>
      </c>
      <c r="J101" s="143">
        <f t="shared" si="27"/>
        <v>0</v>
      </c>
      <c r="K101" s="143">
        <f>K102+K103+K104</f>
        <v>0</v>
      </c>
      <c r="L101" s="143">
        <f>L102+L103+L104</f>
        <v>0</v>
      </c>
      <c r="M101" s="143">
        <f>M102+M103+M104</f>
        <v>0</v>
      </c>
      <c r="N101" s="143">
        <f>N102+N103+N104</f>
        <v>0</v>
      </c>
      <c r="O101" s="143">
        <f t="shared" si="27"/>
        <v>0</v>
      </c>
      <c r="P101" s="143">
        <f t="shared" si="27"/>
        <v>0</v>
      </c>
      <c r="Q101" s="143">
        <f t="shared" si="27"/>
        <v>0</v>
      </c>
      <c r="R101" s="4"/>
    </row>
    <row r="102" spans="1:18" ht="17.25" hidden="1" customHeight="1">
      <c r="A102" s="90"/>
      <c r="B102" s="77" t="s">
        <v>151</v>
      </c>
      <c r="C102" s="47" t="s">
        <v>152</v>
      </c>
      <c r="D102" s="37">
        <v>0</v>
      </c>
      <c r="E102" s="37">
        <v>0</v>
      </c>
      <c r="F102" s="32"/>
      <c r="G102" s="32"/>
      <c r="H102" s="32"/>
      <c r="I102" s="37">
        <v>0</v>
      </c>
      <c r="J102" s="137"/>
      <c r="K102" s="137"/>
      <c r="L102" s="137"/>
      <c r="M102" s="137"/>
      <c r="N102" s="137"/>
      <c r="O102" s="137"/>
      <c r="P102" s="137"/>
      <c r="Q102" s="137"/>
      <c r="R102" s="4"/>
    </row>
    <row r="103" spans="1:18" ht="17.25" hidden="1" customHeight="1">
      <c r="A103" s="90"/>
      <c r="B103" s="77" t="s">
        <v>142</v>
      </c>
      <c r="C103" s="47" t="s">
        <v>153</v>
      </c>
      <c r="D103" s="37">
        <v>0</v>
      </c>
      <c r="E103" s="37">
        <v>0</v>
      </c>
      <c r="F103" s="32"/>
      <c r="G103" s="32"/>
      <c r="H103" s="32"/>
      <c r="I103" s="37">
        <v>0</v>
      </c>
      <c r="J103" s="137"/>
      <c r="K103" s="137"/>
      <c r="L103" s="137"/>
      <c r="M103" s="137"/>
      <c r="N103" s="137"/>
      <c r="O103" s="137"/>
      <c r="P103" s="137"/>
      <c r="Q103" s="137"/>
      <c r="R103" s="4"/>
    </row>
    <row r="104" spans="1:18" ht="17.25" hidden="1" customHeight="1">
      <c r="A104" s="90"/>
      <c r="B104" s="77" t="s">
        <v>143</v>
      </c>
      <c r="C104" s="47" t="s">
        <v>154</v>
      </c>
      <c r="D104" s="37">
        <v>0</v>
      </c>
      <c r="E104" s="37">
        <v>0</v>
      </c>
      <c r="F104" s="32"/>
      <c r="G104" s="32"/>
      <c r="H104" s="32"/>
      <c r="I104" s="37">
        <v>0</v>
      </c>
      <c r="J104" s="137"/>
      <c r="K104" s="137"/>
      <c r="L104" s="137"/>
      <c r="M104" s="137"/>
      <c r="N104" s="137"/>
      <c r="O104" s="137"/>
      <c r="P104" s="137"/>
      <c r="Q104" s="137"/>
      <c r="R104" s="4"/>
    </row>
    <row r="105" spans="1:18" ht="17.25" hidden="1" customHeight="1">
      <c r="A105" s="90"/>
      <c r="B105" s="90" t="s">
        <v>149</v>
      </c>
      <c r="C105" s="47" t="s">
        <v>154</v>
      </c>
      <c r="D105" s="37">
        <v>0</v>
      </c>
      <c r="E105" s="37">
        <v>0</v>
      </c>
      <c r="F105" s="32"/>
      <c r="G105" s="32"/>
      <c r="H105" s="32"/>
      <c r="I105" s="37">
        <v>0</v>
      </c>
      <c r="J105" s="137"/>
      <c r="K105" s="137"/>
      <c r="L105" s="137"/>
      <c r="M105" s="137"/>
      <c r="N105" s="137"/>
      <c r="O105" s="137"/>
      <c r="P105" s="137"/>
      <c r="Q105" s="137"/>
      <c r="R105" s="4"/>
    </row>
    <row r="106" spans="1:18" ht="17.25" hidden="1" customHeight="1">
      <c r="A106" s="90"/>
      <c r="B106" s="77" t="s">
        <v>151</v>
      </c>
      <c r="C106" s="47"/>
      <c r="D106" s="37">
        <v>0</v>
      </c>
      <c r="E106" s="37">
        <v>0</v>
      </c>
      <c r="F106" s="32"/>
      <c r="G106" s="32"/>
      <c r="H106" s="32"/>
      <c r="I106" s="37">
        <v>0</v>
      </c>
      <c r="J106" s="137"/>
      <c r="K106" s="137"/>
      <c r="L106" s="137"/>
      <c r="M106" s="137"/>
      <c r="N106" s="137"/>
      <c r="O106" s="137"/>
      <c r="P106" s="137"/>
      <c r="Q106" s="137"/>
      <c r="R106" s="4"/>
    </row>
    <row r="107" spans="1:18" ht="16.5" hidden="1" customHeight="1">
      <c r="A107" s="90"/>
      <c r="B107" s="77" t="s">
        <v>142</v>
      </c>
      <c r="C107" s="47"/>
      <c r="D107" s="37">
        <v>0</v>
      </c>
      <c r="E107" s="37">
        <v>0</v>
      </c>
      <c r="F107" s="32"/>
      <c r="G107" s="32"/>
      <c r="H107" s="32"/>
      <c r="I107" s="37">
        <v>0</v>
      </c>
      <c r="J107" s="137"/>
      <c r="K107" s="137"/>
      <c r="L107" s="137"/>
      <c r="M107" s="137"/>
      <c r="N107" s="137"/>
      <c r="O107" s="137"/>
      <c r="P107" s="137"/>
      <c r="Q107" s="137"/>
      <c r="R107" s="4"/>
    </row>
    <row r="108" spans="1:18" ht="17.25" hidden="1" customHeight="1">
      <c r="A108" s="90"/>
      <c r="B108" s="77" t="s">
        <v>143</v>
      </c>
      <c r="C108" s="47"/>
      <c r="D108" s="37">
        <v>0</v>
      </c>
      <c r="E108" s="37">
        <v>0</v>
      </c>
      <c r="F108" s="32"/>
      <c r="G108" s="32"/>
      <c r="H108" s="32"/>
      <c r="I108" s="37">
        <v>0</v>
      </c>
      <c r="J108" s="137"/>
      <c r="K108" s="137"/>
      <c r="L108" s="137"/>
      <c r="M108" s="137"/>
      <c r="N108" s="137"/>
      <c r="O108" s="137"/>
      <c r="P108" s="137"/>
      <c r="Q108" s="137"/>
      <c r="R108" s="4"/>
    </row>
    <row r="109" spans="1:18" ht="17.25" hidden="1" customHeight="1">
      <c r="A109" s="90"/>
      <c r="B109" s="90" t="s">
        <v>155</v>
      </c>
      <c r="C109" s="47" t="s">
        <v>156</v>
      </c>
      <c r="D109" s="45">
        <f t="shared" ref="D109:Q109" si="28">D110+D111+D112</f>
        <v>0</v>
      </c>
      <c r="E109" s="45">
        <f t="shared" si="28"/>
        <v>0</v>
      </c>
      <c r="F109" s="45">
        <f t="shared" si="28"/>
        <v>0</v>
      </c>
      <c r="G109" s="45">
        <f t="shared" si="28"/>
        <v>0</v>
      </c>
      <c r="H109" s="45">
        <f t="shared" si="28"/>
        <v>0</v>
      </c>
      <c r="I109" s="45">
        <f t="shared" si="28"/>
        <v>0</v>
      </c>
      <c r="J109" s="143">
        <f t="shared" si="28"/>
        <v>0</v>
      </c>
      <c r="K109" s="143">
        <f>K110+K111+K112</f>
        <v>0</v>
      </c>
      <c r="L109" s="143">
        <f>L110+L111+L112</f>
        <v>0</v>
      </c>
      <c r="M109" s="143">
        <f>M110+M111+M112</f>
        <v>0</v>
      </c>
      <c r="N109" s="143">
        <f>N110+N111+N112</f>
        <v>0</v>
      </c>
      <c r="O109" s="143">
        <f t="shared" si="28"/>
        <v>0</v>
      </c>
      <c r="P109" s="143">
        <f t="shared" si="28"/>
        <v>0</v>
      </c>
      <c r="Q109" s="143">
        <f t="shared" si="28"/>
        <v>0</v>
      </c>
      <c r="R109" s="4"/>
    </row>
    <row r="110" spans="1:18" ht="17.25" hidden="1" customHeight="1">
      <c r="A110" s="90"/>
      <c r="B110" s="77" t="s">
        <v>151</v>
      </c>
      <c r="C110" s="47"/>
      <c r="D110" s="37">
        <v>0</v>
      </c>
      <c r="E110" s="37">
        <v>0</v>
      </c>
      <c r="F110" s="32"/>
      <c r="G110" s="32"/>
      <c r="H110" s="32"/>
      <c r="I110" s="37">
        <v>0</v>
      </c>
      <c r="J110" s="137"/>
      <c r="K110" s="137"/>
      <c r="L110" s="137"/>
      <c r="M110" s="137"/>
      <c r="N110" s="137"/>
      <c r="O110" s="137"/>
      <c r="P110" s="137"/>
      <c r="Q110" s="137"/>
      <c r="R110" s="4"/>
    </row>
    <row r="111" spans="1:18" ht="17.25" hidden="1" customHeight="1">
      <c r="A111" s="90"/>
      <c r="B111" s="77" t="s">
        <v>142</v>
      </c>
      <c r="C111" s="47"/>
      <c r="D111" s="37">
        <v>0</v>
      </c>
      <c r="E111" s="37">
        <v>0</v>
      </c>
      <c r="F111" s="32"/>
      <c r="G111" s="32"/>
      <c r="H111" s="32"/>
      <c r="I111" s="37">
        <v>0</v>
      </c>
      <c r="J111" s="137"/>
      <c r="K111" s="137"/>
      <c r="L111" s="137"/>
      <c r="M111" s="137"/>
      <c r="N111" s="137"/>
      <c r="O111" s="137"/>
      <c r="P111" s="137"/>
      <c r="Q111" s="137"/>
      <c r="R111" s="4"/>
    </row>
    <row r="112" spans="1:18" ht="17.25" hidden="1" customHeight="1">
      <c r="A112" s="90"/>
      <c r="B112" s="77" t="s">
        <v>143</v>
      </c>
      <c r="C112" s="47"/>
      <c r="D112" s="37">
        <v>0</v>
      </c>
      <c r="E112" s="37">
        <v>0</v>
      </c>
      <c r="F112" s="32"/>
      <c r="G112" s="32"/>
      <c r="H112" s="32"/>
      <c r="I112" s="37">
        <v>0</v>
      </c>
      <c r="J112" s="137"/>
      <c r="K112" s="137"/>
      <c r="L112" s="137"/>
      <c r="M112" s="137"/>
      <c r="N112" s="137"/>
      <c r="O112" s="137"/>
      <c r="P112" s="137"/>
      <c r="Q112" s="137"/>
      <c r="R112" s="4"/>
    </row>
    <row r="113" spans="1:18" ht="17.25" customHeight="1">
      <c r="A113" s="125"/>
      <c r="B113" s="180" t="s">
        <v>157</v>
      </c>
      <c r="C113" s="184"/>
      <c r="D113" s="182">
        <f t="shared" ref="D113:Q113" si="29">D114+D116+D119+D134+D163</f>
        <v>335165.38</v>
      </c>
      <c r="E113" s="182">
        <f t="shared" si="29"/>
        <v>358303.1</v>
      </c>
      <c r="F113" s="182">
        <f t="shared" si="29"/>
        <v>356016.95999999996</v>
      </c>
      <c r="G113" s="182" t="e">
        <f t="shared" si="29"/>
        <v>#REF!</v>
      </c>
      <c r="H113" s="182" t="e">
        <f t="shared" si="29"/>
        <v>#REF!</v>
      </c>
      <c r="I113" s="182" t="e">
        <f t="shared" si="29"/>
        <v>#REF!</v>
      </c>
      <c r="J113" s="183">
        <f t="shared" si="29"/>
        <v>326667.31</v>
      </c>
      <c r="K113" s="183">
        <f>K114+K116+K119+K134+K163</f>
        <v>93823.31</v>
      </c>
      <c r="L113" s="183">
        <f>L114+L116+L119+L134+L163</f>
        <v>96789</v>
      </c>
      <c r="M113" s="183">
        <f>M114+M116+M119+M134+M163</f>
        <v>84022</v>
      </c>
      <c r="N113" s="183">
        <f>N114+N116+N119+N134+N163</f>
        <v>52033</v>
      </c>
      <c r="O113" s="183">
        <f t="shared" si="29"/>
        <v>363169</v>
      </c>
      <c r="P113" s="183">
        <f t="shared" si="29"/>
        <v>366635</v>
      </c>
      <c r="Q113" s="183">
        <f t="shared" si="29"/>
        <v>361020</v>
      </c>
      <c r="R113" s="4"/>
    </row>
    <row r="114" spans="1:18" ht="15.75" customHeight="1">
      <c r="A114" s="75" t="s">
        <v>13</v>
      </c>
      <c r="B114" s="80" t="s">
        <v>14</v>
      </c>
      <c r="C114" s="157">
        <v>1.02</v>
      </c>
      <c r="D114" s="35">
        <f t="shared" ref="D114:Q114" si="30">D115</f>
        <v>163.16999999999999</v>
      </c>
      <c r="E114" s="35">
        <f t="shared" si="30"/>
        <v>180</v>
      </c>
      <c r="F114" s="35">
        <f t="shared" si="30"/>
        <v>178.4</v>
      </c>
      <c r="G114" s="35">
        <f t="shared" si="30"/>
        <v>180</v>
      </c>
      <c r="H114" s="35">
        <f t="shared" si="30"/>
        <v>0</v>
      </c>
      <c r="I114" s="35">
        <f t="shared" si="30"/>
        <v>180</v>
      </c>
      <c r="J114" s="135">
        <f t="shared" si="30"/>
        <v>180</v>
      </c>
      <c r="K114" s="135">
        <f t="shared" si="30"/>
        <v>0</v>
      </c>
      <c r="L114" s="135">
        <f t="shared" si="30"/>
        <v>90</v>
      </c>
      <c r="M114" s="135">
        <f t="shared" si="30"/>
        <v>90</v>
      </c>
      <c r="N114" s="135">
        <f t="shared" si="30"/>
        <v>0</v>
      </c>
      <c r="O114" s="135">
        <f t="shared" si="30"/>
        <v>180</v>
      </c>
      <c r="P114" s="135">
        <f t="shared" si="30"/>
        <v>180</v>
      </c>
      <c r="Q114" s="135">
        <f t="shared" si="30"/>
        <v>180</v>
      </c>
      <c r="R114" s="4"/>
    </row>
    <row r="115" spans="1:18" ht="16.5" customHeight="1">
      <c r="A115" s="75"/>
      <c r="B115" s="81" t="s">
        <v>15</v>
      </c>
      <c r="C115" s="158" t="s">
        <v>16</v>
      </c>
      <c r="D115" s="37">
        <f>D12</f>
        <v>163.16999999999999</v>
      </c>
      <c r="E115" s="37">
        <f>E12</f>
        <v>180</v>
      </c>
      <c r="F115" s="32">
        <f>F13</f>
        <v>178.4</v>
      </c>
      <c r="G115" s="32">
        <f>G13</f>
        <v>180</v>
      </c>
      <c r="H115" s="32">
        <f>H13</f>
        <v>0</v>
      </c>
      <c r="I115" s="37">
        <f>I12</f>
        <v>180</v>
      </c>
      <c r="J115" s="137">
        <f t="shared" ref="J115:Q115" si="31">J13</f>
        <v>180</v>
      </c>
      <c r="K115" s="137">
        <f t="shared" si="31"/>
        <v>0</v>
      </c>
      <c r="L115" s="137">
        <f t="shared" si="31"/>
        <v>90</v>
      </c>
      <c r="M115" s="137">
        <f t="shared" si="31"/>
        <v>90</v>
      </c>
      <c r="N115" s="137">
        <f t="shared" si="31"/>
        <v>0</v>
      </c>
      <c r="O115" s="137">
        <f t="shared" si="31"/>
        <v>180</v>
      </c>
      <c r="P115" s="137">
        <f t="shared" si="31"/>
        <v>180</v>
      </c>
      <c r="Q115" s="137">
        <f t="shared" si="31"/>
        <v>180</v>
      </c>
      <c r="R115" s="4"/>
    </row>
    <row r="116" spans="1:18" ht="16.5" customHeight="1">
      <c r="A116" s="75" t="s">
        <v>17</v>
      </c>
      <c r="B116" s="82" t="s">
        <v>18</v>
      </c>
      <c r="C116" s="159">
        <v>4.0199999999999996</v>
      </c>
      <c r="D116" s="40">
        <f t="shared" ref="D116:Q116" si="32">D117+D118</f>
        <v>123531.55</v>
      </c>
      <c r="E116" s="40">
        <f t="shared" si="32"/>
        <v>137770</v>
      </c>
      <c r="F116" s="40">
        <f t="shared" si="32"/>
        <v>142920.71</v>
      </c>
      <c r="G116" s="40">
        <f t="shared" si="32"/>
        <v>100544</v>
      </c>
      <c r="H116" s="40">
        <f t="shared" si="32"/>
        <v>0</v>
      </c>
      <c r="I116" s="40">
        <f t="shared" si="32"/>
        <v>0</v>
      </c>
      <c r="J116" s="139">
        <f t="shared" si="32"/>
        <v>100544</v>
      </c>
      <c r="K116" s="139">
        <f>K117+K118</f>
        <v>36166</v>
      </c>
      <c r="L116" s="139">
        <f>L117+L118</f>
        <v>35533</v>
      </c>
      <c r="M116" s="139">
        <f>M117+M118</f>
        <v>16758</v>
      </c>
      <c r="N116" s="139">
        <f>N117+N118</f>
        <v>12087</v>
      </c>
      <c r="O116" s="139">
        <f t="shared" si="32"/>
        <v>103779</v>
      </c>
      <c r="P116" s="139">
        <f t="shared" si="32"/>
        <v>109683</v>
      </c>
      <c r="Q116" s="139">
        <f t="shared" si="32"/>
        <v>115275</v>
      </c>
      <c r="R116" s="4"/>
    </row>
    <row r="117" spans="1:18" ht="18" customHeight="1">
      <c r="A117" s="75"/>
      <c r="B117" s="89" t="s">
        <v>158</v>
      </c>
      <c r="C117" s="47" t="s">
        <v>19</v>
      </c>
      <c r="D117" s="37">
        <f t="shared" ref="D117:I118" si="33">D15</f>
        <v>85548.160000000003</v>
      </c>
      <c r="E117" s="37">
        <f t="shared" si="33"/>
        <v>93824</v>
      </c>
      <c r="F117" s="32">
        <f t="shared" si="33"/>
        <v>98975.56</v>
      </c>
      <c r="G117" s="32">
        <f t="shared" si="33"/>
        <v>71106</v>
      </c>
      <c r="H117" s="32">
        <f t="shared" si="33"/>
        <v>0</v>
      </c>
      <c r="I117" s="37">
        <f t="shared" si="33"/>
        <v>0</v>
      </c>
      <c r="J117" s="137">
        <f t="shared" ref="J117:N118" si="34">J15</f>
        <v>71106</v>
      </c>
      <c r="K117" s="137">
        <f t="shared" si="34"/>
        <v>26166</v>
      </c>
      <c r="L117" s="137">
        <f t="shared" si="34"/>
        <v>25533</v>
      </c>
      <c r="M117" s="137">
        <f t="shared" si="34"/>
        <v>11020</v>
      </c>
      <c r="N117" s="137">
        <f t="shared" si="34"/>
        <v>8387</v>
      </c>
      <c r="O117" s="137">
        <f t="shared" ref="O117:Q118" si="35">O15</f>
        <v>75159</v>
      </c>
      <c r="P117" s="137">
        <f t="shared" si="35"/>
        <v>79443</v>
      </c>
      <c r="Q117" s="137">
        <f t="shared" si="35"/>
        <v>83415</v>
      </c>
      <c r="R117" s="4"/>
    </row>
    <row r="118" spans="1:18" ht="15.75" customHeight="1">
      <c r="A118" s="75"/>
      <c r="B118" s="89" t="s">
        <v>159</v>
      </c>
      <c r="C118" s="47" t="s">
        <v>20</v>
      </c>
      <c r="D118" s="37">
        <f t="shared" si="33"/>
        <v>37983.39</v>
      </c>
      <c r="E118" s="37">
        <f t="shared" si="33"/>
        <v>43946</v>
      </c>
      <c r="F118" s="32">
        <f t="shared" si="33"/>
        <v>43945.15</v>
      </c>
      <c r="G118" s="32">
        <f t="shared" si="33"/>
        <v>29438</v>
      </c>
      <c r="H118" s="32">
        <f t="shared" si="33"/>
        <v>0</v>
      </c>
      <c r="I118" s="37">
        <f t="shared" si="33"/>
        <v>0</v>
      </c>
      <c r="J118" s="137">
        <f t="shared" si="34"/>
        <v>29438</v>
      </c>
      <c r="K118" s="137">
        <f t="shared" si="34"/>
        <v>10000</v>
      </c>
      <c r="L118" s="137">
        <f t="shared" si="34"/>
        <v>10000</v>
      </c>
      <c r="M118" s="137">
        <f t="shared" si="34"/>
        <v>5738</v>
      </c>
      <c r="N118" s="137">
        <f t="shared" si="34"/>
        <v>3700</v>
      </c>
      <c r="O118" s="137">
        <f t="shared" si="35"/>
        <v>28620</v>
      </c>
      <c r="P118" s="137">
        <f t="shared" si="35"/>
        <v>30240</v>
      </c>
      <c r="Q118" s="137">
        <f t="shared" si="35"/>
        <v>31860</v>
      </c>
      <c r="R118" s="4"/>
    </row>
    <row r="119" spans="1:18" ht="18" customHeight="1">
      <c r="A119" s="75" t="s">
        <v>21</v>
      </c>
      <c r="B119" s="82" t="s">
        <v>22</v>
      </c>
      <c r="C119" s="47" t="s">
        <v>23</v>
      </c>
      <c r="D119" s="40">
        <f t="shared" ref="D119:Q119" si="36">D120+D132+D133</f>
        <v>101387.5</v>
      </c>
      <c r="E119" s="40">
        <f t="shared" si="36"/>
        <v>112293</v>
      </c>
      <c r="F119" s="40">
        <f t="shared" si="36"/>
        <v>101964.45</v>
      </c>
      <c r="G119" s="40">
        <f t="shared" si="36"/>
        <v>75580</v>
      </c>
      <c r="H119" s="40">
        <f t="shared" si="36"/>
        <v>0</v>
      </c>
      <c r="I119" s="40">
        <f t="shared" si="36"/>
        <v>1720</v>
      </c>
      <c r="J119" s="139">
        <f t="shared" si="36"/>
        <v>75580</v>
      </c>
      <c r="K119" s="139">
        <f>K120+K132+K133</f>
        <v>21500</v>
      </c>
      <c r="L119" s="139">
        <f>L120+L132+L133</f>
        <v>21500</v>
      </c>
      <c r="M119" s="139">
        <f>M120+M132+M133</f>
        <v>20000</v>
      </c>
      <c r="N119" s="139">
        <f>N120+N132+N133</f>
        <v>12580</v>
      </c>
      <c r="O119" s="139">
        <f t="shared" si="36"/>
        <v>113313</v>
      </c>
      <c r="P119" s="139">
        <f t="shared" si="36"/>
        <v>106496</v>
      </c>
      <c r="Q119" s="139">
        <f t="shared" si="36"/>
        <v>93933</v>
      </c>
      <c r="R119" s="4"/>
    </row>
    <row r="120" spans="1:18" ht="18" customHeight="1">
      <c r="A120" s="90">
        <v>1</v>
      </c>
      <c r="B120" s="82" t="s">
        <v>160</v>
      </c>
      <c r="C120" s="47" t="s">
        <v>24</v>
      </c>
      <c r="D120" s="35">
        <f t="shared" ref="D120:N120" si="37">D121+D122+D124+D125+D126+D127+D130+D131+D123</f>
        <v>83783.5</v>
      </c>
      <c r="E120" s="35">
        <f t="shared" si="37"/>
        <v>88017</v>
      </c>
      <c r="F120" s="35">
        <f t="shared" si="37"/>
        <v>77688.45</v>
      </c>
      <c r="G120" s="35">
        <f t="shared" si="37"/>
        <v>64373</v>
      </c>
      <c r="H120" s="35">
        <f t="shared" si="37"/>
        <v>0</v>
      </c>
      <c r="I120" s="35">
        <f t="shared" si="37"/>
        <v>1720</v>
      </c>
      <c r="J120" s="135">
        <f t="shared" si="37"/>
        <v>64373</v>
      </c>
      <c r="K120" s="135">
        <f t="shared" si="37"/>
        <v>19500</v>
      </c>
      <c r="L120" s="135">
        <f t="shared" si="37"/>
        <v>18000</v>
      </c>
      <c r="M120" s="135">
        <f t="shared" si="37"/>
        <v>16500</v>
      </c>
      <c r="N120" s="135">
        <f t="shared" si="37"/>
        <v>10373</v>
      </c>
      <c r="O120" s="135">
        <f>O121+O122+O124+O125+O126+O127+O130+O131+O123</f>
        <v>68101</v>
      </c>
      <c r="P120" s="135">
        <f>P121+P122+P124+P125+P126+P127+P130+P131+P123</f>
        <v>68113</v>
      </c>
      <c r="Q120" s="135">
        <f>Q121+Q122+Q124+Q125+Q126+Q127+Q130+Q131+Q123</f>
        <v>68179</v>
      </c>
      <c r="R120" s="4"/>
    </row>
    <row r="121" spans="1:18" ht="16.5" customHeight="1">
      <c r="A121" s="90"/>
      <c r="B121" s="89" t="s">
        <v>25</v>
      </c>
      <c r="C121" s="47" t="s">
        <v>24</v>
      </c>
      <c r="D121" s="37">
        <f t="shared" ref="D121:Q126" si="38">D19</f>
        <v>16825.5</v>
      </c>
      <c r="E121" s="37">
        <f t="shared" si="38"/>
        <v>21591</v>
      </c>
      <c r="F121" s="37">
        <f t="shared" si="38"/>
        <v>21591</v>
      </c>
      <c r="G121" s="37">
        <f t="shared" si="38"/>
        <v>21999</v>
      </c>
      <c r="H121" s="37">
        <f t="shared" si="38"/>
        <v>0</v>
      </c>
      <c r="I121" s="37">
        <f t="shared" si="38"/>
        <v>0</v>
      </c>
      <c r="J121" s="140">
        <f t="shared" si="38"/>
        <v>21999</v>
      </c>
      <c r="K121" s="140">
        <f t="shared" ref="K121:N126" si="39">K19</f>
        <v>10980</v>
      </c>
      <c r="L121" s="140">
        <f t="shared" si="39"/>
        <v>8925</v>
      </c>
      <c r="M121" s="140">
        <f t="shared" si="39"/>
        <v>1000</v>
      </c>
      <c r="N121" s="140">
        <f t="shared" si="39"/>
        <v>1094</v>
      </c>
      <c r="O121" s="140">
        <f t="shared" si="38"/>
        <v>21999</v>
      </c>
      <c r="P121" s="140">
        <f t="shared" si="38"/>
        <v>21999</v>
      </c>
      <c r="Q121" s="140">
        <f t="shared" si="38"/>
        <v>21999</v>
      </c>
      <c r="R121" s="4"/>
    </row>
    <row r="122" spans="1:18" ht="12.75" customHeight="1">
      <c r="A122" s="90"/>
      <c r="B122" s="89" t="s">
        <v>552</v>
      </c>
      <c r="C122" s="47" t="s">
        <v>24</v>
      </c>
      <c r="D122" s="37">
        <f t="shared" si="38"/>
        <v>22277</v>
      </c>
      <c r="E122" s="37">
        <f t="shared" si="38"/>
        <v>17178</v>
      </c>
      <c r="F122" s="37">
        <f t="shared" si="38"/>
        <v>17178</v>
      </c>
      <c r="G122" s="37">
        <f t="shared" si="38"/>
        <v>17083</v>
      </c>
      <c r="H122" s="37">
        <f t="shared" si="38"/>
        <v>0</v>
      </c>
      <c r="I122" s="37">
        <f t="shared" si="38"/>
        <v>0</v>
      </c>
      <c r="J122" s="140">
        <f t="shared" si="38"/>
        <v>17083</v>
      </c>
      <c r="K122" s="140">
        <f t="shared" si="39"/>
        <v>3200</v>
      </c>
      <c r="L122" s="140">
        <f t="shared" si="39"/>
        <v>3000</v>
      </c>
      <c r="M122" s="140">
        <f t="shared" si="39"/>
        <v>9380</v>
      </c>
      <c r="N122" s="140">
        <f t="shared" si="39"/>
        <v>1503</v>
      </c>
      <c r="O122" s="140">
        <f t="shared" si="38"/>
        <v>17083</v>
      </c>
      <c r="P122" s="140">
        <f t="shared" si="38"/>
        <v>17083</v>
      </c>
      <c r="Q122" s="140">
        <f t="shared" si="38"/>
        <v>17083</v>
      </c>
      <c r="R122" s="4"/>
    </row>
    <row r="123" spans="1:18" ht="12.75" customHeight="1">
      <c r="A123" s="90"/>
      <c r="B123" s="89" t="s">
        <v>27</v>
      </c>
      <c r="C123" s="47" t="s">
        <v>24</v>
      </c>
      <c r="D123" s="37">
        <f t="shared" si="38"/>
        <v>0</v>
      </c>
      <c r="E123" s="37">
        <f t="shared" si="38"/>
        <v>71</v>
      </c>
      <c r="F123" s="37">
        <f t="shared" si="38"/>
        <v>71</v>
      </c>
      <c r="G123" s="37">
        <f t="shared" si="38"/>
        <v>71</v>
      </c>
      <c r="H123" s="37">
        <f t="shared" si="38"/>
        <v>0</v>
      </c>
      <c r="I123" s="37">
        <f t="shared" si="38"/>
        <v>0</v>
      </c>
      <c r="J123" s="140">
        <f t="shared" si="38"/>
        <v>71</v>
      </c>
      <c r="K123" s="140">
        <f t="shared" si="39"/>
        <v>20</v>
      </c>
      <c r="L123" s="140">
        <f t="shared" si="39"/>
        <v>20</v>
      </c>
      <c r="M123" s="140">
        <f t="shared" si="39"/>
        <v>20</v>
      </c>
      <c r="N123" s="140">
        <f t="shared" si="39"/>
        <v>11</v>
      </c>
      <c r="O123" s="140">
        <f t="shared" si="38"/>
        <v>71</v>
      </c>
      <c r="P123" s="140">
        <f t="shared" si="38"/>
        <v>71</v>
      </c>
      <c r="Q123" s="140">
        <f t="shared" si="38"/>
        <v>71</v>
      </c>
      <c r="R123" s="4"/>
    </row>
    <row r="124" spans="1:18" ht="15" customHeight="1">
      <c r="A124" s="90"/>
      <c r="B124" s="89" t="s">
        <v>553</v>
      </c>
      <c r="C124" s="47" t="s">
        <v>24</v>
      </c>
      <c r="D124" s="37">
        <f t="shared" si="38"/>
        <v>12539</v>
      </c>
      <c r="E124" s="37">
        <f t="shared" si="38"/>
        <v>14144</v>
      </c>
      <c r="F124" s="37">
        <f t="shared" si="38"/>
        <v>3815.45</v>
      </c>
      <c r="G124" s="37">
        <f t="shared" si="38"/>
        <v>9286</v>
      </c>
      <c r="H124" s="37">
        <f t="shared" si="38"/>
        <v>0</v>
      </c>
      <c r="I124" s="37">
        <f t="shared" si="38"/>
        <v>0</v>
      </c>
      <c r="J124" s="140">
        <f t="shared" si="38"/>
        <v>9286</v>
      </c>
      <c r="K124" s="140">
        <f t="shared" si="39"/>
        <v>1700</v>
      </c>
      <c r="L124" s="140">
        <f t="shared" si="39"/>
        <v>2800</v>
      </c>
      <c r="M124" s="140">
        <f t="shared" si="39"/>
        <v>1800</v>
      </c>
      <c r="N124" s="140">
        <f t="shared" si="39"/>
        <v>2986</v>
      </c>
      <c r="O124" s="140">
        <f t="shared" si="38"/>
        <v>12975</v>
      </c>
      <c r="P124" s="140">
        <f t="shared" si="38"/>
        <v>12949</v>
      </c>
      <c r="Q124" s="140">
        <f t="shared" si="38"/>
        <v>12980</v>
      </c>
      <c r="R124" s="4"/>
    </row>
    <row r="125" spans="1:18" ht="0.75" customHeight="1">
      <c r="A125" s="90"/>
      <c r="B125" s="89" t="s">
        <v>30</v>
      </c>
      <c r="C125" s="47"/>
      <c r="D125" s="37">
        <f t="shared" si="38"/>
        <v>1404</v>
      </c>
      <c r="E125" s="37">
        <f t="shared" si="38"/>
        <v>1616</v>
      </c>
      <c r="F125" s="37">
        <f t="shared" si="38"/>
        <v>1616</v>
      </c>
      <c r="G125" s="37">
        <f t="shared" si="38"/>
        <v>0</v>
      </c>
      <c r="H125" s="37">
        <f t="shared" si="38"/>
        <v>0</v>
      </c>
      <c r="I125" s="37">
        <f t="shared" si="38"/>
        <v>1616</v>
      </c>
      <c r="J125" s="140">
        <f t="shared" si="38"/>
        <v>0</v>
      </c>
      <c r="K125" s="140">
        <f t="shared" si="39"/>
        <v>0</v>
      </c>
      <c r="L125" s="140">
        <f t="shared" si="39"/>
        <v>0</v>
      </c>
      <c r="M125" s="140">
        <f t="shared" si="39"/>
        <v>0</v>
      </c>
      <c r="N125" s="140">
        <f t="shared" si="39"/>
        <v>0</v>
      </c>
      <c r="O125" s="140">
        <f t="shared" si="38"/>
        <v>0</v>
      </c>
      <c r="P125" s="140">
        <f t="shared" si="38"/>
        <v>0</v>
      </c>
      <c r="Q125" s="140">
        <f t="shared" si="38"/>
        <v>0</v>
      </c>
      <c r="R125" s="4"/>
    </row>
    <row r="126" spans="1:18" ht="16.5" customHeight="1">
      <c r="A126" s="90"/>
      <c r="B126" s="89" t="s">
        <v>161</v>
      </c>
      <c r="C126" s="47" t="s">
        <v>24</v>
      </c>
      <c r="D126" s="37">
        <f t="shared" si="38"/>
        <v>17018</v>
      </c>
      <c r="E126" s="37">
        <f t="shared" si="38"/>
        <v>21573</v>
      </c>
      <c r="F126" s="37">
        <f t="shared" si="38"/>
        <v>21573</v>
      </c>
      <c r="G126" s="37">
        <f t="shared" si="38"/>
        <v>2654</v>
      </c>
      <c r="H126" s="37">
        <f t="shared" si="38"/>
        <v>0</v>
      </c>
      <c r="I126" s="37">
        <f t="shared" si="38"/>
        <v>104</v>
      </c>
      <c r="J126" s="140">
        <f t="shared" si="38"/>
        <v>2654</v>
      </c>
      <c r="K126" s="140">
        <f t="shared" si="39"/>
        <v>500</v>
      </c>
      <c r="L126" s="140">
        <f t="shared" si="39"/>
        <v>755</v>
      </c>
      <c r="M126" s="140">
        <f t="shared" si="39"/>
        <v>700</v>
      </c>
      <c r="N126" s="140">
        <f t="shared" si="39"/>
        <v>699</v>
      </c>
      <c r="O126" s="140">
        <f t="shared" si="38"/>
        <v>2683</v>
      </c>
      <c r="P126" s="140">
        <f t="shared" si="38"/>
        <v>2712</v>
      </c>
      <c r="Q126" s="140">
        <f t="shared" si="38"/>
        <v>2738</v>
      </c>
      <c r="R126" s="4"/>
    </row>
    <row r="127" spans="1:18" ht="16.5" customHeight="1">
      <c r="A127" s="90"/>
      <c r="B127" s="89" t="s">
        <v>162</v>
      </c>
      <c r="C127" s="47" t="s">
        <v>24</v>
      </c>
      <c r="D127" s="37">
        <f t="shared" ref="D127:Q133" si="40">D29</f>
        <v>10034</v>
      </c>
      <c r="E127" s="37">
        <f t="shared" si="40"/>
        <v>11655</v>
      </c>
      <c r="F127" s="37">
        <f t="shared" si="40"/>
        <v>11655</v>
      </c>
      <c r="G127" s="37">
        <f t="shared" si="40"/>
        <v>13055</v>
      </c>
      <c r="H127" s="37">
        <f t="shared" si="40"/>
        <v>0</v>
      </c>
      <c r="I127" s="37">
        <f t="shared" si="40"/>
        <v>0</v>
      </c>
      <c r="J127" s="140">
        <f t="shared" si="40"/>
        <v>13055</v>
      </c>
      <c r="K127" s="140">
        <f t="shared" ref="K127:N133" si="41">K29</f>
        <v>3100</v>
      </c>
      <c r="L127" s="140">
        <f t="shared" si="41"/>
        <v>2500</v>
      </c>
      <c r="M127" s="140">
        <f t="shared" si="41"/>
        <v>3600</v>
      </c>
      <c r="N127" s="140">
        <f t="shared" si="41"/>
        <v>3855</v>
      </c>
      <c r="O127" s="140">
        <f t="shared" si="40"/>
        <v>13055</v>
      </c>
      <c r="P127" s="140">
        <f t="shared" si="40"/>
        <v>13055</v>
      </c>
      <c r="Q127" s="140">
        <f t="shared" si="40"/>
        <v>13055</v>
      </c>
      <c r="R127" s="4"/>
    </row>
    <row r="128" spans="1:18" ht="14.25" customHeight="1">
      <c r="A128" s="90"/>
      <c r="B128" s="89" t="s">
        <v>163</v>
      </c>
      <c r="C128" s="47" t="s">
        <v>24</v>
      </c>
      <c r="D128" s="37">
        <f t="shared" si="40"/>
        <v>9934</v>
      </c>
      <c r="E128" s="37">
        <f t="shared" si="40"/>
        <v>11455</v>
      </c>
      <c r="F128" s="37">
        <f t="shared" si="40"/>
        <v>11455</v>
      </c>
      <c r="G128" s="37">
        <f t="shared" si="40"/>
        <v>12855</v>
      </c>
      <c r="H128" s="37">
        <f t="shared" si="40"/>
        <v>0</v>
      </c>
      <c r="I128" s="37">
        <f t="shared" si="40"/>
        <v>0</v>
      </c>
      <c r="J128" s="140">
        <f t="shared" si="40"/>
        <v>12855</v>
      </c>
      <c r="K128" s="140">
        <f t="shared" si="41"/>
        <v>3100</v>
      </c>
      <c r="L128" s="140">
        <f t="shared" si="41"/>
        <v>2500</v>
      </c>
      <c r="M128" s="140">
        <f t="shared" si="41"/>
        <v>3600</v>
      </c>
      <c r="N128" s="140">
        <f t="shared" si="41"/>
        <v>3655</v>
      </c>
      <c r="O128" s="140">
        <f t="shared" si="40"/>
        <v>12855</v>
      </c>
      <c r="P128" s="140">
        <f t="shared" si="40"/>
        <v>12855</v>
      </c>
      <c r="Q128" s="140">
        <f t="shared" si="40"/>
        <v>12855</v>
      </c>
      <c r="R128" s="4"/>
    </row>
    <row r="129" spans="1:18" ht="15" customHeight="1">
      <c r="A129" s="90"/>
      <c r="B129" s="89" t="s">
        <v>164</v>
      </c>
      <c r="C129" s="47" t="s">
        <v>24</v>
      </c>
      <c r="D129" s="37">
        <f t="shared" si="40"/>
        <v>100</v>
      </c>
      <c r="E129" s="37">
        <f t="shared" si="40"/>
        <v>200</v>
      </c>
      <c r="F129" s="37">
        <f t="shared" si="40"/>
        <v>200</v>
      </c>
      <c r="G129" s="37">
        <f t="shared" si="40"/>
        <v>200</v>
      </c>
      <c r="H129" s="37">
        <f t="shared" si="40"/>
        <v>0</v>
      </c>
      <c r="I129" s="37">
        <f t="shared" si="40"/>
        <v>0</v>
      </c>
      <c r="J129" s="140">
        <f t="shared" si="40"/>
        <v>200</v>
      </c>
      <c r="K129" s="140">
        <f t="shared" si="41"/>
        <v>0</v>
      </c>
      <c r="L129" s="140">
        <f t="shared" si="41"/>
        <v>0</v>
      </c>
      <c r="M129" s="140">
        <f t="shared" si="41"/>
        <v>0</v>
      </c>
      <c r="N129" s="140">
        <f t="shared" si="41"/>
        <v>200</v>
      </c>
      <c r="O129" s="140">
        <f t="shared" si="40"/>
        <v>200</v>
      </c>
      <c r="P129" s="140">
        <f t="shared" si="40"/>
        <v>200</v>
      </c>
      <c r="Q129" s="140">
        <f t="shared" si="40"/>
        <v>200</v>
      </c>
      <c r="R129" s="4"/>
    </row>
    <row r="130" spans="1:18" ht="18.75" customHeight="1">
      <c r="A130" s="90"/>
      <c r="B130" s="89" t="s">
        <v>37</v>
      </c>
      <c r="C130" s="47" t="s">
        <v>24</v>
      </c>
      <c r="D130" s="37">
        <f t="shared" si="40"/>
        <v>100</v>
      </c>
      <c r="E130" s="37">
        <f t="shared" si="40"/>
        <v>189</v>
      </c>
      <c r="F130" s="37">
        <f t="shared" si="40"/>
        <v>189</v>
      </c>
      <c r="G130" s="37">
        <f t="shared" si="40"/>
        <v>225</v>
      </c>
      <c r="H130" s="37">
        <f t="shared" si="40"/>
        <v>0</v>
      </c>
      <c r="I130" s="37">
        <f t="shared" si="40"/>
        <v>0</v>
      </c>
      <c r="J130" s="140">
        <f t="shared" si="40"/>
        <v>225</v>
      </c>
      <c r="K130" s="140">
        <f t="shared" si="41"/>
        <v>0</v>
      </c>
      <c r="L130" s="140">
        <f t="shared" si="41"/>
        <v>0</v>
      </c>
      <c r="M130" s="140">
        <f t="shared" si="41"/>
        <v>0</v>
      </c>
      <c r="N130" s="140">
        <f t="shared" si="41"/>
        <v>225</v>
      </c>
      <c r="O130" s="140">
        <f t="shared" si="40"/>
        <v>235</v>
      </c>
      <c r="P130" s="140">
        <f t="shared" si="40"/>
        <v>244</v>
      </c>
      <c r="Q130" s="140">
        <f t="shared" si="40"/>
        <v>253</v>
      </c>
      <c r="R130" s="4"/>
    </row>
    <row r="131" spans="1:18" ht="0.75" customHeight="1">
      <c r="A131" s="90"/>
      <c r="B131" s="88" t="s">
        <v>39</v>
      </c>
      <c r="C131" s="47"/>
      <c r="D131" s="37">
        <f>D33</f>
        <v>3586</v>
      </c>
      <c r="E131" s="37">
        <f t="shared" si="40"/>
        <v>0</v>
      </c>
      <c r="F131" s="37">
        <f t="shared" si="40"/>
        <v>0</v>
      </c>
      <c r="G131" s="37">
        <f t="shared" si="40"/>
        <v>0</v>
      </c>
      <c r="H131" s="37">
        <f t="shared" si="40"/>
        <v>0</v>
      </c>
      <c r="I131" s="37">
        <f t="shared" si="40"/>
        <v>0</v>
      </c>
      <c r="J131" s="140">
        <f t="shared" si="40"/>
        <v>0</v>
      </c>
      <c r="K131" s="140">
        <f t="shared" si="41"/>
        <v>0</v>
      </c>
      <c r="L131" s="140">
        <f t="shared" si="41"/>
        <v>0</v>
      </c>
      <c r="M131" s="140">
        <f t="shared" si="41"/>
        <v>0</v>
      </c>
      <c r="N131" s="140">
        <f t="shared" si="41"/>
        <v>0</v>
      </c>
      <c r="O131" s="140">
        <f t="shared" si="40"/>
        <v>0</v>
      </c>
      <c r="P131" s="140">
        <f t="shared" si="40"/>
        <v>0</v>
      </c>
      <c r="Q131" s="140">
        <f t="shared" si="40"/>
        <v>0</v>
      </c>
      <c r="R131" s="4"/>
    </row>
    <row r="132" spans="1:18" ht="18.75" customHeight="1">
      <c r="A132" s="90">
        <v>2</v>
      </c>
      <c r="B132" s="82" t="s">
        <v>40</v>
      </c>
      <c r="C132" s="47" t="s">
        <v>41</v>
      </c>
      <c r="D132" s="45">
        <f t="shared" ref="D132:I133" si="42">D34</f>
        <v>0</v>
      </c>
      <c r="E132" s="45">
        <f t="shared" si="42"/>
        <v>7112</v>
      </c>
      <c r="F132" s="45">
        <f t="shared" si="42"/>
        <v>7112</v>
      </c>
      <c r="G132" s="45">
        <f t="shared" si="42"/>
        <v>11207</v>
      </c>
      <c r="H132" s="45">
        <f t="shared" si="42"/>
        <v>0</v>
      </c>
      <c r="I132" s="45">
        <f t="shared" si="42"/>
        <v>0</v>
      </c>
      <c r="J132" s="143">
        <f t="shared" si="40"/>
        <v>11207</v>
      </c>
      <c r="K132" s="143">
        <f t="shared" si="41"/>
        <v>2000</v>
      </c>
      <c r="L132" s="143">
        <f t="shared" si="41"/>
        <v>3500</v>
      </c>
      <c r="M132" s="143">
        <f t="shared" si="41"/>
        <v>3500</v>
      </c>
      <c r="N132" s="143">
        <f t="shared" si="41"/>
        <v>2207</v>
      </c>
      <c r="O132" s="143">
        <f t="shared" si="40"/>
        <v>12452</v>
      </c>
      <c r="P132" s="143">
        <f t="shared" si="40"/>
        <v>12452</v>
      </c>
      <c r="Q132" s="143">
        <f t="shared" si="40"/>
        <v>12452</v>
      </c>
      <c r="R132" s="4"/>
    </row>
    <row r="133" spans="1:18" ht="15.75" customHeight="1">
      <c r="A133" s="90">
        <v>3</v>
      </c>
      <c r="B133" s="82" t="s">
        <v>42</v>
      </c>
      <c r="C133" s="47" t="s">
        <v>43</v>
      </c>
      <c r="D133" s="45">
        <f t="shared" si="42"/>
        <v>17604</v>
      </c>
      <c r="E133" s="45">
        <f t="shared" si="42"/>
        <v>17164</v>
      </c>
      <c r="F133" s="45">
        <f t="shared" si="42"/>
        <v>17164</v>
      </c>
      <c r="G133" s="45">
        <f t="shared" si="42"/>
        <v>0</v>
      </c>
      <c r="H133" s="45">
        <f t="shared" si="42"/>
        <v>0</v>
      </c>
      <c r="I133" s="45">
        <f t="shared" si="42"/>
        <v>0</v>
      </c>
      <c r="J133" s="143">
        <f t="shared" si="40"/>
        <v>0</v>
      </c>
      <c r="K133" s="143">
        <f t="shared" si="41"/>
        <v>0</v>
      </c>
      <c r="L133" s="143">
        <f t="shared" si="41"/>
        <v>0</v>
      </c>
      <c r="M133" s="143">
        <f t="shared" si="41"/>
        <v>0</v>
      </c>
      <c r="N133" s="143">
        <f t="shared" si="41"/>
        <v>0</v>
      </c>
      <c r="O133" s="143">
        <f t="shared" si="40"/>
        <v>32760</v>
      </c>
      <c r="P133" s="143">
        <f t="shared" si="40"/>
        <v>25931</v>
      </c>
      <c r="Q133" s="143">
        <f t="shared" si="40"/>
        <v>13302</v>
      </c>
      <c r="R133" s="4"/>
    </row>
    <row r="134" spans="1:18" ht="21.75" customHeight="1">
      <c r="A134" s="75" t="s">
        <v>44</v>
      </c>
      <c r="B134" s="82" t="s">
        <v>165</v>
      </c>
      <c r="C134" s="159"/>
      <c r="D134" s="40">
        <f>D135+D139+D146+D153+D156+D151</f>
        <v>7033.0300000000007</v>
      </c>
      <c r="E134" s="40">
        <f t="shared" ref="E134:Q134" si="43">E135+E139+E146+E153+E156+E151</f>
        <v>1449.1000000000004</v>
      </c>
      <c r="F134" s="40">
        <f t="shared" si="43"/>
        <v>4577.3100000000004</v>
      </c>
      <c r="G134" s="40" t="e">
        <f t="shared" si="43"/>
        <v>#REF!</v>
      </c>
      <c r="H134" s="40" t="e">
        <f t="shared" si="43"/>
        <v>#REF!</v>
      </c>
      <c r="I134" s="40" t="e">
        <f t="shared" si="43"/>
        <v>#REF!</v>
      </c>
      <c r="J134" s="139">
        <f t="shared" si="43"/>
        <v>10125.31</v>
      </c>
      <c r="K134" s="139">
        <f>K135+K139+K146+K153+K156+K151</f>
        <v>2614.31</v>
      </c>
      <c r="L134" s="139">
        <f>L135+L139+L146+L153+L156+L151</f>
        <v>2504</v>
      </c>
      <c r="M134" s="139">
        <f>M135+M139+M146+M153+M156+M151</f>
        <v>2503</v>
      </c>
      <c r="N134" s="139">
        <f>N135+N139+N146+N153+N156+N151</f>
        <v>2504</v>
      </c>
      <c r="O134" s="139">
        <f t="shared" si="43"/>
        <v>1867</v>
      </c>
      <c r="P134" s="139">
        <f t="shared" si="43"/>
        <v>4241</v>
      </c>
      <c r="Q134" s="139">
        <f t="shared" si="43"/>
        <v>4592</v>
      </c>
      <c r="R134" s="4"/>
    </row>
    <row r="135" spans="1:18" ht="19.5" customHeight="1">
      <c r="A135" s="90">
        <v>1</v>
      </c>
      <c r="B135" s="82" t="s">
        <v>166</v>
      </c>
      <c r="C135" s="47">
        <v>16.02</v>
      </c>
      <c r="D135" s="45">
        <f t="shared" ref="D135:Q135" si="44">D136+D138+D137</f>
        <v>2466.8199999999997</v>
      </c>
      <c r="E135" s="45">
        <f t="shared" si="44"/>
        <v>2183</v>
      </c>
      <c r="F135" s="45">
        <f t="shared" si="44"/>
        <v>2119.08</v>
      </c>
      <c r="G135" s="45">
        <f t="shared" si="44"/>
        <v>2750</v>
      </c>
      <c r="H135" s="45">
        <f t="shared" si="44"/>
        <v>0</v>
      </c>
      <c r="I135" s="45">
        <f t="shared" si="44"/>
        <v>2058</v>
      </c>
      <c r="J135" s="143">
        <f t="shared" si="44"/>
        <v>2750</v>
      </c>
      <c r="K135" s="143">
        <f>K136+K138+K137</f>
        <v>687</v>
      </c>
      <c r="L135" s="143">
        <f>L136+L138+L137</f>
        <v>688</v>
      </c>
      <c r="M135" s="143">
        <f>M136+M138+M137</f>
        <v>687</v>
      </c>
      <c r="N135" s="143">
        <f>N136+N138+N137</f>
        <v>688</v>
      </c>
      <c r="O135" s="143">
        <f t="shared" si="44"/>
        <v>2760</v>
      </c>
      <c r="P135" s="143">
        <f t="shared" si="44"/>
        <v>2770</v>
      </c>
      <c r="Q135" s="143">
        <f t="shared" si="44"/>
        <v>2780</v>
      </c>
      <c r="R135" s="4"/>
    </row>
    <row r="136" spans="1:18" ht="22.5" customHeight="1">
      <c r="A136" s="90"/>
      <c r="B136" s="89" t="s">
        <v>46</v>
      </c>
      <c r="C136" s="47" t="s">
        <v>47</v>
      </c>
      <c r="D136" s="37">
        <f t="shared" ref="D136:Q139" si="45">D39</f>
        <v>103.09</v>
      </c>
      <c r="E136" s="37">
        <f t="shared" si="45"/>
        <v>108</v>
      </c>
      <c r="F136" s="37">
        <f t="shared" si="45"/>
        <v>120.78</v>
      </c>
      <c r="G136" s="37">
        <f t="shared" si="45"/>
        <v>250</v>
      </c>
      <c r="H136" s="37">
        <f t="shared" si="45"/>
        <v>0</v>
      </c>
      <c r="I136" s="37">
        <f t="shared" si="45"/>
        <v>108</v>
      </c>
      <c r="J136" s="140">
        <f t="shared" si="45"/>
        <v>250</v>
      </c>
      <c r="K136" s="140">
        <f t="shared" ref="K136:N139" si="46">K39</f>
        <v>62</v>
      </c>
      <c r="L136" s="140">
        <f t="shared" si="46"/>
        <v>63</v>
      </c>
      <c r="M136" s="140">
        <f t="shared" si="46"/>
        <v>62</v>
      </c>
      <c r="N136" s="140">
        <f t="shared" si="46"/>
        <v>63</v>
      </c>
      <c r="O136" s="140">
        <f t="shared" si="45"/>
        <v>260</v>
      </c>
      <c r="P136" s="140">
        <f t="shared" si="45"/>
        <v>270</v>
      </c>
      <c r="Q136" s="140">
        <f t="shared" si="45"/>
        <v>280</v>
      </c>
      <c r="R136" s="4"/>
    </row>
    <row r="137" spans="1:18" ht="20.25" customHeight="1">
      <c r="A137" s="90"/>
      <c r="B137" s="89" t="s">
        <v>48</v>
      </c>
      <c r="C137" s="47" t="s">
        <v>49</v>
      </c>
      <c r="D137" s="37">
        <f t="shared" si="45"/>
        <v>1822.32</v>
      </c>
      <c r="E137" s="37">
        <f t="shared" si="45"/>
        <v>1975</v>
      </c>
      <c r="F137" s="37">
        <f t="shared" si="45"/>
        <v>1949.64</v>
      </c>
      <c r="G137" s="37">
        <f t="shared" si="45"/>
        <v>2400</v>
      </c>
      <c r="H137" s="37">
        <f t="shared" si="45"/>
        <v>0</v>
      </c>
      <c r="I137" s="37">
        <f t="shared" si="45"/>
        <v>1850</v>
      </c>
      <c r="J137" s="140">
        <f t="shared" si="45"/>
        <v>2400</v>
      </c>
      <c r="K137" s="140">
        <f t="shared" si="46"/>
        <v>600</v>
      </c>
      <c r="L137" s="140">
        <f t="shared" si="46"/>
        <v>600</v>
      </c>
      <c r="M137" s="140">
        <f t="shared" si="46"/>
        <v>600</v>
      </c>
      <c r="N137" s="140">
        <f t="shared" si="46"/>
        <v>600</v>
      </c>
      <c r="O137" s="140">
        <f t="shared" si="45"/>
        <v>2400</v>
      </c>
      <c r="P137" s="140">
        <f t="shared" si="45"/>
        <v>2400</v>
      </c>
      <c r="Q137" s="140">
        <f t="shared" si="45"/>
        <v>2400</v>
      </c>
      <c r="R137" s="4"/>
    </row>
    <row r="138" spans="1:18" ht="18.75" customHeight="1">
      <c r="A138" s="90"/>
      <c r="B138" s="89" t="s">
        <v>167</v>
      </c>
      <c r="C138" s="47" t="s">
        <v>51</v>
      </c>
      <c r="D138" s="37">
        <f t="shared" si="45"/>
        <v>541.41</v>
      </c>
      <c r="E138" s="37">
        <f t="shared" si="45"/>
        <v>100</v>
      </c>
      <c r="F138" s="37">
        <f t="shared" si="45"/>
        <v>48.66</v>
      </c>
      <c r="G138" s="37">
        <f t="shared" si="45"/>
        <v>100</v>
      </c>
      <c r="H138" s="37">
        <f t="shared" si="45"/>
        <v>0</v>
      </c>
      <c r="I138" s="37">
        <f t="shared" si="45"/>
        <v>100</v>
      </c>
      <c r="J138" s="140">
        <f t="shared" si="45"/>
        <v>100</v>
      </c>
      <c r="K138" s="140">
        <f t="shared" si="46"/>
        <v>25</v>
      </c>
      <c r="L138" s="140">
        <f t="shared" si="46"/>
        <v>25</v>
      </c>
      <c r="M138" s="140">
        <f t="shared" si="46"/>
        <v>25</v>
      </c>
      <c r="N138" s="140">
        <f t="shared" si="46"/>
        <v>25</v>
      </c>
      <c r="O138" s="140">
        <f t="shared" si="45"/>
        <v>100</v>
      </c>
      <c r="P138" s="140">
        <f t="shared" si="45"/>
        <v>100</v>
      </c>
      <c r="Q138" s="140">
        <f t="shared" si="45"/>
        <v>100</v>
      </c>
      <c r="R138" s="4"/>
    </row>
    <row r="139" spans="1:18" ht="18" customHeight="1">
      <c r="A139" s="90">
        <v>2</v>
      </c>
      <c r="B139" s="82" t="s">
        <v>52</v>
      </c>
      <c r="C139" s="47" t="s">
        <v>53</v>
      </c>
      <c r="D139" s="35">
        <f t="shared" si="45"/>
        <v>4063.4300000000003</v>
      </c>
      <c r="E139" s="35">
        <f t="shared" si="45"/>
        <v>4145</v>
      </c>
      <c r="F139" s="35">
        <f t="shared" si="45"/>
        <v>3893.27</v>
      </c>
      <c r="G139" s="35">
        <f t="shared" si="45"/>
        <v>4246</v>
      </c>
      <c r="H139" s="35">
        <f t="shared" si="45"/>
        <v>0</v>
      </c>
      <c r="I139" s="35">
        <f t="shared" si="45"/>
        <v>4145</v>
      </c>
      <c r="J139" s="135">
        <f t="shared" si="45"/>
        <v>4246</v>
      </c>
      <c r="K139" s="135">
        <f t="shared" si="46"/>
        <v>1116</v>
      </c>
      <c r="L139" s="135">
        <f t="shared" si="46"/>
        <v>1110</v>
      </c>
      <c r="M139" s="135">
        <f t="shared" si="46"/>
        <v>1010</v>
      </c>
      <c r="N139" s="135">
        <f t="shared" si="46"/>
        <v>1010</v>
      </c>
      <c r="O139" s="135">
        <f t="shared" si="45"/>
        <v>4250</v>
      </c>
      <c r="P139" s="135">
        <f t="shared" si="45"/>
        <v>4260</v>
      </c>
      <c r="Q139" s="135">
        <f t="shared" si="45"/>
        <v>4270</v>
      </c>
      <c r="R139" s="4"/>
    </row>
    <row r="140" spans="1:18" ht="0.75" customHeight="1">
      <c r="A140" s="90"/>
      <c r="B140" s="89" t="s">
        <v>54</v>
      </c>
      <c r="C140" s="47" t="s">
        <v>55</v>
      </c>
      <c r="D140" s="37">
        <v>0</v>
      </c>
      <c r="E140" s="37">
        <v>0</v>
      </c>
      <c r="F140" s="37">
        <v>0</v>
      </c>
      <c r="G140" s="37">
        <v>0</v>
      </c>
      <c r="H140" s="37">
        <v>0</v>
      </c>
      <c r="I140" s="37">
        <v>0</v>
      </c>
      <c r="J140" s="140">
        <v>0</v>
      </c>
      <c r="K140" s="140">
        <v>0</v>
      </c>
      <c r="L140" s="140">
        <v>0</v>
      </c>
      <c r="M140" s="140">
        <v>0</v>
      </c>
      <c r="N140" s="140">
        <v>0</v>
      </c>
      <c r="O140" s="140">
        <v>0</v>
      </c>
      <c r="P140" s="140">
        <v>0</v>
      </c>
      <c r="Q140" s="140">
        <v>0</v>
      </c>
      <c r="R140" s="4"/>
    </row>
    <row r="141" spans="1:18" ht="11.25" hidden="1" customHeight="1">
      <c r="A141" s="90"/>
      <c r="B141" s="89" t="s">
        <v>56</v>
      </c>
      <c r="C141" s="47" t="s">
        <v>57</v>
      </c>
      <c r="D141" s="37">
        <v>0</v>
      </c>
      <c r="E141" s="37">
        <v>0</v>
      </c>
      <c r="F141" s="37">
        <v>0</v>
      </c>
      <c r="G141" s="37">
        <v>0</v>
      </c>
      <c r="H141" s="37">
        <v>0</v>
      </c>
      <c r="I141" s="37">
        <v>0</v>
      </c>
      <c r="J141" s="140">
        <v>0</v>
      </c>
      <c r="K141" s="140">
        <v>0</v>
      </c>
      <c r="L141" s="140">
        <v>0</v>
      </c>
      <c r="M141" s="140">
        <v>0</v>
      </c>
      <c r="N141" s="140">
        <v>0</v>
      </c>
      <c r="O141" s="140">
        <v>0</v>
      </c>
      <c r="P141" s="140">
        <v>0</v>
      </c>
      <c r="Q141" s="140">
        <v>0</v>
      </c>
      <c r="R141" s="4"/>
    </row>
    <row r="142" spans="1:18" ht="16.5" customHeight="1">
      <c r="A142" s="90"/>
      <c r="B142" s="89" t="s">
        <v>58</v>
      </c>
      <c r="C142" s="47" t="s">
        <v>59</v>
      </c>
      <c r="D142" s="37">
        <f t="shared" ref="D142:J142" si="47">D45</f>
        <v>4022.13</v>
      </c>
      <c r="E142" s="37">
        <f t="shared" si="47"/>
        <v>4100</v>
      </c>
      <c r="F142" s="37">
        <f t="shared" si="47"/>
        <v>3846.46</v>
      </c>
      <c r="G142" s="37">
        <f t="shared" si="47"/>
        <v>4200</v>
      </c>
      <c r="H142" s="37">
        <f t="shared" si="47"/>
        <v>0</v>
      </c>
      <c r="I142" s="37">
        <f t="shared" si="47"/>
        <v>4100</v>
      </c>
      <c r="J142" s="140">
        <f t="shared" si="47"/>
        <v>4200</v>
      </c>
      <c r="K142" s="140">
        <f t="shared" ref="K142:Q142" si="48">K45</f>
        <v>1100</v>
      </c>
      <c r="L142" s="140">
        <f t="shared" si="48"/>
        <v>1100</v>
      </c>
      <c r="M142" s="140">
        <f t="shared" si="48"/>
        <v>1000</v>
      </c>
      <c r="N142" s="140">
        <f t="shared" si="48"/>
        <v>1000</v>
      </c>
      <c r="O142" s="140">
        <f t="shared" si="48"/>
        <v>4200</v>
      </c>
      <c r="P142" s="140">
        <f t="shared" si="48"/>
        <v>4200</v>
      </c>
      <c r="Q142" s="140">
        <f t="shared" si="48"/>
        <v>4200</v>
      </c>
      <c r="R142" s="4"/>
    </row>
    <row r="143" spans="1:18" ht="0.75" customHeight="1">
      <c r="A143" s="90"/>
      <c r="B143" s="89" t="s">
        <v>60</v>
      </c>
      <c r="C143" s="47" t="s">
        <v>61</v>
      </c>
      <c r="D143" s="37">
        <v>0</v>
      </c>
      <c r="E143" s="37">
        <v>0</v>
      </c>
      <c r="F143" s="37">
        <v>0</v>
      </c>
      <c r="G143" s="37">
        <v>0</v>
      </c>
      <c r="H143" s="37">
        <v>0</v>
      </c>
      <c r="I143" s="37">
        <v>0</v>
      </c>
      <c r="J143" s="140">
        <v>0</v>
      </c>
      <c r="K143" s="140">
        <v>0</v>
      </c>
      <c r="L143" s="140">
        <v>0</v>
      </c>
      <c r="M143" s="140">
        <v>0</v>
      </c>
      <c r="N143" s="140">
        <v>0</v>
      </c>
      <c r="O143" s="140">
        <v>0</v>
      </c>
      <c r="P143" s="140">
        <v>0</v>
      </c>
      <c r="Q143" s="140">
        <v>0</v>
      </c>
      <c r="R143" s="4"/>
    </row>
    <row r="144" spans="1:18" ht="15.75" customHeight="1">
      <c r="A144" s="90"/>
      <c r="B144" s="89" t="s">
        <v>62</v>
      </c>
      <c r="C144" s="47" t="s">
        <v>63</v>
      </c>
      <c r="D144" s="37">
        <f t="shared" ref="D144:Q144" si="49">D145</f>
        <v>45</v>
      </c>
      <c r="E144" s="37">
        <f t="shared" si="49"/>
        <v>45</v>
      </c>
      <c r="F144" s="37">
        <f t="shared" si="49"/>
        <v>46.81</v>
      </c>
      <c r="G144" s="37">
        <f t="shared" si="49"/>
        <v>46</v>
      </c>
      <c r="H144" s="37">
        <f t="shared" si="49"/>
        <v>0</v>
      </c>
      <c r="I144" s="37">
        <f t="shared" si="49"/>
        <v>45</v>
      </c>
      <c r="J144" s="140">
        <f t="shared" si="49"/>
        <v>46</v>
      </c>
      <c r="K144" s="140">
        <f t="shared" si="49"/>
        <v>16</v>
      </c>
      <c r="L144" s="140">
        <f t="shared" si="49"/>
        <v>10</v>
      </c>
      <c r="M144" s="140">
        <f t="shared" si="49"/>
        <v>10</v>
      </c>
      <c r="N144" s="140">
        <f t="shared" si="49"/>
        <v>10</v>
      </c>
      <c r="O144" s="140">
        <f t="shared" si="49"/>
        <v>0</v>
      </c>
      <c r="P144" s="140">
        <f t="shared" si="49"/>
        <v>0</v>
      </c>
      <c r="Q144" s="140">
        <f t="shared" si="49"/>
        <v>0</v>
      </c>
      <c r="R144" s="4"/>
    </row>
    <row r="145" spans="1:18" ht="14.25" customHeight="1">
      <c r="A145" s="90"/>
      <c r="B145" s="89" t="s">
        <v>64</v>
      </c>
      <c r="C145" s="47" t="s">
        <v>65</v>
      </c>
      <c r="D145" s="37">
        <v>45</v>
      </c>
      <c r="E145" s="37">
        <v>45</v>
      </c>
      <c r="F145" s="32">
        <f>F48</f>
        <v>46.81</v>
      </c>
      <c r="G145" s="32">
        <f>G48</f>
        <v>46</v>
      </c>
      <c r="H145" s="32">
        <f>H48</f>
        <v>0</v>
      </c>
      <c r="I145" s="37">
        <v>45</v>
      </c>
      <c r="J145" s="137">
        <f>J48</f>
        <v>46</v>
      </c>
      <c r="K145" s="137">
        <f>K48</f>
        <v>16</v>
      </c>
      <c r="L145" s="137">
        <f>L48</f>
        <v>10</v>
      </c>
      <c r="M145" s="137">
        <f>M48</f>
        <v>10</v>
      </c>
      <c r="N145" s="137">
        <f>N48</f>
        <v>10</v>
      </c>
      <c r="O145" s="137"/>
      <c r="P145" s="137"/>
      <c r="Q145" s="137"/>
      <c r="R145" s="4"/>
    </row>
    <row r="146" spans="1:18" ht="18.75" customHeight="1">
      <c r="A146" s="90">
        <v>3</v>
      </c>
      <c r="B146" s="82" t="s">
        <v>66</v>
      </c>
      <c r="C146" s="47">
        <v>33.020000000000003</v>
      </c>
      <c r="D146" s="45">
        <f>D147+D148+D149+D150</f>
        <v>13.350000000000001</v>
      </c>
      <c r="E146" s="45">
        <f t="shared" ref="E146:Q146" si="50">E147+E148+E149+E150</f>
        <v>1166</v>
      </c>
      <c r="F146" s="45">
        <f t="shared" si="50"/>
        <v>1033.46</v>
      </c>
      <c r="G146" s="45">
        <f t="shared" si="50"/>
        <v>3024</v>
      </c>
      <c r="H146" s="45">
        <f t="shared" si="50"/>
        <v>0</v>
      </c>
      <c r="I146" s="45">
        <f t="shared" si="50"/>
        <v>15</v>
      </c>
      <c r="J146" s="143">
        <f t="shared" si="50"/>
        <v>3024</v>
      </c>
      <c r="K146" s="143">
        <f>K147+K148+K149+K150</f>
        <v>706</v>
      </c>
      <c r="L146" s="143">
        <f>L147+L148+L149+L150</f>
        <v>706</v>
      </c>
      <c r="M146" s="143">
        <f>M147+M148+M149+M150</f>
        <v>806</v>
      </c>
      <c r="N146" s="143">
        <f>N147+N148+N149+N150</f>
        <v>806</v>
      </c>
      <c r="O146" s="143">
        <f t="shared" si="50"/>
        <v>3088</v>
      </c>
      <c r="P146" s="143">
        <f t="shared" si="50"/>
        <v>3076</v>
      </c>
      <c r="Q146" s="143">
        <f t="shared" si="50"/>
        <v>3122</v>
      </c>
      <c r="R146" s="4"/>
    </row>
    <row r="147" spans="1:18" ht="18.75" customHeight="1">
      <c r="A147" s="90"/>
      <c r="B147" s="89" t="s">
        <v>479</v>
      </c>
      <c r="C147" s="47" t="s">
        <v>480</v>
      </c>
      <c r="D147" s="45">
        <f t="shared" ref="D147:N147" si="51">D50</f>
        <v>0</v>
      </c>
      <c r="E147" s="45">
        <f t="shared" si="51"/>
        <v>1136</v>
      </c>
      <c r="F147" s="45">
        <f t="shared" si="51"/>
        <v>1011.91</v>
      </c>
      <c r="G147" s="45">
        <f t="shared" si="51"/>
        <v>3000</v>
      </c>
      <c r="H147" s="45">
        <f t="shared" si="51"/>
        <v>0</v>
      </c>
      <c r="I147" s="45">
        <f t="shared" si="51"/>
        <v>0</v>
      </c>
      <c r="J147" s="143">
        <f t="shared" si="51"/>
        <v>3000</v>
      </c>
      <c r="K147" s="143">
        <f t="shared" si="51"/>
        <v>700</v>
      </c>
      <c r="L147" s="143">
        <f t="shared" si="51"/>
        <v>700</v>
      </c>
      <c r="M147" s="143">
        <f t="shared" si="51"/>
        <v>800</v>
      </c>
      <c r="N147" s="143">
        <f t="shared" si="51"/>
        <v>800</v>
      </c>
      <c r="O147" s="143">
        <f>O50</f>
        <v>3058</v>
      </c>
      <c r="P147" s="143">
        <f>P50</f>
        <v>3036</v>
      </c>
      <c r="Q147" s="143">
        <f>Q50</f>
        <v>3072</v>
      </c>
      <c r="R147" s="4"/>
    </row>
    <row r="148" spans="1:18" ht="15" customHeight="1">
      <c r="A148" s="90"/>
      <c r="B148" s="89" t="s">
        <v>67</v>
      </c>
      <c r="C148" s="47" t="s">
        <v>68</v>
      </c>
      <c r="D148" s="32">
        <f t="shared" ref="D148:Q148" si="52">D51</f>
        <v>10.65</v>
      </c>
      <c r="E148" s="32">
        <f t="shared" si="52"/>
        <v>12</v>
      </c>
      <c r="F148" s="32">
        <f t="shared" si="52"/>
        <v>9.6999999999999993</v>
      </c>
      <c r="G148" s="32">
        <f t="shared" si="52"/>
        <v>12</v>
      </c>
      <c r="H148" s="32">
        <f t="shared" si="52"/>
        <v>0</v>
      </c>
      <c r="I148" s="37">
        <v>12</v>
      </c>
      <c r="J148" s="137">
        <f>J51</f>
        <v>12</v>
      </c>
      <c r="K148" s="137">
        <f>K51</f>
        <v>3</v>
      </c>
      <c r="L148" s="137">
        <f>L51</f>
        <v>3</v>
      </c>
      <c r="M148" s="137">
        <f>M51</f>
        <v>3</v>
      </c>
      <c r="N148" s="137">
        <f>N51</f>
        <v>3</v>
      </c>
      <c r="O148" s="137">
        <f t="shared" si="52"/>
        <v>15</v>
      </c>
      <c r="P148" s="137">
        <f t="shared" si="52"/>
        <v>20</v>
      </c>
      <c r="Q148" s="137">
        <f t="shared" si="52"/>
        <v>25</v>
      </c>
      <c r="R148" s="4"/>
    </row>
    <row r="149" spans="1:18" ht="0.75" customHeight="1">
      <c r="A149" s="90"/>
      <c r="B149" s="89" t="s">
        <v>69</v>
      </c>
      <c r="C149" s="47" t="s">
        <v>70</v>
      </c>
      <c r="D149" s="37">
        <v>0</v>
      </c>
      <c r="E149" s="37">
        <v>0</v>
      </c>
      <c r="F149" s="32"/>
      <c r="G149" s="32"/>
      <c r="H149" s="32"/>
      <c r="I149" s="37">
        <v>0</v>
      </c>
      <c r="J149" s="137"/>
      <c r="K149" s="137"/>
      <c r="L149" s="137"/>
      <c r="M149" s="137"/>
      <c r="N149" s="137"/>
      <c r="O149" s="137"/>
      <c r="P149" s="137"/>
      <c r="Q149" s="137"/>
      <c r="R149" s="4"/>
    </row>
    <row r="150" spans="1:18" ht="20.25" customHeight="1">
      <c r="A150" s="90"/>
      <c r="B150" s="89" t="s">
        <v>66</v>
      </c>
      <c r="C150" s="47" t="s">
        <v>71</v>
      </c>
      <c r="D150" s="32">
        <f t="shared" ref="D150:Q150" si="53">D53</f>
        <v>2.7</v>
      </c>
      <c r="E150" s="32">
        <f t="shared" si="53"/>
        <v>18</v>
      </c>
      <c r="F150" s="32">
        <f t="shared" si="53"/>
        <v>11.85</v>
      </c>
      <c r="G150" s="32">
        <f t="shared" si="53"/>
        <v>12</v>
      </c>
      <c r="H150" s="32">
        <f t="shared" si="53"/>
        <v>0</v>
      </c>
      <c r="I150" s="37">
        <v>3</v>
      </c>
      <c r="J150" s="137">
        <f>J53</f>
        <v>12</v>
      </c>
      <c r="K150" s="137">
        <f>K53</f>
        <v>3</v>
      </c>
      <c r="L150" s="137">
        <f>L53</f>
        <v>3</v>
      </c>
      <c r="M150" s="137">
        <f>M53</f>
        <v>3</v>
      </c>
      <c r="N150" s="137">
        <f>N53</f>
        <v>3</v>
      </c>
      <c r="O150" s="137">
        <f t="shared" si="53"/>
        <v>15</v>
      </c>
      <c r="P150" s="137">
        <f t="shared" si="53"/>
        <v>20</v>
      </c>
      <c r="Q150" s="137">
        <f t="shared" si="53"/>
        <v>25</v>
      </c>
      <c r="R150" s="4"/>
    </row>
    <row r="151" spans="1:18" ht="0.75" customHeight="1">
      <c r="A151" s="90">
        <v>4</v>
      </c>
      <c r="B151" s="82" t="s">
        <v>72</v>
      </c>
      <c r="C151" s="47">
        <v>35.020000000000003</v>
      </c>
      <c r="D151" s="45">
        <f t="shared" ref="D151:Q151" si="54">D152</f>
        <v>29.99</v>
      </c>
      <c r="E151" s="45">
        <f t="shared" si="54"/>
        <v>0</v>
      </c>
      <c r="F151" s="45">
        <f t="shared" si="54"/>
        <v>13.19</v>
      </c>
      <c r="G151" s="45">
        <f t="shared" si="54"/>
        <v>0</v>
      </c>
      <c r="H151" s="45">
        <f t="shared" si="54"/>
        <v>0</v>
      </c>
      <c r="I151" s="45">
        <f t="shared" si="54"/>
        <v>0</v>
      </c>
      <c r="J151" s="143">
        <f t="shared" si="54"/>
        <v>0</v>
      </c>
      <c r="K151" s="143">
        <f t="shared" si="54"/>
        <v>0</v>
      </c>
      <c r="L151" s="143">
        <f t="shared" si="54"/>
        <v>0</v>
      </c>
      <c r="M151" s="143">
        <f t="shared" si="54"/>
        <v>0</v>
      </c>
      <c r="N151" s="143">
        <f t="shared" si="54"/>
        <v>0</v>
      </c>
      <c r="O151" s="143">
        <f t="shared" si="54"/>
        <v>0</v>
      </c>
      <c r="P151" s="143">
        <f t="shared" si="54"/>
        <v>0</v>
      </c>
      <c r="Q151" s="143">
        <f t="shared" si="54"/>
        <v>0</v>
      </c>
      <c r="R151" s="4"/>
    </row>
    <row r="152" spans="1:18" ht="16.5" hidden="1" customHeight="1">
      <c r="A152" s="90"/>
      <c r="B152" s="89" t="s">
        <v>73</v>
      </c>
      <c r="C152" s="47" t="s">
        <v>74</v>
      </c>
      <c r="D152" s="37">
        <f>D55</f>
        <v>29.99</v>
      </c>
      <c r="E152" s="37">
        <f t="shared" ref="E152:Q152" si="55">E55</f>
        <v>0</v>
      </c>
      <c r="F152" s="37">
        <f t="shared" si="55"/>
        <v>13.19</v>
      </c>
      <c r="G152" s="37">
        <f t="shared" si="55"/>
        <v>0</v>
      </c>
      <c r="H152" s="37">
        <f t="shared" si="55"/>
        <v>0</v>
      </c>
      <c r="I152" s="37">
        <f t="shared" si="55"/>
        <v>0</v>
      </c>
      <c r="J152" s="140">
        <f t="shared" si="55"/>
        <v>0</v>
      </c>
      <c r="K152" s="140">
        <f>K55</f>
        <v>0</v>
      </c>
      <c r="L152" s="140">
        <f>L55</f>
        <v>0</v>
      </c>
      <c r="M152" s="140">
        <f>M55</f>
        <v>0</v>
      </c>
      <c r="N152" s="140">
        <f>N55</f>
        <v>0</v>
      </c>
      <c r="O152" s="140">
        <f t="shared" si="55"/>
        <v>0</v>
      </c>
      <c r="P152" s="140">
        <f t="shared" si="55"/>
        <v>0</v>
      </c>
      <c r="Q152" s="140">
        <f t="shared" si="55"/>
        <v>0</v>
      </c>
      <c r="R152" s="4"/>
    </row>
    <row r="153" spans="1:18" ht="20.25" hidden="1" customHeight="1">
      <c r="A153" s="90">
        <v>5</v>
      </c>
      <c r="B153" s="82" t="s">
        <v>75</v>
      </c>
      <c r="C153" s="47">
        <v>36.020000000000003</v>
      </c>
      <c r="D153" s="45">
        <f t="shared" ref="D153:Q153" si="56">D154+D155</f>
        <v>1009.25</v>
      </c>
      <c r="E153" s="45">
        <f t="shared" si="56"/>
        <v>0</v>
      </c>
      <c r="F153" s="45">
        <f t="shared" si="56"/>
        <v>74.239999999999995</v>
      </c>
      <c r="G153" s="45">
        <f t="shared" si="56"/>
        <v>0</v>
      </c>
      <c r="H153" s="45">
        <f t="shared" si="56"/>
        <v>0</v>
      </c>
      <c r="I153" s="45">
        <f t="shared" si="56"/>
        <v>0</v>
      </c>
      <c r="J153" s="143">
        <f t="shared" si="56"/>
        <v>0</v>
      </c>
      <c r="K153" s="143">
        <f>K154+K155</f>
        <v>0</v>
      </c>
      <c r="L153" s="143">
        <f>L154+L155</f>
        <v>0</v>
      </c>
      <c r="M153" s="143">
        <f>M154+M155</f>
        <v>0</v>
      </c>
      <c r="N153" s="143">
        <f>N154+N155</f>
        <v>0</v>
      </c>
      <c r="O153" s="143">
        <f t="shared" si="56"/>
        <v>0</v>
      </c>
      <c r="P153" s="143">
        <f t="shared" si="56"/>
        <v>0</v>
      </c>
      <c r="Q153" s="143">
        <f t="shared" si="56"/>
        <v>0</v>
      </c>
      <c r="R153" s="4"/>
    </row>
    <row r="154" spans="1:18" ht="18" hidden="1" customHeight="1">
      <c r="A154" s="90"/>
      <c r="B154" s="89" t="s">
        <v>168</v>
      </c>
      <c r="C154" s="47" t="s">
        <v>77</v>
      </c>
      <c r="D154" s="37">
        <f>D57</f>
        <v>881.3</v>
      </c>
      <c r="E154" s="37">
        <f t="shared" ref="E154:Q155" si="57">E57</f>
        <v>0</v>
      </c>
      <c r="F154" s="37">
        <f t="shared" si="57"/>
        <v>0</v>
      </c>
      <c r="G154" s="37">
        <f t="shared" si="57"/>
        <v>0</v>
      </c>
      <c r="H154" s="37">
        <f t="shared" si="57"/>
        <v>0</v>
      </c>
      <c r="I154" s="37">
        <f t="shared" si="57"/>
        <v>0</v>
      </c>
      <c r="J154" s="140">
        <f t="shared" si="57"/>
        <v>0</v>
      </c>
      <c r="K154" s="140">
        <f t="shared" ref="K154:N155" si="58">K57</f>
        <v>0</v>
      </c>
      <c r="L154" s="140">
        <f t="shared" si="58"/>
        <v>0</v>
      </c>
      <c r="M154" s="140">
        <f t="shared" si="58"/>
        <v>0</v>
      </c>
      <c r="N154" s="140">
        <f t="shared" si="58"/>
        <v>0</v>
      </c>
      <c r="O154" s="140">
        <f t="shared" si="57"/>
        <v>0</v>
      </c>
      <c r="P154" s="140">
        <f t="shared" si="57"/>
        <v>0</v>
      </c>
      <c r="Q154" s="140">
        <f t="shared" si="57"/>
        <v>0</v>
      </c>
      <c r="R154" s="4"/>
    </row>
    <row r="155" spans="1:18" ht="18" hidden="1" customHeight="1">
      <c r="A155" s="90"/>
      <c r="B155" s="89" t="s">
        <v>78</v>
      </c>
      <c r="C155" s="47" t="s">
        <v>79</v>
      </c>
      <c r="D155" s="37">
        <f>D58</f>
        <v>127.95</v>
      </c>
      <c r="E155" s="37">
        <f t="shared" si="57"/>
        <v>0</v>
      </c>
      <c r="F155" s="37">
        <f t="shared" si="57"/>
        <v>74.239999999999995</v>
      </c>
      <c r="G155" s="37">
        <f t="shared" si="57"/>
        <v>0</v>
      </c>
      <c r="H155" s="37">
        <f t="shared" si="57"/>
        <v>0</v>
      </c>
      <c r="I155" s="37">
        <f t="shared" si="57"/>
        <v>0</v>
      </c>
      <c r="J155" s="140">
        <f t="shared" si="57"/>
        <v>0</v>
      </c>
      <c r="K155" s="140">
        <f t="shared" si="58"/>
        <v>0</v>
      </c>
      <c r="L155" s="140">
        <f t="shared" si="58"/>
        <v>0</v>
      </c>
      <c r="M155" s="140">
        <f t="shared" si="58"/>
        <v>0</v>
      </c>
      <c r="N155" s="140">
        <f t="shared" si="58"/>
        <v>0</v>
      </c>
      <c r="O155" s="140">
        <f t="shared" si="57"/>
        <v>0</v>
      </c>
      <c r="P155" s="140">
        <f t="shared" si="57"/>
        <v>0</v>
      </c>
      <c r="Q155" s="140">
        <f t="shared" si="57"/>
        <v>0</v>
      </c>
      <c r="R155" s="4"/>
    </row>
    <row r="156" spans="1:18" ht="15" customHeight="1">
      <c r="A156" s="90">
        <v>4</v>
      </c>
      <c r="B156" s="82" t="s">
        <v>80</v>
      </c>
      <c r="C156" s="47">
        <v>37.020000000000003</v>
      </c>
      <c r="D156" s="45">
        <f t="shared" ref="D156:Q156" si="59">D157+D158+D159</f>
        <v>-549.80999999999995</v>
      </c>
      <c r="E156" s="45">
        <f t="shared" si="59"/>
        <v>-6044.9</v>
      </c>
      <c r="F156" s="45">
        <f t="shared" si="59"/>
        <v>-2555.9299999999998</v>
      </c>
      <c r="G156" s="45" t="e">
        <f t="shared" si="59"/>
        <v>#REF!</v>
      </c>
      <c r="H156" s="45" t="e">
        <f t="shared" si="59"/>
        <v>#REF!</v>
      </c>
      <c r="I156" s="45" t="e">
        <f t="shared" si="59"/>
        <v>#REF!</v>
      </c>
      <c r="J156" s="143">
        <f t="shared" si="59"/>
        <v>105.31</v>
      </c>
      <c r="K156" s="143">
        <f>K157+K158+K159</f>
        <v>105.31</v>
      </c>
      <c r="L156" s="143">
        <f>L157+L158+L159</f>
        <v>0</v>
      </c>
      <c r="M156" s="143">
        <f>M157+M158+M159</f>
        <v>0</v>
      </c>
      <c r="N156" s="143">
        <f>N157+N158+N159</f>
        <v>0</v>
      </c>
      <c r="O156" s="143">
        <f t="shared" si="59"/>
        <v>-8231</v>
      </c>
      <c r="P156" s="143">
        <f t="shared" si="59"/>
        <v>-5865</v>
      </c>
      <c r="Q156" s="143">
        <f t="shared" si="59"/>
        <v>-5580</v>
      </c>
      <c r="R156" s="4"/>
    </row>
    <row r="157" spans="1:18" ht="14.25" customHeight="1">
      <c r="A157" s="90"/>
      <c r="B157" s="89" t="s">
        <v>81</v>
      </c>
      <c r="C157" s="47" t="s">
        <v>82</v>
      </c>
      <c r="D157" s="45">
        <f>D60</f>
        <v>30</v>
      </c>
      <c r="E157" s="45">
        <f t="shared" ref="E157:Q158" si="60">E60</f>
        <v>210.75</v>
      </c>
      <c r="F157" s="45">
        <f t="shared" si="60"/>
        <v>23.88</v>
      </c>
      <c r="G157" s="45">
        <f t="shared" si="60"/>
        <v>0</v>
      </c>
      <c r="H157" s="45">
        <f t="shared" si="60"/>
        <v>0</v>
      </c>
      <c r="I157" s="45">
        <f t="shared" si="60"/>
        <v>0</v>
      </c>
      <c r="J157" s="143">
        <f t="shared" si="60"/>
        <v>195.31</v>
      </c>
      <c r="K157" s="143">
        <f t="shared" ref="K157:N158" si="61">K60</f>
        <v>195.31</v>
      </c>
      <c r="L157" s="143">
        <f t="shared" si="61"/>
        <v>0</v>
      </c>
      <c r="M157" s="143">
        <f t="shared" si="61"/>
        <v>0</v>
      </c>
      <c r="N157" s="143">
        <f t="shared" si="61"/>
        <v>0</v>
      </c>
      <c r="O157" s="143">
        <f t="shared" si="60"/>
        <v>0</v>
      </c>
      <c r="P157" s="143">
        <f t="shared" si="60"/>
        <v>0</v>
      </c>
      <c r="Q157" s="143">
        <f t="shared" si="60"/>
        <v>0</v>
      </c>
      <c r="R157" s="4"/>
    </row>
    <row r="158" spans="1:18" ht="17.25" customHeight="1">
      <c r="A158" s="90"/>
      <c r="B158" s="89" t="s">
        <v>169</v>
      </c>
      <c r="C158" s="47" t="s">
        <v>84</v>
      </c>
      <c r="D158" s="45">
        <f>D61</f>
        <v>-579.80999999999995</v>
      </c>
      <c r="E158" s="45">
        <f>E61</f>
        <v>-6255.65</v>
      </c>
      <c r="F158" s="45">
        <f t="shared" si="60"/>
        <v>-2579.81</v>
      </c>
      <c r="G158" s="45" t="e">
        <f t="shared" si="60"/>
        <v>#REF!</v>
      </c>
      <c r="H158" s="45" t="e">
        <f t="shared" si="60"/>
        <v>#REF!</v>
      </c>
      <c r="I158" s="45" t="e">
        <f t="shared" si="60"/>
        <v>#REF!</v>
      </c>
      <c r="J158" s="143">
        <f t="shared" si="60"/>
        <v>-90</v>
      </c>
      <c r="K158" s="143">
        <f t="shared" si="61"/>
        <v>-90</v>
      </c>
      <c r="L158" s="143">
        <f t="shared" si="61"/>
        <v>0</v>
      </c>
      <c r="M158" s="143">
        <f t="shared" si="61"/>
        <v>0</v>
      </c>
      <c r="N158" s="143">
        <f t="shared" si="61"/>
        <v>0</v>
      </c>
      <c r="O158" s="143">
        <f t="shared" si="60"/>
        <v>-8231</v>
      </c>
      <c r="P158" s="143">
        <f t="shared" si="60"/>
        <v>-5865</v>
      </c>
      <c r="Q158" s="143">
        <f t="shared" si="60"/>
        <v>-5580</v>
      </c>
      <c r="R158" s="4"/>
    </row>
    <row r="159" spans="1:18" ht="17.25" hidden="1" customHeight="1">
      <c r="A159" s="90"/>
      <c r="B159" s="89" t="s">
        <v>87</v>
      </c>
      <c r="C159" s="47" t="s">
        <v>88</v>
      </c>
      <c r="D159" s="45">
        <v>0</v>
      </c>
      <c r="E159" s="45">
        <v>0</v>
      </c>
      <c r="F159" s="51"/>
      <c r="G159" s="51"/>
      <c r="H159" s="51"/>
      <c r="I159" s="45">
        <v>0</v>
      </c>
      <c r="J159" s="143"/>
      <c r="K159" s="143"/>
      <c r="L159" s="143"/>
      <c r="M159" s="143"/>
      <c r="N159" s="143"/>
      <c r="O159" s="143"/>
      <c r="P159" s="143"/>
      <c r="Q159" s="143"/>
      <c r="R159" s="4"/>
    </row>
    <row r="160" spans="1:18" ht="17.25" hidden="1" customHeight="1">
      <c r="A160" s="90">
        <v>7</v>
      </c>
      <c r="B160" s="82" t="s">
        <v>89</v>
      </c>
      <c r="C160" s="47">
        <v>39.020000000000003</v>
      </c>
      <c r="D160" s="45">
        <f>D161</f>
        <v>0</v>
      </c>
      <c r="E160" s="45">
        <f>E161</f>
        <v>0</v>
      </c>
      <c r="F160" s="51"/>
      <c r="G160" s="51"/>
      <c r="H160" s="51"/>
      <c r="I160" s="45">
        <f>I161</f>
        <v>0</v>
      </c>
      <c r="J160" s="143"/>
      <c r="K160" s="143"/>
      <c r="L160" s="143"/>
      <c r="M160" s="143"/>
      <c r="N160" s="143"/>
      <c r="O160" s="143"/>
      <c r="P160" s="143"/>
      <c r="Q160" s="143"/>
      <c r="R160" s="4"/>
    </row>
    <row r="161" spans="1:18" ht="0.75" customHeight="1">
      <c r="A161" s="90"/>
      <c r="B161" s="89" t="s">
        <v>90</v>
      </c>
      <c r="C161" s="47" t="s">
        <v>91</v>
      </c>
      <c r="D161" s="45"/>
      <c r="E161" s="45"/>
      <c r="F161" s="45"/>
      <c r="G161" s="45"/>
      <c r="H161" s="45"/>
      <c r="I161" s="45"/>
      <c r="J161" s="143"/>
      <c r="K161" s="143"/>
      <c r="L161" s="143"/>
      <c r="M161" s="143"/>
      <c r="N161" s="143"/>
      <c r="O161" s="143"/>
      <c r="P161" s="143"/>
      <c r="Q161" s="143"/>
      <c r="R161" s="4"/>
    </row>
    <row r="162" spans="1:18" ht="15" hidden="1" customHeight="1">
      <c r="A162" s="90"/>
      <c r="B162" s="89" t="s">
        <v>170</v>
      </c>
      <c r="C162" s="47">
        <v>40.020000000000003</v>
      </c>
      <c r="D162" s="45">
        <v>0</v>
      </c>
      <c r="E162" s="45">
        <v>0</v>
      </c>
      <c r="F162" s="51"/>
      <c r="G162" s="51"/>
      <c r="H162" s="51"/>
      <c r="I162" s="45">
        <v>0</v>
      </c>
      <c r="J162" s="143"/>
      <c r="K162" s="143"/>
      <c r="L162" s="143"/>
      <c r="M162" s="143"/>
      <c r="N162" s="143"/>
      <c r="O162" s="143"/>
      <c r="P162" s="143"/>
      <c r="Q162" s="143"/>
      <c r="R162" s="4"/>
    </row>
    <row r="163" spans="1:18" ht="17.25" customHeight="1">
      <c r="A163" s="75" t="s">
        <v>96</v>
      </c>
      <c r="B163" s="82" t="s">
        <v>97</v>
      </c>
      <c r="C163" s="47" t="s">
        <v>98</v>
      </c>
      <c r="D163" s="40">
        <f t="shared" ref="D163:Q163" si="62">D164</f>
        <v>103050.13</v>
      </c>
      <c r="E163" s="40">
        <f t="shared" si="62"/>
        <v>106611</v>
      </c>
      <c r="F163" s="40">
        <f t="shared" si="62"/>
        <v>106376.09</v>
      </c>
      <c r="G163" s="40">
        <f t="shared" si="62"/>
        <v>160548</v>
      </c>
      <c r="H163" s="40">
        <f t="shared" si="62"/>
        <v>0</v>
      </c>
      <c r="I163" s="40">
        <f t="shared" si="62"/>
        <v>95512</v>
      </c>
      <c r="J163" s="139">
        <f t="shared" si="62"/>
        <v>140238</v>
      </c>
      <c r="K163" s="139">
        <f t="shared" si="62"/>
        <v>33543</v>
      </c>
      <c r="L163" s="139">
        <f t="shared" si="62"/>
        <v>37162</v>
      </c>
      <c r="M163" s="139">
        <f t="shared" si="62"/>
        <v>44671</v>
      </c>
      <c r="N163" s="139">
        <f t="shared" si="62"/>
        <v>24862</v>
      </c>
      <c r="O163" s="139">
        <f t="shared" si="62"/>
        <v>144030</v>
      </c>
      <c r="P163" s="139">
        <f t="shared" si="62"/>
        <v>146035</v>
      </c>
      <c r="Q163" s="139">
        <f t="shared" si="62"/>
        <v>147040</v>
      </c>
      <c r="R163" s="4"/>
    </row>
    <row r="164" spans="1:18" ht="17.25" customHeight="1">
      <c r="A164" s="90"/>
      <c r="B164" s="89" t="s">
        <v>99</v>
      </c>
      <c r="C164" s="47">
        <v>42.02</v>
      </c>
      <c r="D164" s="35">
        <f t="shared" ref="D164:Q164" si="63">D168+D169+D170+D172+D173</f>
        <v>103050.13</v>
      </c>
      <c r="E164" s="35">
        <f t="shared" si="63"/>
        <v>106611</v>
      </c>
      <c r="F164" s="35">
        <f t="shared" si="63"/>
        <v>106376.09</v>
      </c>
      <c r="G164" s="35">
        <f t="shared" si="63"/>
        <v>160548</v>
      </c>
      <c r="H164" s="35">
        <f t="shared" si="63"/>
        <v>0</v>
      </c>
      <c r="I164" s="35">
        <f t="shared" si="63"/>
        <v>95512</v>
      </c>
      <c r="J164" s="135">
        <f t="shared" si="63"/>
        <v>140238</v>
      </c>
      <c r="K164" s="135">
        <f>K168+K169+K170+K172+K173</f>
        <v>33543</v>
      </c>
      <c r="L164" s="135">
        <f>L168+L169+L170+L172+L173</f>
        <v>37162</v>
      </c>
      <c r="M164" s="135">
        <f>M168+M169+M170+M172+M173</f>
        <v>44671</v>
      </c>
      <c r="N164" s="135">
        <f>N168+N169+N170+N172+N173</f>
        <v>24862</v>
      </c>
      <c r="O164" s="135">
        <f t="shared" si="63"/>
        <v>144030</v>
      </c>
      <c r="P164" s="135">
        <f t="shared" si="63"/>
        <v>146035</v>
      </c>
      <c r="Q164" s="135">
        <f t="shared" si="63"/>
        <v>147040</v>
      </c>
      <c r="R164" s="4"/>
    </row>
    <row r="165" spans="1:18" ht="17.25" hidden="1" customHeight="1">
      <c r="A165" s="90"/>
      <c r="B165" s="77" t="s">
        <v>100</v>
      </c>
      <c r="C165" s="47" t="s">
        <v>101</v>
      </c>
      <c r="D165" s="37">
        <v>0</v>
      </c>
      <c r="E165" s="37">
        <v>0</v>
      </c>
      <c r="F165" s="32"/>
      <c r="G165" s="32"/>
      <c r="H165" s="32"/>
      <c r="I165" s="37">
        <v>0</v>
      </c>
      <c r="J165" s="137"/>
      <c r="K165" s="137"/>
      <c r="L165" s="137"/>
      <c r="M165" s="137"/>
      <c r="N165" s="137"/>
      <c r="O165" s="137"/>
      <c r="P165" s="137"/>
      <c r="Q165" s="137"/>
      <c r="R165" s="4"/>
    </row>
    <row r="166" spans="1:18" ht="17.25" hidden="1" customHeight="1">
      <c r="A166" s="90"/>
      <c r="B166" s="77" t="s">
        <v>112</v>
      </c>
      <c r="C166" s="47" t="s">
        <v>113</v>
      </c>
      <c r="D166" s="37">
        <v>0</v>
      </c>
      <c r="E166" s="37">
        <v>0</v>
      </c>
      <c r="F166" s="32"/>
      <c r="G166" s="32"/>
      <c r="H166" s="32"/>
      <c r="I166" s="37">
        <v>0</v>
      </c>
      <c r="J166" s="137"/>
      <c r="K166" s="137"/>
      <c r="L166" s="137"/>
      <c r="M166" s="137"/>
      <c r="N166" s="137"/>
      <c r="O166" s="137"/>
      <c r="P166" s="137"/>
      <c r="Q166" s="137"/>
      <c r="R166" s="4"/>
    </row>
    <row r="167" spans="1:18" ht="17.25" hidden="1" customHeight="1">
      <c r="A167" s="90"/>
      <c r="B167" s="77" t="s">
        <v>114</v>
      </c>
      <c r="C167" s="47" t="s">
        <v>115</v>
      </c>
      <c r="D167" s="37">
        <v>0</v>
      </c>
      <c r="E167" s="37">
        <v>0</v>
      </c>
      <c r="F167" s="32"/>
      <c r="G167" s="32"/>
      <c r="H167" s="32"/>
      <c r="I167" s="37">
        <v>0</v>
      </c>
      <c r="J167" s="137"/>
      <c r="K167" s="137"/>
      <c r="L167" s="137"/>
      <c r="M167" s="137"/>
      <c r="N167" s="137"/>
      <c r="O167" s="137"/>
      <c r="P167" s="137"/>
      <c r="Q167" s="137"/>
      <c r="R167" s="4"/>
    </row>
    <row r="168" spans="1:18" ht="16.5" customHeight="1">
      <c r="A168" s="90"/>
      <c r="B168" s="77" t="s">
        <v>116</v>
      </c>
      <c r="C168" s="47" t="s">
        <v>117</v>
      </c>
      <c r="D168" s="32">
        <f t="shared" ref="D168:H169" si="64">D80</f>
        <v>99152.97</v>
      </c>
      <c r="E168" s="32">
        <f t="shared" si="64"/>
        <v>102519</v>
      </c>
      <c r="F168" s="32">
        <f t="shared" si="64"/>
        <v>102344.37</v>
      </c>
      <c r="G168" s="32">
        <f t="shared" si="64"/>
        <v>152770</v>
      </c>
      <c r="H168" s="32">
        <f t="shared" si="64"/>
        <v>0</v>
      </c>
      <c r="I168" s="37">
        <v>95512</v>
      </c>
      <c r="J168" s="137">
        <f t="shared" ref="J168:N169" si="65">J80</f>
        <v>135158</v>
      </c>
      <c r="K168" s="137">
        <f t="shared" si="65"/>
        <v>32178</v>
      </c>
      <c r="L168" s="137">
        <f t="shared" si="65"/>
        <v>35727</v>
      </c>
      <c r="M168" s="137">
        <f t="shared" si="65"/>
        <v>43266</v>
      </c>
      <c r="N168" s="137">
        <f t="shared" si="65"/>
        <v>23987</v>
      </c>
      <c r="O168" s="137">
        <f t="shared" ref="O168:Q169" si="66">O80</f>
        <v>138000</v>
      </c>
      <c r="P168" s="137">
        <f t="shared" si="66"/>
        <v>140000</v>
      </c>
      <c r="Q168" s="137">
        <f t="shared" si="66"/>
        <v>141000</v>
      </c>
      <c r="R168" s="4"/>
    </row>
    <row r="169" spans="1:18" ht="15" customHeight="1">
      <c r="A169" s="90"/>
      <c r="B169" s="77" t="s">
        <v>118</v>
      </c>
      <c r="C169" s="47" t="s">
        <v>119</v>
      </c>
      <c r="D169" s="37">
        <f t="shared" si="64"/>
        <v>706</v>
      </c>
      <c r="E169" s="37">
        <f t="shared" si="64"/>
        <v>0</v>
      </c>
      <c r="F169" s="37">
        <f t="shared" si="64"/>
        <v>0</v>
      </c>
      <c r="G169" s="37">
        <f t="shared" si="64"/>
        <v>0</v>
      </c>
      <c r="H169" s="37">
        <f t="shared" si="64"/>
        <v>0</v>
      </c>
      <c r="I169" s="37">
        <f>I81</f>
        <v>0</v>
      </c>
      <c r="J169" s="140">
        <f t="shared" si="65"/>
        <v>0</v>
      </c>
      <c r="K169" s="140">
        <f t="shared" si="65"/>
        <v>0</v>
      </c>
      <c r="L169" s="140">
        <f t="shared" si="65"/>
        <v>0</v>
      </c>
      <c r="M169" s="140">
        <f t="shared" si="65"/>
        <v>0</v>
      </c>
      <c r="N169" s="140">
        <f t="shared" si="65"/>
        <v>0</v>
      </c>
      <c r="O169" s="140">
        <f t="shared" si="66"/>
        <v>0</v>
      </c>
      <c r="P169" s="140">
        <f t="shared" si="66"/>
        <v>0</v>
      </c>
      <c r="Q169" s="140">
        <f t="shared" si="66"/>
        <v>0</v>
      </c>
      <c r="R169" s="4"/>
    </row>
    <row r="170" spans="1:18" ht="15" customHeight="1">
      <c r="A170" s="90"/>
      <c r="B170" s="77" t="s">
        <v>171</v>
      </c>
      <c r="C170" s="47" t="s">
        <v>125</v>
      </c>
      <c r="D170" s="37">
        <f>D84</f>
        <v>2364.9499999999998</v>
      </c>
      <c r="E170" s="37">
        <f>E84</f>
        <v>4092</v>
      </c>
      <c r="F170" s="37">
        <f t="shared" ref="F170:Q170" si="67">F84</f>
        <v>4031.72</v>
      </c>
      <c r="G170" s="37">
        <f t="shared" si="67"/>
        <v>7778</v>
      </c>
      <c r="H170" s="37">
        <f t="shared" si="67"/>
        <v>0</v>
      </c>
      <c r="I170" s="37">
        <f t="shared" si="67"/>
        <v>0</v>
      </c>
      <c r="J170" s="140">
        <f t="shared" si="67"/>
        <v>5080</v>
      </c>
      <c r="K170" s="140">
        <f>K84</f>
        <v>1365</v>
      </c>
      <c r="L170" s="140">
        <f>L84</f>
        <v>1435</v>
      </c>
      <c r="M170" s="140">
        <f>M84</f>
        <v>1405</v>
      </c>
      <c r="N170" s="140">
        <f>N84</f>
        <v>875</v>
      </c>
      <c r="O170" s="140">
        <f t="shared" si="67"/>
        <v>6030</v>
      </c>
      <c r="P170" s="140">
        <f t="shared" si="67"/>
        <v>6035</v>
      </c>
      <c r="Q170" s="140">
        <f t="shared" si="67"/>
        <v>6040</v>
      </c>
      <c r="R170" s="4"/>
    </row>
    <row r="171" spans="1:18" ht="13.5" hidden="1" customHeight="1">
      <c r="A171" s="90"/>
      <c r="B171" s="77" t="s">
        <v>120</v>
      </c>
      <c r="C171" s="47" t="s">
        <v>121</v>
      </c>
      <c r="D171" s="37">
        <v>0</v>
      </c>
      <c r="E171" s="37">
        <v>0</v>
      </c>
      <c r="F171" s="32"/>
      <c r="G171" s="32"/>
      <c r="H171" s="32"/>
      <c r="I171" s="37">
        <v>0</v>
      </c>
      <c r="J171" s="137"/>
      <c r="K171" s="137"/>
      <c r="L171" s="137"/>
      <c r="M171" s="137"/>
      <c r="N171" s="137"/>
      <c r="O171" s="137"/>
      <c r="P171" s="137"/>
      <c r="Q171" s="137"/>
      <c r="R171" s="4"/>
    </row>
    <row r="172" spans="1:18" ht="13.5" hidden="1" customHeight="1">
      <c r="A172" s="90"/>
      <c r="B172" s="77" t="s">
        <v>122</v>
      </c>
      <c r="C172" s="47" t="s">
        <v>123</v>
      </c>
      <c r="D172" s="37">
        <v>0</v>
      </c>
      <c r="E172" s="37">
        <v>0</v>
      </c>
      <c r="F172" s="32"/>
      <c r="G172" s="32"/>
      <c r="H172" s="32"/>
      <c r="I172" s="37">
        <v>0</v>
      </c>
      <c r="J172" s="137"/>
      <c r="K172" s="137"/>
      <c r="L172" s="137"/>
      <c r="M172" s="137"/>
      <c r="N172" s="137"/>
      <c r="O172" s="137"/>
      <c r="P172" s="137"/>
      <c r="Q172" s="137"/>
      <c r="R172" s="4"/>
    </row>
    <row r="173" spans="1:18" ht="15" hidden="1" customHeight="1">
      <c r="A173" s="90"/>
      <c r="B173" s="77" t="s">
        <v>126</v>
      </c>
      <c r="C173" s="47" t="s">
        <v>127</v>
      </c>
      <c r="D173" s="37">
        <f>D85</f>
        <v>826.21</v>
      </c>
      <c r="E173" s="37">
        <f t="shared" ref="E173:Q173" si="68">E85</f>
        <v>0</v>
      </c>
      <c r="F173" s="37">
        <f t="shared" si="68"/>
        <v>0</v>
      </c>
      <c r="G173" s="37">
        <f t="shared" si="68"/>
        <v>0</v>
      </c>
      <c r="H173" s="37">
        <f t="shared" si="68"/>
        <v>0</v>
      </c>
      <c r="I173" s="37">
        <f t="shared" si="68"/>
        <v>0</v>
      </c>
      <c r="J173" s="140">
        <f t="shared" si="68"/>
        <v>0</v>
      </c>
      <c r="K173" s="140">
        <f>K85</f>
        <v>0</v>
      </c>
      <c r="L173" s="140">
        <f>L85</f>
        <v>0</v>
      </c>
      <c r="M173" s="140">
        <f>M85</f>
        <v>0</v>
      </c>
      <c r="N173" s="140">
        <f>N85</f>
        <v>0</v>
      </c>
      <c r="O173" s="140">
        <f t="shared" si="68"/>
        <v>0</v>
      </c>
      <c r="P173" s="140">
        <f t="shared" si="68"/>
        <v>0</v>
      </c>
      <c r="Q173" s="140">
        <f t="shared" si="68"/>
        <v>0</v>
      </c>
      <c r="R173" s="4"/>
    </row>
    <row r="174" spans="1:18" ht="18" hidden="1" customHeight="1">
      <c r="A174" s="94"/>
      <c r="B174" s="77" t="s">
        <v>122</v>
      </c>
      <c r="C174" s="47" t="s">
        <v>123</v>
      </c>
      <c r="D174" s="37">
        <v>0</v>
      </c>
      <c r="E174" s="37">
        <v>0</v>
      </c>
      <c r="F174" s="32"/>
      <c r="G174" s="32"/>
      <c r="H174" s="32"/>
      <c r="I174" s="37">
        <v>0</v>
      </c>
      <c r="J174" s="137"/>
      <c r="K174" s="137"/>
      <c r="L174" s="137"/>
      <c r="M174" s="137"/>
      <c r="N174" s="137"/>
      <c r="O174" s="137"/>
      <c r="P174" s="137"/>
      <c r="Q174" s="137"/>
      <c r="R174" s="4"/>
    </row>
    <row r="175" spans="1:18" ht="24" hidden="1" customHeight="1">
      <c r="A175" s="94"/>
      <c r="B175" s="95" t="s">
        <v>172</v>
      </c>
      <c r="C175" s="47" t="s">
        <v>131</v>
      </c>
      <c r="D175" s="37">
        <v>0</v>
      </c>
      <c r="E175" s="37">
        <v>0</v>
      </c>
      <c r="F175" s="32"/>
      <c r="G175" s="32"/>
      <c r="H175" s="32"/>
      <c r="I175" s="37">
        <v>0</v>
      </c>
      <c r="J175" s="137"/>
      <c r="K175" s="137"/>
      <c r="L175" s="137"/>
      <c r="M175" s="137"/>
      <c r="N175" s="137"/>
      <c r="O175" s="137"/>
      <c r="P175" s="137"/>
      <c r="Q175" s="137"/>
      <c r="R175" s="4"/>
    </row>
    <row r="176" spans="1:18" ht="16.5" customHeight="1">
      <c r="A176" s="179"/>
      <c r="B176" s="180" t="s">
        <v>173</v>
      </c>
      <c r="C176" s="181"/>
      <c r="D176" s="182">
        <f>D177+D179+D181+D182+D193+D180</f>
        <v>35538.83</v>
      </c>
      <c r="E176" s="182">
        <f t="shared" ref="E176:Q176" si="69">E177+E179+E181+E182+E193+E180</f>
        <v>10719.65</v>
      </c>
      <c r="F176" s="182">
        <f t="shared" si="69"/>
        <v>7738.78</v>
      </c>
      <c r="G176" s="182" t="e">
        <f t="shared" si="69"/>
        <v>#REF!</v>
      </c>
      <c r="H176" s="182" t="e">
        <f t="shared" si="69"/>
        <v>#REF!</v>
      </c>
      <c r="I176" s="182" t="e">
        <f t="shared" si="69"/>
        <v>#REF!</v>
      </c>
      <c r="J176" s="183">
        <f t="shared" si="69"/>
        <v>5804</v>
      </c>
      <c r="K176" s="183">
        <f>K177+K179+K181+K182+K193+K180</f>
        <v>5804</v>
      </c>
      <c r="L176" s="183">
        <f>L177+L179+L181+L182+L193+L180</f>
        <v>0</v>
      </c>
      <c r="M176" s="183">
        <f>M177+M179+M181+M182+M193+M180</f>
        <v>0</v>
      </c>
      <c r="N176" s="183">
        <f>N177+N179+N181+N182+N193+N180</f>
        <v>0</v>
      </c>
      <c r="O176" s="183">
        <f t="shared" si="69"/>
        <v>34861</v>
      </c>
      <c r="P176" s="183">
        <f t="shared" si="69"/>
        <v>70557</v>
      </c>
      <c r="Q176" s="183">
        <f t="shared" si="69"/>
        <v>29580</v>
      </c>
      <c r="R176" s="4"/>
    </row>
    <row r="177" spans="1:18" ht="16.5" customHeight="1">
      <c r="A177" s="94"/>
      <c r="B177" s="77" t="s">
        <v>174</v>
      </c>
      <c r="C177" s="47" t="s">
        <v>175</v>
      </c>
      <c r="D177" s="45">
        <f t="shared" ref="D177:Q177" si="70">D178</f>
        <v>579.80999999999995</v>
      </c>
      <c r="E177" s="45">
        <f t="shared" si="70"/>
        <v>6255.65</v>
      </c>
      <c r="F177" s="45">
        <f t="shared" si="70"/>
        <v>2579.81</v>
      </c>
      <c r="G177" s="45" t="e">
        <f t="shared" si="70"/>
        <v>#REF!</v>
      </c>
      <c r="H177" s="45" t="e">
        <f t="shared" si="70"/>
        <v>#REF!</v>
      </c>
      <c r="I177" s="45" t="e">
        <f t="shared" si="70"/>
        <v>#REF!</v>
      </c>
      <c r="J177" s="143">
        <f t="shared" si="70"/>
        <v>90</v>
      </c>
      <c r="K177" s="143">
        <f t="shared" si="70"/>
        <v>90</v>
      </c>
      <c r="L177" s="143">
        <f t="shared" si="70"/>
        <v>0</v>
      </c>
      <c r="M177" s="143">
        <f t="shared" si="70"/>
        <v>0</v>
      </c>
      <c r="N177" s="143">
        <f t="shared" si="70"/>
        <v>0</v>
      </c>
      <c r="O177" s="143">
        <f t="shared" si="70"/>
        <v>8231</v>
      </c>
      <c r="P177" s="143">
        <f t="shared" si="70"/>
        <v>5865</v>
      </c>
      <c r="Q177" s="143">
        <f t="shared" si="70"/>
        <v>5580</v>
      </c>
      <c r="R177" s="4"/>
    </row>
    <row r="178" spans="1:18" ht="17.25" customHeight="1">
      <c r="A178" s="94"/>
      <c r="B178" s="77" t="s">
        <v>169</v>
      </c>
      <c r="C178" s="47" t="s">
        <v>86</v>
      </c>
      <c r="D178" s="52">
        <f t="shared" ref="D178:N178" si="71">-D158</f>
        <v>579.80999999999995</v>
      </c>
      <c r="E178" s="52">
        <f t="shared" si="71"/>
        <v>6255.65</v>
      </c>
      <c r="F178" s="52">
        <f t="shared" si="71"/>
        <v>2579.81</v>
      </c>
      <c r="G178" s="52" t="e">
        <f t="shared" si="71"/>
        <v>#REF!</v>
      </c>
      <c r="H178" s="52" t="e">
        <f t="shared" si="71"/>
        <v>#REF!</v>
      </c>
      <c r="I178" s="52" t="e">
        <f t="shared" si="71"/>
        <v>#REF!</v>
      </c>
      <c r="J178" s="147">
        <f t="shared" si="71"/>
        <v>90</v>
      </c>
      <c r="K178" s="147">
        <f t="shared" si="71"/>
        <v>90</v>
      </c>
      <c r="L178" s="147">
        <f t="shared" si="71"/>
        <v>0</v>
      </c>
      <c r="M178" s="147">
        <f t="shared" si="71"/>
        <v>0</v>
      </c>
      <c r="N178" s="147">
        <f t="shared" si="71"/>
        <v>0</v>
      </c>
      <c r="O178" s="147">
        <f>-O158</f>
        <v>8231</v>
      </c>
      <c r="P178" s="147">
        <f>-P158</f>
        <v>5865</v>
      </c>
      <c r="Q178" s="147">
        <f>-Q158</f>
        <v>5580</v>
      </c>
      <c r="R178" s="4"/>
    </row>
    <row r="179" spans="1:18" ht="0.75" customHeight="1">
      <c r="A179" s="94"/>
      <c r="B179" s="89" t="s">
        <v>90</v>
      </c>
      <c r="C179" s="47" t="s">
        <v>91</v>
      </c>
      <c r="D179" s="37">
        <f>D65</f>
        <v>4.6399999999999997</v>
      </c>
      <c r="E179" s="37">
        <f t="shared" ref="E179:Q179" si="72">E65</f>
        <v>0</v>
      </c>
      <c r="F179" s="37">
        <f t="shared" si="72"/>
        <v>8.33</v>
      </c>
      <c r="G179" s="37">
        <f t="shared" si="72"/>
        <v>0</v>
      </c>
      <c r="H179" s="37">
        <f t="shared" si="72"/>
        <v>0</v>
      </c>
      <c r="I179" s="37">
        <f t="shared" si="72"/>
        <v>0</v>
      </c>
      <c r="J179" s="140">
        <f t="shared" si="72"/>
        <v>0</v>
      </c>
      <c r="K179" s="140">
        <f>K65</f>
        <v>0</v>
      </c>
      <c r="L179" s="140">
        <f>L65</f>
        <v>0</v>
      </c>
      <c r="M179" s="140">
        <f>M65</f>
        <v>0</v>
      </c>
      <c r="N179" s="140">
        <f>N65</f>
        <v>0</v>
      </c>
      <c r="O179" s="140">
        <f t="shared" si="72"/>
        <v>0</v>
      </c>
      <c r="P179" s="140">
        <f t="shared" si="72"/>
        <v>0</v>
      </c>
      <c r="Q179" s="140">
        <f t="shared" si="72"/>
        <v>0</v>
      </c>
      <c r="R179" s="4"/>
    </row>
    <row r="180" spans="1:18" ht="0.75" customHeight="1">
      <c r="A180" s="94"/>
      <c r="B180" s="89" t="s">
        <v>92</v>
      </c>
      <c r="C180" s="47" t="s">
        <v>93</v>
      </c>
      <c r="D180" s="37">
        <v>572.05999999999995</v>
      </c>
      <c r="E180" s="37">
        <v>0</v>
      </c>
      <c r="F180" s="32">
        <v>691.55</v>
      </c>
      <c r="G180" s="32"/>
      <c r="H180" s="32"/>
      <c r="I180" s="37">
        <v>0</v>
      </c>
      <c r="J180" s="137"/>
      <c r="K180" s="137"/>
      <c r="L180" s="137"/>
      <c r="M180" s="137"/>
      <c r="N180" s="137"/>
      <c r="O180" s="137"/>
      <c r="P180" s="137"/>
      <c r="Q180" s="137"/>
      <c r="R180" s="4"/>
    </row>
    <row r="181" spans="1:18" ht="13.5" hidden="1" customHeight="1">
      <c r="A181" s="94"/>
      <c r="B181" s="89" t="s">
        <v>170</v>
      </c>
      <c r="C181" s="47">
        <v>40.020000000000003</v>
      </c>
      <c r="D181" s="37">
        <v>0</v>
      </c>
      <c r="E181" s="37">
        <v>0</v>
      </c>
      <c r="F181" s="32"/>
      <c r="G181" s="32"/>
      <c r="H181" s="32"/>
      <c r="I181" s="37">
        <v>0</v>
      </c>
      <c r="J181" s="137"/>
      <c r="K181" s="137"/>
      <c r="L181" s="137"/>
      <c r="M181" s="137"/>
      <c r="N181" s="137"/>
      <c r="O181" s="137"/>
      <c r="P181" s="137"/>
      <c r="Q181" s="137"/>
      <c r="R181" s="4"/>
    </row>
    <row r="182" spans="1:18" ht="16.5" hidden="1" customHeight="1">
      <c r="A182" s="94"/>
      <c r="B182" s="82" t="s">
        <v>97</v>
      </c>
      <c r="C182" s="47" t="s">
        <v>176</v>
      </c>
      <c r="D182" s="45">
        <f>D183+D184+D185+D186+D187+D190+D191+D192</f>
        <v>13959.12</v>
      </c>
      <c r="E182" s="45">
        <f t="shared" ref="E182:Q182" si="73">E183+E184+E185+E186+E187+E190+E191+E192</f>
        <v>4464</v>
      </c>
      <c r="F182" s="45">
        <f t="shared" si="73"/>
        <v>4459.09</v>
      </c>
      <c r="G182" s="45">
        <f t="shared" si="73"/>
        <v>0</v>
      </c>
      <c r="H182" s="45">
        <f t="shared" si="73"/>
        <v>0</v>
      </c>
      <c r="I182" s="45">
        <f t="shared" si="73"/>
        <v>555</v>
      </c>
      <c r="J182" s="143">
        <f t="shared" si="73"/>
        <v>0</v>
      </c>
      <c r="K182" s="143">
        <f>K183+K184+K185+K186+K187+K190+K191+K192</f>
        <v>0</v>
      </c>
      <c r="L182" s="143">
        <f>L183+L184+L185+L186+L187+L190+L191+L192</f>
        <v>0</v>
      </c>
      <c r="M182" s="143">
        <f>M183+M184+M185+M186+M187+M190+M191+M192</f>
        <v>0</v>
      </c>
      <c r="N182" s="143">
        <f>N183+N184+N185+N186+N187+N190+N191+N192</f>
        <v>0</v>
      </c>
      <c r="O182" s="143">
        <f t="shared" si="73"/>
        <v>0</v>
      </c>
      <c r="P182" s="143">
        <f t="shared" si="73"/>
        <v>0</v>
      </c>
      <c r="Q182" s="143">
        <f t="shared" si="73"/>
        <v>0</v>
      </c>
      <c r="R182" s="4"/>
    </row>
    <row r="183" spans="1:18" ht="12" hidden="1" customHeight="1">
      <c r="A183" s="94"/>
      <c r="B183" s="77" t="s">
        <v>100</v>
      </c>
      <c r="C183" s="47" t="s">
        <v>101</v>
      </c>
      <c r="D183" s="37">
        <v>0</v>
      </c>
      <c r="E183" s="37">
        <v>0</v>
      </c>
      <c r="F183" s="32"/>
      <c r="G183" s="32"/>
      <c r="H183" s="32"/>
      <c r="I183" s="37">
        <v>0</v>
      </c>
      <c r="J183" s="137"/>
      <c r="K183" s="137"/>
      <c r="L183" s="137"/>
      <c r="M183" s="137"/>
      <c r="N183" s="137"/>
      <c r="O183" s="137"/>
      <c r="P183" s="137"/>
      <c r="Q183" s="137"/>
      <c r="R183" s="4"/>
    </row>
    <row r="184" spans="1:18" ht="18.75" hidden="1" customHeight="1">
      <c r="A184" s="94"/>
      <c r="B184" s="77" t="s">
        <v>104</v>
      </c>
      <c r="C184" s="47" t="s">
        <v>105</v>
      </c>
      <c r="D184" s="37">
        <f>D74</f>
        <v>450</v>
      </c>
      <c r="E184" s="37">
        <v>0</v>
      </c>
      <c r="F184" s="32"/>
      <c r="G184" s="32"/>
      <c r="H184" s="32"/>
      <c r="I184" s="37">
        <v>0</v>
      </c>
      <c r="J184" s="137"/>
      <c r="K184" s="137"/>
      <c r="L184" s="137"/>
      <c r="M184" s="137"/>
      <c r="N184" s="137"/>
      <c r="O184" s="137"/>
      <c r="P184" s="137"/>
      <c r="Q184" s="137"/>
      <c r="R184" s="4"/>
    </row>
    <row r="185" spans="1:18" ht="21" hidden="1" customHeight="1">
      <c r="A185" s="94"/>
      <c r="B185" s="77" t="s">
        <v>106</v>
      </c>
      <c r="C185" s="47" t="s">
        <v>107</v>
      </c>
      <c r="D185" s="37">
        <v>0</v>
      </c>
      <c r="E185" s="37">
        <v>0</v>
      </c>
      <c r="F185" s="32"/>
      <c r="G185" s="32"/>
      <c r="H185" s="32"/>
      <c r="I185" s="37">
        <v>0</v>
      </c>
      <c r="J185" s="137"/>
      <c r="K185" s="137"/>
      <c r="L185" s="137"/>
      <c r="M185" s="137"/>
      <c r="N185" s="137"/>
      <c r="O185" s="137"/>
      <c r="P185" s="137"/>
      <c r="Q185" s="137"/>
      <c r="R185" s="4"/>
    </row>
    <row r="186" spans="1:18" ht="23.25" hidden="1" customHeight="1">
      <c r="A186" s="94"/>
      <c r="B186" s="91" t="s">
        <v>110</v>
      </c>
      <c r="C186" s="47" t="s">
        <v>111</v>
      </c>
      <c r="D186" s="37">
        <v>0</v>
      </c>
      <c r="E186" s="37">
        <v>0</v>
      </c>
      <c r="F186" s="32"/>
      <c r="G186" s="32"/>
      <c r="H186" s="32"/>
      <c r="I186" s="37">
        <v>0</v>
      </c>
      <c r="J186" s="137"/>
      <c r="K186" s="137"/>
      <c r="L186" s="137"/>
      <c r="M186" s="137"/>
      <c r="N186" s="137"/>
      <c r="O186" s="137"/>
      <c r="P186" s="137"/>
      <c r="Q186" s="137"/>
      <c r="R186" s="4"/>
    </row>
    <row r="187" spans="1:18" ht="24" hidden="1" customHeight="1">
      <c r="A187" s="94"/>
      <c r="B187" s="77" t="s">
        <v>177</v>
      </c>
      <c r="C187" s="47" t="s">
        <v>115</v>
      </c>
      <c r="D187" s="37">
        <f>D79</f>
        <v>12983.17</v>
      </c>
      <c r="E187" s="37">
        <f t="shared" ref="E187:Q187" si="74">E79</f>
        <v>0</v>
      </c>
      <c r="F187" s="37">
        <f t="shared" si="74"/>
        <v>0</v>
      </c>
      <c r="G187" s="37">
        <f t="shared" si="74"/>
        <v>0</v>
      </c>
      <c r="H187" s="37">
        <f t="shared" si="74"/>
        <v>0</v>
      </c>
      <c r="I187" s="37">
        <f t="shared" si="74"/>
        <v>0</v>
      </c>
      <c r="J187" s="140">
        <f t="shared" si="74"/>
        <v>0</v>
      </c>
      <c r="K187" s="140">
        <f>K79</f>
        <v>0</v>
      </c>
      <c r="L187" s="140">
        <f>L79</f>
        <v>0</v>
      </c>
      <c r="M187" s="140">
        <f>M79</f>
        <v>0</v>
      </c>
      <c r="N187" s="140">
        <f>N79</f>
        <v>0</v>
      </c>
      <c r="O187" s="140">
        <f t="shared" si="74"/>
        <v>0</v>
      </c>
      <c r="P187" s="140">
        <f t="shared" si="74"/>
        <v>0</v>
      </c>
      <c r="Q187" s="140">
        <f t="shared" si="74"/>
        <v>0</v>
      </c>
      <c r="R187" s="4"/>
    </row>
    <row r="188" spans="1:18" ht="24" hidden="1" customHeight="1">
      <c r="A188" s="94"/>
      <c r="B188" s="77" t="s">
        <v>122</v>
      </c>
      <c r="C188" s="47" t="s">
        <v>123</v>
      </c>
      <c r="D188" s="37">
        <v>0</v>
      </c>
      <c r="E188" s="37">
        <v>0</v>
      </c>
      <c r="F188" s="32"/>
      <c r="G188" s="32"/>
      <c r="H188" s="32"/>
      <c r="I188" s="37">
        <v>0</v>
      </c>
      <c r="J188" s="137"/>
      <c r="K188" s="137"/>
      <c r="L188" s="137"/>
      <c r="M188" s="137"/>
      <c r="N188" s="137"/>
      <c r="O188" s="137"/>
      <c r="P188" s="137"/>
      <c r="Q188" s="137"/>
      <c r="R188" s="4"/>
    </row>
    <row r="189" spans="1:18" ht="24" hidden="1" customHeight="1">
      <c r="A189" s="94"/>
      <c r="B189" s="77" t="s">
        <v>128</v>
      </c>
      <c r="C189" s="47" t="s">
        <v>129</v>
      </c>
      <c r="D189" s="37">
        <v>0</v>
      </c>
      <c r="E189" s="37">
        <v>0</v>
      </c>
      <c r="F189" s="32"/>
      <c r="G189" s="32"/>
      <c r="H189" s="32"/>
      <c r="I189" s="37">
        <v>0</v>
      </c>
      <c r="J189" s="137"/>
      <c r="K189" s="137"/>
      <c r="L189" s="137"/>
      <c r="M189" s="137"/>
      <c r="N189" s="137"/>
      <c r="O189" s="137"/>
      <c r="P189" s="137"/>
      <c r="Q189" s="137"/>
      <c r="R189" s="4"/>
    </row>
    <row r="190" spans="1:18" ht="24" hidden="1" customHeight="1">
      <c r="A190" s="94"/>
      <c r="B190" s="91" t="s">
        <v>132</v>
      </c>
      <c r="C190" s="47" t="s">
        <v>133</v>
      </c>
      <c r="D190" s="37">
        <f>D88</f>
        <v>307.85000000000002</v>
      </c>
      <c r="E190" s="37">
        <f t="shared" ref="E190:Q190" si="75">E88</f>
        <v>0</v>
      </c>
      <c r="F190" s="37">
        <f t="shared" si="75"/>
        <v>0</v>
      </c>
      <c r="G190" s="37">
        <f t="shared" si="75"/>
        <v>0</v>
      </c>
      <c r="H190" s="37">
        <f t="shared" si="75"/>
        <v>0</v>
      </c>
      <c r="I190" s="37">
        <f t="shared" si="75"/>
        <v>0</v>
      </c>
      <c r="J190" s="140">
        <f t="shared" si="75"/>
        <v>0</v>
      </c>
      <c r="K190" s="140">
        <f>K88</f>
        <v>0</v>
      </c>
      <c r="L190" s="140">
        <f>L88</f>
        <v>0</v>
      </c>
      <c r="M190" s="140">
        <f>M88</f>
        <v>0</v>
      </c>
      <c r="N190" s="140">
        <f>N88</f>
        <v>0</v>
      </c>
      <c r="O190" s="140">
        <f t="shared" si="75"/>
        <v>0</v>
      </c>
      <c r="P190" s="140">
        <f t="shared" si="75"/>
        <v>0</v>
      </c>
      <c r="Q190" s="140">
        <f t="shared" si="75"/>
        <v>0</v>
      </c>
      <c r="R190" s="4"/>
    </row>
    <row r="191" spans="1:18" ht="18.75" hidden="1" customHeight="1">
      <c r="A191" s="94"/>
      <c r="B191" s="91" t="s">
        <v>134</v>
      </c>
      <c r="C191" s="47" t="s">
        <v>135</v>
      </c>
      <c r="D191" s="37">
        <v>0</v>
      </c>
      <c r="E191" s="37">
        <v>0</v>
      </c>
      <c r="F191" s="32"/>
      <c r="G191" s="32"/>
      <c r="H191" s="32"/>
      <c r="I191" s="37">
        <v>0</v>
      </c>
      <c r="J191" s="137"/>
      <c r="K191" s="137"/>
      <c r="L191" s="137"/>
      <c r="M191" s="137"/>
      <c r="N191" s="137"/>
      <c r="O191" s="137"/>
      <c r="P191" s="137"/>
      <c r="Q191" s="137"/>
      <c r="R191" s="4"/>
    </row>
    <row r="192" spans="1:18" ht="21.75" hidden="1" customHeight="1">
      <c r="A192" s="94"/>
      <c r="B192" s="92" t="s">
        <v>138</v>
      </c>
      <c r="C192" s="47" t="s">
        <v>139</v>
      </c>
      <c r="D192" s="37">
        <f t="shared" ref="D192:N192" si="76">D91</f>
        <v>218.1</v>
      </c>
      <c r="E192" s="37">
        <f t="shared" si="76"/>
        <v>4464</v>
      </c>
      <c r="F192" s="37">
        <f t="shared" si="76"/>
        <v>4459.09</v>
      </c>
      <c r="G192" s="37">
        <f t="shared" si="76"/>
        <v>0</v>
      </c>
      <c r="H192" s="37">
        <f t="shared" si="76"/>
        <v>0</v>
      </c>
      <c r="I192" s="37">
        <f t="shared" si="76"/>
        <v>555</v>
      </c>
      <c r="J192" s="140">
        <f t="shared" si="76"/>
        <v>0</v>
      </c>
      <c r="K192" s="140">
        <f t="shared" si="76"/>
        <v>0</v>
      </c>
      <c r="L192" s="140">
        <f t="shared" si="76"/>
        <v>0</v>
      </c>
      <c r="M192" s="140">
        <f t="shared" si="76"/>
        <v>0</v>
      </c>
      <c r="N192" s="140">
        <f t="shared" si="76"/>
        <v>0</v>
      </c>
      <c r="O192" s="140">
        <f>O91</f>
        <v>0</v>
      </c>
      <c r="P192" s="140">
        <f>P91</f>
        <v>0</v>
      </c>
      <c r="Q192" s="140">
        <f>Q91</f>
        <v>0</v>
      </c>
      <c r="R192" s="4"/>
    </row>
    <row r="193" spans="1:18" ht="57.75" customHeight="1">
      <c r="A193" s="90"/>
      <c r="B193" s="76" t="s">
        <v>528</v>
      </c>
      <c r="C193" s="56" t="s">
        <v>533</v>
      </c>
      <c r="D193" s="37">
        <f>D92</f>
        <v>20423.2</v>
      </c>
      <c r="E193" s="37">
        <f>E92</f>
        <v>0</v>
      </c>
      <c r="F193" s="32"/>
      <c r="G193" s="32"/>
      <c r="H193" s="32"/>
      <c r="I193" s="37">
        <f>I92</f>
        <v>0</v>
      </c>
      <c r="J193" s="137">
        <f>J92</f>
        <v>5714</v>
      </c>
      <c r="K193" s="137">
        <f t="shared" ref="K193:Q193" si="77">K92</f>
        <v>5714</v>
      </c>
      <c r="L193" s="137">
        <f t="shared" si="77"/>
        <v>0</v>
      </c>
      <c r="M193" s="137">
        <f t="shared" si="77"/>
        <v>0</v>
      </c>
      <c r="N193" s="137">
        <f t="shared" si="77"/>
        <v>0</v>
      </c>
      <c r="O193" s="137">
        <f t="shared" si="77"/>
        <v>26630</v>
      </c>
      <c r="P193" s="137">
        <f t="shared" si="77"/>
        <v>64692</v>
      </c>
      <c r="Q193" s="137">
        <f t="shared" si="77"/>
        <v>24000</v>
      </c>
      <c r="R193" s="4"/>
    </row>
    <row r="194" spans="1:18" ht="33" customHeight="1">
      <c r="A194" s="96"/>
      <c r="B194" s="93" t="s">
        <v>555</v>
      </c>
      <c r="C194" s="160" t="s">
        <v>532</v>
      </c>
      <c r="D194" s="53" t="s">
        <v>554</v>
      </c>
      <c r="E194" s="37">
        <v>0</v>
      </c>
      <c r="F194" s="32"/>
      <c r="G194" s="32"/>
      <c r="H194" s="32"/>
      <c r="I194" s="37">
        <v>0</v>
      </c>
      <c r="J194" s="137">
        <f t="shared" ref="J194:Q197" si="78">J93</f>
        <v>5714</v>
      </c>
      <c r="K194" s="137">
        <f t="shared" si="78"/>
        <v>5714</v>
      </c>
      <c r="L194" s="137">
        <f t="shared" si="78"/>
        <v>0</v>
      </c>
      <c r="M194" s="137">
        <f t="shared" si="78"/>
        <v>0</v>
      </c>
      <c r="N194" s="137">
        <f t="shared" si="78"/>
        <v>0</v>
      </c>
      <c r="O194" s="137">
        <f t="shared" si="78"/>
        <v>26630</v>
      </c>
      <c r="P194" s="137">
        <f t="shared" si="78"/>
        <v>64692</v>
      </c>
      <c r="Q194" s="137">
        <f t="shared" si="78"/>
        <v>24000</v>
      </c>
      <c r="R194" s="4"/>
    </row>
    <row r="195" spans="1:18" ht="18" customHeight="1">
      <c r="A195" s="90"/>
      <c r="B195" s="77" t="s">
        <v>151</v>
      </c>
      <c r="C195" s="47" t="s">
        <v>529</v>
      </c>
      <c r="D195" s="37">
        <v>0</v>
      </c>
      <c r="E195" s="37">
        <v>0</v>
      </c>
      <c r="F195" s="32"/>
      <c r="G195" s="32"/>
      <c r="H195" s="32"/>
      <c r="I195" s="37">
        <v>0</v>
      </c>
      <c r="J195" s="137">
        <f t="shared" si="78"/>
        <v>0</v>
      </c>
      <c r="K195" s="137">
        <f t="shared" si="78"/>
        <v>0</v>
      </c>
      <c r="L195" s="137">
        <f t="shared" si="78"/>
        <v>0</v>
      </c>
      <c r="M195" s="137">
        <f t="shared" si="78"/>
        <v>0</v>
      </c>
      <c r="N195" s="137">
        <f t="shared" si="78"/>
        <v>0</v>
      </c>
      <c r="O195" s="137"/>
      <c r="P195" s="137"/>
      <c r="Q195" s="137"/>
      <c r="R195" s="4"/>
    </row>
    <row r="196" spans="1:18" ht="17.25" customHeight="1">
      <c r="A196" s="90"/>
      <c r="B196" s="77" t="s">
        <v>142</v>
      </c>
      <c r="C196" s="47" t="s">
        <v>530</v>
      </c>
      <c r="D196" s="37"/>
      <c r="E196" s="37"/>
      <c r="F196" s="32"/>
      <c r="G196" s="32"/>
      <c r="H196" s="32"/>
      <c r="I196" s="37"/>
      <c r="J196" s="137">
        <f t="shared" si="78"/>
        <v>0</v>
      </c>
      <c r="K196" s="137">
        <f t="shared" si="78"/>
        <v>0</v>
      </c>
      <c r="L196" s="137">
        <f t="shared" si="78"/>
        <v>0</v>
      </c>
      <c r="M196" s="137">
        <f t="shared" si="78"/>
        <v>0</v>
      </c>
      <c r="N196" s="137">
        <f t="shared" si="78"/>
        <v>0</v>
      </c>
      <c r="O196" s="137"/>
      <c r="P196" s="137"/>
      <c r="Q196" s="137"/>
      <c r="R196" s="4"/>
    </row>
    <row r="197" spans="1:18" ht="19.5" customHeight="1">
      <c r="A197" s="90"/>
      <c r="B197" s="77" t="s">
        <v>143</v>
      </c>
      <c r="C197" s="167" t="s">
        <v>531</v>
      </c>
      <c r="D197" s="37">
        <v>0</v>
      </c>
      <c r="E197" s="37">
        <v>0</v>
      </c>
      <c r="F197" s="32"/>
      <c r="G197" s="32"/>
      <c r="H197" s="32"/>
      <c r="I197" s="37">
        <v>0</v>
      </c>
      <c r="J197" s="137">
        <f t="shared" si="78"/>
        <v>5714</v>
      </c>
      <c r="K197" s="137">
        <f t="shared" si="78"/>
        <v>5714</v>
      </c>
      <c r="L197" s="137">
        <f t="shared" si="78"/>
        <v>0</v>
      </c>
      <c r="M197" s="137">
        <f t="shared" si="78"/>
        <v>0</v>
      </c>
      <c r="N197" s="137">
        <f t="shared" si="78"/>
        <v>0</v>
      </c>
      <c r="O197" s="137"/>
      <c r="P197" s="137"/>
      <c r="Q197" s="137"/>
      <c r="R197" s="4"/>
    </row>
    <row r="198" spans="1:18" ht="20.25" hidden="1" customHeight="1">
      <c r="A198" s="90"/>
      <c r="B198" s="90" t="s">
        <v>144</v>
      </c>
      <c r="C198" s="159" t="s">
        <v>145</v>
      </c>
      <c r="D198" s="37">
        <f t="shared" ref="D198:Q198" si="79">D199+D200+D201</f>
        <v>20423.2</v>
      </c>
      <c r="E198" s="37">
        <f t="shared" si="79"/>
        <v>0</v>
      </c>
      <c r="F198" s="37">
        <f t="shared" si="79"/>
        <v>0</v>
      </c>
      <c r="G198" s="37">
        <f t="shared" si="79"/>
        <v>0</v>
      </c>
      <c r="H198" s="37">
        <f t="shared" si="79"/>
        <v>0</v>
      </c>
      <c r="I198" s="37">
        <f t="shared" si="79"/>
        <v>0</v>
      </c>
      <c r="J198" s="140">
        <f t="shared" si="79"/>
        <v>0</v>
      </c>
      <c r="K198" s="140">
        <f>K199+K200+K201</f>
        <v>0</v>
      </c>
      <c r="L198" s="140">
        <f>L199+L200+L201</f>
        <v>0</v>
      </c>
      <c r="M198" s="140">
        <f>M199+M200+M201</f>
        <v>0</v>
      </c>
      <c r="N198" s="140">
        <f>N199+N200+N201</f>
        <v>0</v>
      </c>
      <c r="O198" s="140">
        <f t="shared" si="79"/>
        <v>0</v>
      </c>
      <c r="P198" s="140">
        <f t="shared" si="79"/>
        <v>0</v>
      </c>
      <c r="Q198" s="140">
        <f t="shared" si="79"/>
        <v>0</v>
      </c>
      <c r="R198" s="4"/>
    </row>
    <row r="199" spans="1:18" ht="19.5" hidden="1" customHeight="1">
      <c r="A199" s="90"/>
      <c r="B199" s="77" t="s">
        <v>151</v>
      </c>
      <c r="C199" s="47" t="s">
        <v>146</v>
      </c>
      <c r="D199" s="37">
        <f>D98</f>
        <v>20410.47</v>
      </c>
      <c r="E199" s="37">
        <f t="shared" ref="E199:Q200" si="80">E98</f>
        <v>0</v>
      </c>
      <c r="F199" s="37">
        <f t="shared" si="80"/>
        <v>0</v>
      </c>
      <c r="G199" s="37">
        <f t="shared" si="80"/>
        <v>0</v>
      </c>
      <c r="H199" s="37">
        <f t="shared" si="80"/>
        <v>0</v>
      </c>
      <c r="I199" s="37">
        <f t="shared" si="80"/>
        <v>0</v>
      </c>
      <c r="J199" s="140">
        <f t="shared" si="80"/>
        <v>0</v>
      </c>
      <c r="K199" s="140">
        <f t="shared" ref="K199:N200" si="81">K98</f>
        <v>0</v>
      </c>
      <c r="L199" s="140">
        <f t="shared" si="81"/>
        <v>0</v>
      </c>
      <c r="M199" s="140">
        <f t="shared" si="81"/>
        <v>0</v>
      </c>
      <c r="N199" s="140">
        <f t="shared" si="81"/>
        <v>0</v>
      </c>
      <c r="O199" s="140">
        <f t="shared" si="80"/>
        <v>0</v>
      </c>
      <c r="P199" s="140">
        <f t="shared" si="80"/>
        <v>0</v>
      </c>
      <c r="Q199" s="140">
        <f t="shared" si="80"/>
        <v>0</v>
      </c>
      <c r="R199" s="4"/>
    </row>
    <row r="200" spans="1:18" ht="0.75" hidden="1" customHeight="1">
      <c r="A200" s="90"/>
      <c r="B200" s="77" t="s">
        <v>142</v>
      </c>
      <c r="C200" s="47" t="s">
        <v>147</v>
      </c>
      <c r="D200" s="37">
        <f>D99</f>
        <v>12.73</v>
      </c>
      <c r="E200" s="37">
        <f t="shared" si="80"/>
        <v>0</v>
      </c>
      <c r="F200" s="37">
        <f t="shared" si="80"/>
        <v>0</v>
      </c>
      <c r="G200" s="37">
        <f t="shared" si="80"/>
        <v>0</v>
      </c>
      <c r="H200" s="37">
        <f t="shared" si="80"/>
        <v>0</v>
      </c>
      <c r="I200" s="37">
        <f t="shared" si="80"/>
        <v>0</v>
      </c>
      <c r="J200" s="140">
        <f t="shared" si="80"/>
        <v>0</v>
      </c>
      <c r="K200" s="140">
        <f t="shared" si="81"/>
        <v>0</v>
      </c>
      <c r="L200" s="140">
        <f t="shared" si="81"/>
        <v>0</v>
      </c>
      <c r="M200" s="140">
        <f t="shared" si="81"/>
        <v>0</v>
      </c>
      <c r="N200" s="140">
        <f t="shared" si="81"/>
        <v>0</v>
      </c>
      <c r="O200" s="140">
        <f t="shared" si="80"/>
        <v>0</v>
      </c>
      <c r="P200" s="140">
        <f t="shared" si="80"/>
        <v>0</v>
      </c>
      <c r="Q200" s="140">
        <f t="shared" si="80"/>
        <v>0</v>
      </c>
      <c r="R200" s="4"/>
    </row>
    <row r="201" spans="1:18" ht="17.25" hidden="1" customHeight="1">
      <c r="A201" s="90"/>
      <c r="B201" s="77" t="s">
        <v>143</v>
      </c>
      <c r="C201" s="47" t="s">
        <v>148</v>
      </c>
      <c r="D201" s="37">
        <v>0</v>
      </c>
      <c r="E201" s="37">
        <v>0</v>
      </c>
      <c r="F201" s="32"/>
      <c r="G201" s="32"/>
      <c r="H201" s="32"/>
      <c r="I201" s="37">
        <v>0</v>
      </c>
      <c r="J201" s="137"/>
      <c r="K201" s="137"/>
      <c r="L201" s="137"/>
      <c r="M201" s="137"/>
      <c r="N201" s="137"/>
      <c r="O201" s="137"/>
      <c r="P201" s="137"/>
      <c r="Q201" s="137"/>
      <c r="R201" s="4"/>
    </row>
    <row r="202" spans="1:18" ht="18" hidden="1" customHeight="1">
      <c r="A202" s="90"/>
      <c r="B202" s="90" t="s">
        <v>149</v>
      </c>
      <c r="C202" s="159" t="s">
        <v>150</v>
      </c>
      <c r="D202" s="37">
        <v>0</v>
      </c>
      <c r="E202" s="37">
        <v>0</v>
      </c>
      <c r="F202" s="32"/>
      <c r="G202" s="32"/>
      <c r="H202" s="32"/>
      <c r="I202" s="37">
        <v>0</v>
      </c>
      <c r="J202" s="137"/>
      <c r="K202" s="137"/>
      <c r="L202" s="137"/>
      <c r="M202" s="137"/>
      <c r="N202" s="137"/>
      <c r="O202" s="137"/>
      <c r="P202" s="137"/>
      <c r="Q202" s="137"/>
      <c r="R202" s="4"/>
    </row>
    <row r="203" spans="1:18" ht="14.25" hidden="1" customHeight="1">
      <c r="A203" s="90"/>
      <c r="B203" s="77" t="s">
        <v>151</v>
      </c>
      <c r="C203" s="47" t="s">
        <v>152</v>
      </c>
      <c r="D203" s="37">
        <v>0</v>
      </c>
      <c r="E203" s="37">
        <v>0</v>
      </c>
      <c r="F203" s="32"/>
      <c r="G203" s="32"/>
      <c r="H203" s="32"/>
      <c r="I203" s="37">
        <v>0</v>
      </c>
      <c r="J203" s="137"/>
      <c r="K203" s="137"/>
      <c r="L203" s="137"/>
      <c r="M203" s="137"/>
      <c r="N203" s="137"/>
      <c r="O203" s="137"/>
      <c r="P203" s="137"/>
      <c r="Q203" s="137"/>
      <c r="R203" s="4"/>
    </row>
    <row r="204" spans="1:18" ht="17.25" hidden="1" customHeight="1">
      <c r="A204" s="90"/>
      <c r="B204" s="77" t="s">
        <v>142</v>
      </c>
      <c r="C204" s="47" t="s">
        <v>153</v>
      </c>
      <c r="D204" s="37">
        <v>0</v>
      </c>
      <c r="E204" s="37">
        <v>0</v>
      </c>
      <c r="F204" s="32"/>
      <c r="G204" s="32"/>
      <c r="H204" s="32"/>
      <c r="I204" s="37">
        <v>0</v>
      </c>
      <c r="J204" s="137"/>
      <c r="K204" s="137"/>
      <c r="L204" s="137"/>
      <c r="M204" s="137"/>
      <c r="N204" s="137"/>
      <c r="O204" s="137"/>
      <c r="P204" s="137"/>
      <c r="Q204" s="137"/>
      <c r="R204" s="4"/>
    </row>
    <row r="205" spans="1:18" ht="15.75" hidden="1" customHeight="1">
      <c r="A205" s="97"/>
      <c r="B205" s="98" t="s">
        <v>143</v>
      </c>
      <c r="C205" s="161" t="s">
        <v>154</v>
      </c>
      <c r="D205" s="54">
        <v>0</v>
      </c>
      <c r="E205" s="54">
        <v>0</v>
      </c>
      <c r="F205" s="32"/>
      <c r="G205" s="32"/>
      <c r="H205" s="32"/>
      <c r="I205" s="54">
        <v>0</v>
      </c>
      <c r="J205" s="137"/>
      <c r="K205" s="137"/>
      <c r="L205" s="137"/>
      <c r="M205" s="137"/>
      <c r="N205" s="137"/>
      <c r="O205" s="137"/>
      <c r="P205" s="137"/>
      <c r="Q205" s="137"/>
      <c r="R205" s="4"/>
    </row>
    <row r="206" spans="1:18" ht="13.5" customHeight="1">
      <c r="A206" s="73"/>
      <c r="B206" s="74"/>
      <c r="C206" s="162"/>
      <c r="D206" s="55"/>
      <c r="E206" s="55"/>
      <c r="F206" s="32"/>
      <c r="G206" s="32"/>
      <c r="H206" s="32"/>
      <c r="I206" s="55"/>
      <c r="J206" s="137"/>
      <c r="K206" s="137"/>
      <c r="L206" s="137"/>
      <c r="M206" s="137"/>
      <c r="N206" s="137"/>
      <c r="O206" s="137"/>
      <c r="P206" s="137"/>
      <c r="Q206" s="137"/>
      <c r="R206" s="4"/>
    </row>
    <row r="207" spans="1:18" ht="14.25">
      <c r="A207" s="90"/>
      <c r="B207" s="75" t="s">
        <v>5</v>
      </c>
      <c r="C207" s="56" t="s">
        <v>6</v>
      </c>
      <c r="D207" s="37"/>
      <c r="E207" s="37"/>
      <c r="F207" s="32"/>
      <c r="G207" s="32"/>
      <c r="H207" s="32"/>
      <c r="I207" s="37"/>
      <c r="J207" s="137"/>
      <c r="K207" s="137"/>
      <c r="L207" s="137"/>
      <c r="M207" s="137"/>
      <c r="N207" s="137"/>
      <c r="O207" s="137"/>
      <c r="P207" s="137"/>
      <c r="Q207" s="137"/>
      <c r="R207" s="4"/>
    </row>
    <row r="208" spans="1:18" ht="18" customHeight="1">
      <c r="A208" s="99"/>
      <c r="B208" s="99" t="s">
        <v>178</v>
      </c>
      <c r="C208" s="163"/>
      <c r="D208" s="44" t="e">
        <f>D231+D348+D381+D775+D833+#REF!+D897</f>
        <v>#REF!</v>
      </c>
      <c r="E208" s="44" t="e">
        <f>E231+E348+E381+E775+E833+#REF!+E897</f>
        <v>#REF!</v>
      </c>
      <c r="F208" s="50" t="e">
        <f>F231+F348+F381+F775+F833+#REF!+F897</f>
        <v>#REF!</v>
      </c>
      <c r="G208" s="50" t="e">
        <f>G231+G348+G381+G775+G833+G897</f>
        <v>#REF!</v>
      </c>
      <c r="H208" s="50" t="e">
        <f>H231+H348+H381+H775+H833+H897</f>
        <v>#REF!</v>
      </c>
      <c r="I208" s="50" t="e">
        <f>I231+I348+I381+I775+I833+I897</f>
        <v>#REF!</v>
      </c>
      <c r="J208" s="146">
        <f>J231+J348+J381+J775+J833+J897</f>
        <v>393514.31000000006</v>
      </c>
      <c r="K208" s="146">
        <f t="shared" ref="K208:Q208" si="82">K231+K348+K381+K775+K833+K897</f>
        <v>160670.31</v>
      </c>
      <c r="L208" s="146">
        <f t="shared" si="82"/>
        <v>96789</v>
      </c>
      <c r="M208" s="146">
        <f t="shared" si="82"/>
        <v>84022</v>
      </c>
      <c r="N208" s="146">
        <f t="shared" si="82"/>
        <v>52033</v>
      </c>
      <c r="O208" s="146">
        <f t="shared" si="82"/>
        <v>398030</v>
      </c>
      <c r="P208" s="146">
        <f t="shared" si="82"/>
        <v>437192</v>
      </c>
      <c r="Q208" s="146">
        <f t="shared" si="82"/>
        <v>390600</v>
      </c>
      <c r="R208" s="4"/>
    </row>
    <row r="209" spans="1:18" ht="14.25">
      <c r="A209" s="179"/>
      <c r="B209" s="180" t="s">
        <v>179</v>
      </c>
      <c r="C209" s="184"/>
      <c r="D209" s="185">
        <f t="shared" ref="D209:Q209" si="83">D232+D349+D382+D776+D834</f>
        <v>278920</v>
      </c>
      <c r="E209" s="185">
        <f t="shared" si="83"/>
        <v>342789.92</v>
      </c>
      <c r="F209" s="182">
        <f t="shared" si="83"/>
        <v>311065.92</v>
      </c>
      <c r="G209" s="182">
        <f t="shared" si="83"/>
        <v>433554</v>
      </c>
      <c r="H209" s="182">
        <f t="shared" si="83"/>
        <v>4166</v>
      </c>
      <c r="I209" s="185">
        <f t="shared" si="83"/>
        <v>22026</v>
      </c>
      <c r="J209" s="183">
        <f t="shared" si="83"/>
        <v>326667.31000000006</v>
      </c>
      <c r="K209" s="183">
        <f t="shared" ref="K209:N212" si="84">K232+K349+K382+K776+K834</f>
        <v>93823.31</v>
      </c>
      <c r="L209" s="183">
        <f t="shared" si="84"/>
        <v>96789</v>
      </c>
      <c r="M209" s="183">
        <f t="shared" si="84"/>
        <v>84022</v>
      </c>
      <c r="N209" s="183">
        <f t="shared" si="84"/>
        <v>52033</v>
      </c>
      <c r="O209" s="183">
        <f t="shared" si="83"/>
        <v>363169</v>
      </c>
      <c r="P209" s="183">
        <f t="shared" si="83"/>
        <v>366635</v>
      </c>
      <c r="Q209" s="183">
        <f t="shared" si="83"/>
        <v>361020</v>
      </c>
      <c r="R209" s="4"/>
    </row>
    <row r="210" spans="1:18" ht="14.25">
      <c r="A210" s="90"/>
      <c r="B210" s="82" t="s">
        <v>180</v>
      </c>
      <c r="C210" s="47">
        <v>0.01</v>
      </c>
      <c r="D210" s="44">
        <f t="shared" ref="D210:Q210" si="85">D233+D350+D383+D777+D835</f>
        <v>270126</v>
      </c>
      <c r="E210" s="44">
        <f t="shared" si="85"/>
        <v>333931.92</v>
      </c>
      <c r="F210" s="50">
        <f t="shared" si="85"/>
        <v>302207.92</v>
      </c>
      <c r="G210" s="50">
        <f t="shared" si="85"/>
        <v>424687</v>
      </c>
      <c r="H210" s="50">
        <f t="shared" si="85"/>
        <v>4166</v>
      </c>
      <c r="I210" s="44">
        <f t="shared" si="85"/>
        <v>22026</v>
      </c>
      <c r="J210" s="146">
        <f t="shared" si="85"/>
        <v>317704.31000000006</v>
      </c>
      <c r="K210" s="146">
        <f t="shared" si="84"/>
        <v>90761.31</v>
      </c>
      <c r="L210" s="146">
        <f t="shared" si="84"/>
        <v>93726</v>
      </c>
      <c r="M210" s="146">
        <f t="shared" si="84"/>
        <v>82596</v>
      </c>
      <c r="N210" s="146">
        <f t="shared" si="84"/>
        <v>50621</v>
      </c>
      <c r="O210" s="146">
        <f t="shared" si="85"/>
        <v>355951</v>
      </c>
      <c r="P210" s="146">
        <f t="shared" si="85"/>
        <v>361067</v>
      </c>
      <c r="Q210" s="146">
        <f t="shared" si="85"/>
        <v>355452</v>
      </c>
      <c r="R210" s="8"/>
    </row>
    <row r="211" spans="1:18" ht="14.25">
      <c r="A211" s="90"/>
      <c r="B211" s="82" t="s">
        <v>181</v>
      </c>
      <c r="C211" s="47">
        <v>10</v>
      </c>
      <c r="D211" s="44">
        <f t="shared" ref="D211:Q211" si="86">D234+D351+D384+D778+D836</f>
        <v>68142</v>
      </c>
      <c r="E211" s="44">
        <f t="shared" si="86"/>
        <v>108148</v>
      </c>
      <c r="F211" s="50">
        <f t="shared" si="86"/>
        <v>112175.88</v>
      </c>
      <c r="G211" s="50">
        <f t="shared" si="86"/>
        <v>122175</v>
      </c>
      <c r="H211" s="50">
        <f t="shared" si="86"/>
        <v>1296</v>
      </c>
      <c r="I211" s="44">
        <f t="shared" si="86"/>
        <v>5800</v>
      </c>
      <c r="J211" s="146">
        <f t="shared" si="86"/>
        <v>78415.66</v>
      </c>
      <c r="K211" s="146">
        <f t="shared" si="84"/>
        <v>29175.659999999996</v>
      </c>
      <c r="L211" s="146">
        <f t="shared" si="84"/>
        <v>27820</v>
      </c>
      <c r="M211" s="146">
        <f t="shared" si="84"/>
        <v>14020</v>
      </c>
      <c r="N211" s="146">
        <f t="shared" si="84"/>
        <v>7400</v>
      </c>
      <c r="O211" s="146">
        <f t="shared" si="86"/>
        <v>99735</v>
      </c>
      <c r="P211" s="146">
        <f t="shared" si="86"/>
        <v>102914</v>
      </c>
      <c r="Q211" s="146">
        <f t="shared" si="86"/>
        <v>96308</v>
      </c>
      <c r="R211" s="8"/>
    </row>
    <row r="212" spans="1:18" ht="14.25">
      <c r="A212" s="90"/>
      <c r="B212" s="82" t="s">
        <v>182</v>
      </c>
      <c r="C212" s="47">
        <v>20</v>
      </c>
      <c r="D212" s="44">
        <f t="shared" ref="D212:Q212" si="87">D235+D352+D385+D779+D837</f>
        <v>35446</v>
      </c>
      <c r="E212" s="44">
        <f t="shared" si="87"/>
        <v>46248</v>
      </c>
      <c r="F212" s="50">
        <f t="shared" si="87"/>
        <v>21631.89</v>
      </c>
      <c r="G212" s="50">
        <f t="shared" si="87"/>
        <v>46471</v>
      </c>
      <c r="H212" s="50">
        <f t="shared" si="87"/>
        <v>118</v>
      </c>
      <c r="I212" s="44">
        <f t="shared" si="87"/>
        <v>718</v>
      </c>
      <c r="J212" s="146">
        <f t="shared" si="87"/>
        <v>33215.65</v>
      </c>
      <c r="K212" s="146">
        <f t="shared" si="84"/>
        <v>10357.65</v>
      </c>
      <c r="L212" s="146">
        <f t="shared" si="84"/>
        <v>9947</v>
      </c>
      <c r="M212" s="146">
        <f t="shared" si="84"/>
        <v>8097</v>
      </c>
      <c r="N212" s="146">
        <f t="shared" si="84"/>
        <v>4814</v>
      </c>
      <c r="O212" s="146">
        <f t="shared" si="87"/>
        <v>38296</v>
      </c>
      <c r="P212" s="146">
        <f t="shared" si="87"/>
        <v>38324</v>
      </c>
      <c r="Q212" s="146">
        <f t="shared" si="87"/>
        <v>38349</v>
      </c>
      <c r="R212" s="4"/>
    </row>
    <row r="213" spans="1:18" ht="14.25">
      <c r="A213" s="90"/>
      <c r="B213" s="82" t="s">
        <v>183</v>
      </c>
      <c r="C213" s="47">
        <v>30</v>
      </c>
      <c r="D213" s="44">
        <f t="shared" ref="D213:Q214" si="88">D236</f>
        <v>740</v>
      </c>
      <c r="E213" s="44">
        <f t="shared" si="88"/>
        <v>1050</v>
      </c>
      <c r="F213" s="50">
        <f t="shared" si="88"/>
        <v>1050</v>
      </c>
      <c r="G213" s="50">
        <f t="shared" si="88"/>
        <v>1850</v>
      </c>
      <c r="H213" s="50">
        <f t="shared" si="88"/>
        <v>0</v>
      </c>
      <c r="I213" s="44">
        <f t="shared" si="88"/>
        <v>0</v>
      </c>
      <c r="J213" s="146">
        <f t="shared" si="88"/>
        <v>1430</v>
      </c>
      <c r="K213" s="146">
        <f t="shared" ref="K213:N214" si="89">K236</f>
        <v>525</v>
      </c>
      <c r="L213" s="146">
        <f t="shared" si="89"/>
        <v>325</v>
      </c>
      <c r="M213" s="146">
        <f t="shared" si="89"/>
        <v>295</v>
      </c>
      <c r="N213" s="146">
        <f t="shared" si="89"/>
        <v>285</v>
      </c>
      <c r="O213" s="146">
        <f t="shared" si="88"/>
        <v>770</v>
      </c>
      <c r="P213" s="146">
        <f t="shared" si="88"/>
        <v>700</v>
      </c>
      <c r="Q213" s="146">
        <f t="shared" si="88"/>
        <v>630</v>
      </c>
      <c r="R213" s="4"/>
    </row>
    <row r="214" spans="1:18" ht="14.25">
      <c r="A214" s="90"/>
      <c r="B214" s="82" t="s">
        <v>184</v>
      </c>
      <c r="C214" s="47">
        <v>50</v>
      </c>
      <c r="D214" s="44">
        <f t="shared" si="88"/>
        <v>0</v>
      </c>
      <c r="E214" s="44">
        <f t="shared" si="88"/>
        <v>1500</v>
      </c>
      <c r="F214" s="50">
        <f t="shared" si="88"/>
        <v>1500</v>
      </c>
      <c r="G214" s="50">
        <f t="shared" si="88"/>
        <v>2500</v>
      </c>
      <c r="H214" s="50">
        <f t="shared" si="88"/>
        <v>0</v>
      </c>
      <c r="I214" s="44">
        <f t="shared" si="88"/>
        <v>0</v>
      </c>
      <c r="J214" s="146">
        <f t="shared" si="88"/>
        <v>500</v>
      </c>
      <c r="K214" s="146">
        <f t="shared" si="89"/>
        <v>0</v>
      </c>
      <c r="L214" s="146">
        <f t="shared" si="89"/>
        <v>200</v>
      </c>
      <c r="M214" s="146">
        <f t="shared" si="89"/>
        <v>300</v>
      </c>
      <c r="N214" s="146">
        <f t="shared" si="89"/>
        <v>0</v>
      </c>
      <c r="O214" s="146">
        <f t="shared" si="88"/>
        <v>500</v>
      </c>
      <c r="P214" s="146">
        <f t="shared" si="88"/>
        <v>500</v>
      </c>
      <c r="Q214" s="146">
        <f t="shared" si="88"/>
        <v>500</v>
      </c>
      <c r="R214" s="4"/>
    </row>
    <row r="215" spans="1:18" ht="12" customHeight="1">
      <c r="A215" s="90"/>
      <c r="B215" s="82" t="s">
        <v>185</v>
      </c>
      <c r="C215" s="47">
        <v>51</v>
      </c>
      <c r="D215" s="44">
        <f t="shared" ref="D215:J215" si="90">D238+D386+D838</f>
        <v>45329</v>
      </c>
      <c r="E215" s="44">
        <f t="shared" si="90"/>
        <v>51292.92</v>
      </c>
      <c r="F215" s="50">
        <f t="shared" si="90"/>
        <v>43115.15</v>
      </c>
      <c r="G215" s="50">
        <f t="shared" si="90"/>
        <v>74791</v>
      </c>
      <c r="H215" s="50">
        <f t="shared" si="90"/>
        <v>250</v>
      </c>
      <c r="I215" s="44">
        <f t="shared" si="90"/>
        <v>1290</v>
      </c>
      <c r="J215" s="146">
        <f t="shared" si="90"/>
        <v>44137</v>
      </c>
      <c r="K215" s="146">
        <f t="shared" ref="K215:Q215" si="91">K238+K386+K838</f>
        <v>12801</v>
      </c>
      <c r="L215" s="146">
        <f t="shared" si="91"/>
        <v>12585</v>
      </c>
      <c r="M215" s="146">
        <f t="shared" si="91"/>
        <v>10935</v>
      </c>
      <c r="N215" s="146">
        <f t="shared" si="91"/>
        <v>7816</v>
      </c>
      <c r="O215" s="146">
        <f t="shared" si="91"/>
        <v>50590</v>
      </c>
      <c r="P215" s="146">
        <f t="shared" si="91"/>
        <v>50595</v>
      </c>
      <c r="Q215" s="146">
        <f t="shared" si="91"/>
        <v>50600</v>
      </c>
      <c r="R215" s="4"/>
    </row>
    <row r="216" spans="1:18" ht="13.5" customHeight="1">
      <c r="A216" s="90"/>
      <c r="B216" s="82" t="s">
        <v>186</v>
      </c>
      <c r="C216" s="47">
        <v>55</v>
      </c>
      <c r="D216" s="44">
        <f t="shared" ref="D216:Q216" si="92">D239</f>
        <v>0</v>
      </c>
      <c r="E216" s="44">
        <f t="shared" si="92"/>
        <v>0</v>
      </c>
      <c r="F216" s="50">
        <f t="shared" si="92"/>
        <v>0</v>
      </c>
      <c r="G216" s="50">
        <f t="shared" si="92"/>
        <v>0</v>
      </c>
      <c r="H216" s="50">
        <f t="shared" si="92"/>
        <v>0</v>
      </c>
      <c r="I216" s="44">
        <f t="shared" si="92"/>
        <v>0</v>
      </c>
      <c r="J216" s="146">
        <f t="shared" si="92"/>
        <v>0</v>
      </c>
      <c r="K216" s="146">
        <f>K239</f>
        <v>0</v>
      </c>
      <c r="L216" s="146">
        <f>L239</f>
        <v>0</v>
      </c>
      <c r="M216" s="146">
        <f>M239</f>
        <v>0</v>
      </c>
      <c r="N216" s="146">
        <f>N239</f>
        <v>0</v>
      </c>
      <c r="O216" s="146">
        <f t="shared" si="92"/>
        <v>0</v>
      </c>
      <c r="P216" s="146">
        <f t="shared" si="92"/>
        <v>0</v>
      </c>
      <c r="Q216" s="146">
        <f t="shared" si="92"/>
        <v>0</v>
      </c>
      <c r="R216" s="4"/>
    </row>
    <row r="217" spans="1:18" ht="14.25">
      <c r="A217" s="90"/>
      <c r="B217" s="82" t="s">
        <v>187</v>
      </c>
      <c r="C217" s="47">
        <v>57</v>
      </c>
      <c r="D217" s="44">
        <f t="shared" ref="D217:J217" si="93">D240+D387</f>
        <v>110230</v>
      </c>
      <c r="E217" s="44">
        <f t="shared" si="93"/>
        <v>113076</v>
      </c>
      <c r="F217" s="50">
        <f t="shared" si="93"/>
        <v>110118</v>
      </c>
      <c r="G217" s="50">
        <f t="shared" si="93"/>
        <v>164042</v>
      </c>
      <c r="H217" s="50">
        <f t="shared" si="93"/>
        <v>0</v>
      </c>
      <c r="I217" s="44">
        <f t="shared" si="93"/>
        <v>1616</v>
      </c>
      <c r="J217" s="146">
        <f t="shared" si="93"/>
        <v>146079</v>
      </c>
      <c r="K217" s="146">
        <f t="shared" ref="K217:Q217" si="94">K240+K387</f>
        <v>34325</v>
      </c>
      <c r="L217" s="146">
        <f t="shared" si="94"/>
        <v>39171</v>
      </c>
      <c r="M217" s="146">
        <f t="shared" si="94"/>
        <v>45324</v>
      </c>
      <c r="N217" s="146">
        <f t="shared" si="94"/>
        <v>27259</v>
      </c>
      <c r="O217" s="146">
        <f t="shared" si="94"/>
        <v>152150</v>
      </c>
      <c r="P217" s="146">
        <f t="shared" si="94"/>
        <v>154124</v>
      </c>
      <c r="Q217" s="146">
        <f t="shared" si="94"/>
        <v>155155</v>
      </c>
      <c r="R217" s="4"/>
    </row>
    <row r="218" spans="1:18" ht="14.25">
      <c r="A218" s="90"/>
      <c r="B218" s="82" t="s">
        <v>188</v>
      </c>
      <c r="C218" s="47">
        <v>59</v>
      </c>
      <c r="D218" s="44">
        <f t="shared" ref="D218:J218" si="95">D241+D353+D388+D839</f>
        <v>10316</v>
      </c>
      <c r="E218" s="44">
        <f t="shared" si="95"/>
        <v>12617</v>
      </c>
      <c r="F218" s="50">
        <f t="shared" si="95"/>
        <v>12617</v>
      </c>
      <c r="G218" s="50">
        <f t="shared" si="95"/>
        <v>12765</v>
      </c>
      <c r="H218" s="50">
        <f t="shared" si="95"/>
        <v>2502</v>
      </c>
      <c r="I218" s="44">
        <f t="shared" si="95"/>
        <v>12602</v>
      </c>
      <c r="J218" s="146">
        <f t="shared" si="95"/>
        <v>13927</v>
      </c>
      <c r="K218" s="146">
        <f t="shared" ref="K218:Q218" si="96">K241+K353+K388+K839</f>
        <v>3577</v>
      </c>
      <c r="L218" s="146">
        <f t="shared" si="96"/>
        <v>3678</v>
      </c>
      <c r="M218" s="146">
        <f t="shared" si="96"/>
        <v>3625</v>
      </c>
      <c r="N218" s="146">
        <f t="shared" si="96"/>
        <v>3047</v>
      </c>
      <c r="O218" s="146">
        <f t="shared" si="96"/>
        <v>13910</v>
      </c>
      <c r="P218" s="146">
        <f t="shared" si="96"/>
        <v>13910</v>
      </c>
      <c r="Q218" s="146">
        <f t="shared" si="96"/>
        <v>13910</v>
      </c>
      <c r="R218" s="4"/>
    </row>
    <row r="219" spans="1:18" ht="14.25">
      <c r="A219" s="90"/>
      <c r="B219" s="82" t="s">
        <v>189</v>
      </c>
      <c r="C219" s="47">
        <v>79</v>
      </c>
      <c r="D219" s="44">
        <f t="shared" ref="D219:Q219" si="97">D242</f>
        <v>8794</v>
      </c>
      <c r="E219" s="44">
        <f t="shared" si="97"/>
        <v>8858</v>
      </c>
      <c r="F219" s="50">
        <f t="shared" si="97"/>
        <v>8858</v>
      </c>
      <c r="G219" s="50">
        <f t="shared" si="97"/>
        <v>8867</v>
      </c>
      <c r="H219" s="50">
        <f t="shared" si="97"/>
        <v>0</v>
      </c>
      <c r="I219" s="44">
        <f t="shared" si="97"/>
        <v>0</v>
      </c>
      <c r="J219" s="146">
        <f t="shared" si="97"/>
        <v>8963</v>
      </c>
      <c r="K219" s="146">
        <f>K242</f>
        <v>3062</v>
      </c>
      <c r="L219" s="146">
        <f>L242</f>
        <v>3063</v>
      </c>
      <c r="M219" s="146">
        <f>M242</f>
        <v>1426</v>
      </c>
      <c r="N219" s="146">
        <f>N242</f>
        <v>1412</v>
      </c>
      <c r="O219" s="146">
        <f t="shared" si="97"/>
        <v>7218</v>
      </c>
      <c r="P219" s="146">
        <f t="shared" si="97"/>
        <v>5568</v>
      </c>
      <c r="Q219" s="146">
        <f t="shared" si="97"/>
        <v>5568</v>
      </c>
      <c r="R219" s="4"/>
    </row>
    <row r="220" spans="1:18" ht="15" hidden="1">
      <c r="A220" s="90"/>
      <c r="B220" s="89" t="s">
        <v>190</v>
      </c>
      <c r="C220" s="47">
        <v>85.01</v>
      </c>
      <c r="D220" s="44">
        <f t="shared" ref="D220:J220" si="98">D243+D389</f>
        <v>0</v>
      </c>
      <c r="E220" s="44">
        <f t="shared" si="98"/>
        <v>0</v>
      </c>
      <c r="F220" s="50">
        <f t="shared" si="98"/>
        <v>0</v>
      </c>
      <c r="G220" s="50">
        <f t="shared" si="98"/>
        <v>0</v>
      </c>
      <c r="H220" s="50">
        <f t="shared" si="98"/>
        <v>0</v>
      </c>
      <c r="I220" s="44">
        <f t="shared" si="98"/>
        <v>0</v>
      </c>
      <c r="J220" s="146">
        <f t="shared" si="98"/>
        <v>0</v>
      </c>
      <c r="K220" s="146">
        <f t="shared" ref="K220:Q220" si="99">K243+K389</f>
        <v>0</v>
      </c>
      <c r="L220" s="146">
        <f t="shared" si="99"/>
        <v>0</v>
      </c>
      <c r="M220" s="146">
        <f t="shared" si="99"/>
        <v>0</v>
      </c>
      <c r="N220" s="146">
        <f t="shared" si="99"/>
        <v>0</v>
      </c>
      <c r="O220" s="146">
        <f t="shared" si="99"/>
        <v>0</v>
      </c>
      <c r="P220" s="146">
        <f t="shared" si="99"/>
        <v>0</v>
      </c>
      <c r="Q220" s="146">
        <f t="shared" si="99"/>
        <v>0</v>
      </c>
      <c r="R220" s="4"/>
    </row>
    <row r="221" spans="1:18" ht="14.25">
      <c r="A221" s="125"/>
      <c r="B221" s="186" t="s">
        <v>191</v>
      </c>
      <c r="C221" s="181"/>
      <c r="D221" s="182" t="e">
        <f>D244+D354+D390+D780+D840+#REF!+D897</f>
        <v>#REF!</v>
      </c>
      <c r="E221" s="182" t="e">
        <f>E244+E354+E390+E780+E840+#REF!+E897</f>
        <v>#REF!</v>
      </c>
      <c r="F221" s="182" t="e">
        <f>F244+F354+F390+F780+F840+#REF!+F897</f>
        <v>#REF!</v>
      </c>
      <c r="G221" s="182" t="e">
        <f>G244+G354+G390+G780+G840+#REF!+G897</f>
        <v>#REF!</v>
      </c>
      <c r="H221" s="182" t="e">
        <f>H244+H354+H390+H780+H840+#REF!+H897</f>
        <v>#REF!</v>
      </c>
      <c r="I221" s="182" t="e">
        <f>I244+I354+I390+I780+I840+#REF!+I897</f>
        <v>#REF!</v>
      </c>
      <c r="J221" s="183">
        <f t="shared" ref="J221:Q221" si="100">J244+J354+J390+J780+J840+J897</f>
        <v>66847</v>
      </c>
      <c r="K221" s="183">
        <f t="shared" si="100"/>
        <v>66847</v>
      </c>
      <c r="L221" s="183">
        <f t="shared" si="100"/>
        <v>0</v>
      </c>
      <c r="M221" s="183">
        <f t="shared" si="100"/>
        <v>0</v>
      </c>
      <c r="N221" s="183">
        <f t="shared" si="100"/>
        <v>0</v>
      </c>
      <c r="O221" s="183">
        <f t="shared" si="100"/>
        <v>34861</v>
      </c>
      <c r="P221" s="183">
        <f t="shared" si="100"/>
        <v>70557</v>
      </c>
      <c r="Q221" s="183">
        <f t="shared" si="100"/>
        <v>29580</v>
      </c>
      <c r="R221" s="8">
        <f>J223+J225+J226+J227+J228+J229</f>
        <v>66847</v>
      </c>
    </row>
    <row r="222" spans="1:18" ht="14.25">
      <c r="A222" s="90"/>
      <c r="B222" s="82" t="s">
        <v>192</v>
      </c>
      <c r="C222" s="47">
        <v>51</v>
      </c>
      <c r="D222" s="44">
        <f t="shared" ref="D222:J222" si="101">D391+D392+D393+D245</f>
        <v>4709</v>
      </c>
      <c r="E222" s="44">
        <f t="shared" si="101"/>
        <v>11366</v>
      </c>
      <c r="F222" s="50">
        <f t="shared" si="101"/>
        <v>7953.9400000000005</v>
      </c>
      <c r="G222" s="50">
        <f t="shared" si="101"/>
        <v>56429.4</v>
      </c>
      <c r="H222" s="50">
        <f t="shared" si="101"/>
        <v>0</v>
      </c>
      <c r="I222" s="44">
        <f t="shared" si="101"/>
        <v>1031</v>
      </c>
      <c r="J222" s="146">
        <f t="shared" si="101"/>
        <v>16120</v>
      </c>
      <c r="K222" s="146">
        <f t="shared" ref="K222:Q222" si="102">K391+K392+K393+K245</f>
        <v>16120</v>
      </c>
      <c r="L222" s="146">
        <f t="shared" si="102"/>
        <v>0</v>
      </c>
      <c r="M222" s="146">
        <f t="shared" si="102"/>
        <v>0</v>
      </c>
      <c r="N222" s="146">
        <f t="shared" si="102"/>
        <v>0</v>
      </c>
      <c r="O222" s="146">
        <f t="shared" si="102"/>
        <v>85</v>
      </c>
      <c r="P222" s="146">
        <f t="shared" si="102"/>
        <v>85</v>
      </c>
      <c r="Q222" s="146">
        <f t="shared" si="102"/>
        <v>0</v>
      </c>
      <c r="R222" s="4"/>
    </row>
    <row r="223" spans="1:18" ht="12" customHeight="1">
      <c r="A223" s="90"/>
      <c r="B223" s="82" t="s">
        <v>193</v>
      </c>
      <c r="C223" s="47" t="s">
        <v>194</v>
      </c>
      <c r="D223" s="44">
        <f t="shared" ref="D223:Q224" si="103">D391</f>
        <v>3607</v>
      </c>
      <c r="E223" s="44">
        <f t="shared" si="103"/>
        <v>5658</v>
      </c>
      <c r="F223" s="50">
        <f t="shared" si="103"/>
        <v>5658</v>
      </c>
      <c r="G223" s="50">
        <f t="shared" si="103"/>
        <v>47823</v>
      </c>
      <c r="H223" s="50">
        <f t="shared" si="103"/>
        <v>0</v>
      </c>
      <c r="I223" s="44">
        <f t="shared" si="103"/>
        <v>0</v>
      </c>
      <c r="J223" s="146">
        <f t="shared" si="103"/>
        <v>9891</v>
      </c>
      <c r="K223" s="146">
        <f t="shared" ref="K223:N224" si="104">K391</f>
        <v>9891</v>
      </c>
      <c r="L223" s="146">
        <f t="shared" si="104"/>
        <v>0</v>
      </c>
      <c r="M223" s="146">
        <f t="shared" si="104"/>
        <v>0</v>
      </c>
      <c r="N223" s="146">
        <f t="shared" si="104"/>
        <v>0</v>
      </c>
      <c r="O223" s="146">
        <f t="shared" si="103"/>
        <v>0</v>
      </c>
      <c r="P223" s="146">
        <f t="shared" si="103"/>
        <v>0</v>
      </c>
      <c r="Q223" s="146">
        <f t="shared" si="103"/>
        <v>0</v>
      </c>
      <c r="R223" s="4"/>
    </row>
    <row r="224" spans="1:18" ht="14.25">
      <c r="A224" s="90"/>
      <c r="B224" s="82" t="s">
        <v>195</v>
      </c>
      <c r="C224" s="47" t="s">
        <v>196</v>
      </c>
      <c r="D224" s="44">
        <f t="shared" si="103"/>
        <v>0</v>
      </c>
      <c r="E224" s="44">
        <f t="shared" si="103"/>
        <v>0</v>
      </c>
      <c r="F224" s="50">
        <f t="shared" si="103"/>
        <v>0</v>
      </c>
      <c r="G224" s="50">
        <f t="shared" si="103"/>
        <v>0</v>
      </c>
      <c r="H224" s="50">
        <f t="shared" si="103"/>
        <v>0</v>
      </c>
      <c r="I224" s="44">
        <f t="shared" si="103"/>
        <v>0</v>
      </c>
      <c r="J224" s="146">
        <f t="shared" si="103"/>
        <v>0</v>
      </c>
      <c r="K224" s="146">
        <f t="shared" si="104"/>
        <v>0</v>
      </c>
      <c r="L224" s="146">
        <f t="shared" si="104"/>
        <v>0</v>
      </c>
      <c r="M224" s="146">
        <f t="shared" si="104"/>
        <v>0</v>
      </c>
      <c r="N224" s="146">
        <f t="shared" si="104"/>
        <v>0</v>
      </c>
      <c r="O224" s="146">
        <f t="shared" si="103"/>
        <v>0</v>
      </c>
      <c r="P224" s="146">
        <f t="shared" si="103"/>
        <v>0</v>
      </c>
      <c r="Q224" s="146">
        <f t="shared" si="103"/>
        <v>0</v>
      </c>
      <c r="R224" s="4"/>
    </row>
    <row r="225" spans="1:18" ht="14.25">
      <c r="A225" s="90"/>
      <c r="B225" s="82" t="s">
        <v>197</v>
      </c>
      <c r="C225" s="47" t="s">
        <v>198</v>
      </c>
      <c r="D225" s="44">
        <f t="shared" ref="D225:J225" si="105">D393+D246</f>
        <v>1102</v>
      </c>
      <c r="E225" s="44">
        <f t="shared" si="105"/>
        <v>5708</v>
      </c>
      <c r="F225" s="50">
        <f t="shared" si="105"/>
        <v>2295.94</v>
      </c>
      <c r="G225" s="50">
        <f t="shared" si="105"/>
        <v>8606.4</v>
      </c>
      <c r="H225" s="50">
        <f t="shared" si="105"/>
        <v>0</v>
      </c>
      <c r="I225" s="44">
        <f t="shared" si="105"/>
        <v>1031</v>
      </c>
      <c r="J225" s="146">
        <f t="shared" si="105"/>
        <v>6229</v>
      </c>
      <c r="K225" s="146">
        <f t="shared" ref="K225:Q225" si="106">K393+K246</f>
        <v>6229</v>
      </c>
      <c r="L225" s="146">
        <f t="shared" si="106"/>
        <v>0</v>
      </c>
      <c r="M225" s="146">
        <f t="shared" si="106"/>
        <v>0</v>
      </c>
      <c r="N225" s="146">
        <f t="shared" si="106"/>
        <v>0</v>
      </c>
      <c r="O225" s="146">
        <f t="shared" si="106"/>
        <v>85</v>
      </c>
      <c r="P225" s="146">
        <f t="shared" si="106"/>
        <v>85</v>
      </c>
      <c r="Q225" s="146">
        <f t="shared" si="106"/>
        <v>0</v>
      </c>
      <c r="R225" s="4"/>
    </row>
    <row r="226" spans="1:18" ht="14.25">
      <c r="A226" s="90"/>
      <c r="B226" s="82" t="s">
        <v>199</v>
      </c>
      <c r="C226" s="47">
        <v>55</v>
      </c>
      <c r="D226" s="44">
        <f t="shared" ref="D226:J226" si="107">D247+D841+D394+D842</f>
        <v>1230</v>
      </c>
      <c r="E226" s="44">
        <f t="shared" si="107"/>
        <v>580</v>
      </c>
      <c r="F226" s="50">
        <f t="shared" si="107"/>
        <v>580</v>
      </c>
      <c r="G226" s="50">
        <f t="shared" si="107"/>
        <v>580</v>
      </c>
      <c r="H226" s="50">
        <f t="shared" si="107"/>
        <v>0</v>
      </c>
      <c r="I226" s="44">
        <f t="shared" si="107"/>
        <v>0</v>
      </c>
      <c r="J226" s="146">
        <f t="shared" si="107"/>
        <v>16487</v>
      </c>
      <c r="K226" s="146">
        <f t="shared" ref="K226:Q226" si="108">K247+K841+K394+K842</f>
        <v>16487</v>
      </c>
      <c r="L226" s="146">
        <f t="shared" si="108"/>
        <v>0</v>
      </c>
      <c r="M226" s="146">
        <f t="shared" si="108"/>
        <v>0</v>
      </c>
      <c r="N226" s="146">
        <f t="shared" si="108"/>
        <v>0</v>
      </c>
      <c r="O226" s="146">
        <f t="shared" si="108"/>
        <v>580</v>
      </c>
      <c r="P226" s="146">
        <f t="shared" si="108"/>
        <v>580</v>
      </c>
      <c r="Q226" s="146">
        <f t="shared" si="108"/>
        <v>580</v>
      </c>
      <c r="R226" s="4"/>
    </row>
    <row r="227" spans="1:18" ht="14.25">
      <c r="A227" s="90"/>
      <c r="B227" s="82" t="s">
        <v>200</v>
      </c>
      <c r="C227" s="47">
        <v>56</v>
      </c>
      <c r="D227" s="44" t="e">
        <f>D248+D395+D782+D843+#REF!</f>
        <v>#REF!</v>
      </c>
      <c r="E227" s="44" t="e">
        <f>E248+E395+E782+E843+#REF!</f>
        <v>#REF!</v>
      </c>
      <c r="F227" s="50" t="e">
        <f>F248+F395+F782+F843+#REF!</f>
        <v>#REF!</v>
      </c>
      <c r="G227" s="50" t="e">
        <f>G248+G395+G782+G843+#REF!</f>
        <v>#REF!</v>
      </c>
      <c r="H227" s="50" t="e">
        <f>H248+H395+H782+H843+#REF!</f>
        <v>#REF!</v>
      </c>
      <c r="I227" s="44" t="e">
        <f>I248+I395+I782+I843+#REF!</f>
        <v>#REF!</v>
      </c>
      <c r="J227" s="146">
        <f t="shared" ref="J227:Q227" si="109">J248+J395+J782+J843</f>
        <v>1668</v>
      </c>
      <c r="K227" s="146">
        <f t="shared" si="109"/>
        <v>1668</v>
      </c>
      <c r="L227" s="146">
        <f t="shared" si="109"/>
        <v>0</v>
      </c>
      <c r="M227" s="146">
        <f t="shared" si="109"/>
        <v>0</v>
      </c>
      <c r="N227" s="146">
        <f t="shared" si="109"/>
        <v>0</v>
      </c>
      <c r="O227" s="146">
        <f t="shared" si="109"/>
        <v>200</v>
      </c>
      <c r="P227" s="146">
        <f t="shared" si="109"/>
        <v>200</v>
      </c>
      <c r="Q227" s="146">
        <f t="shared" si="109"/>
        <v>0</v>
      </c>
      <c r="R227" s="4"/>
    </row>
    <row r="228" spans="1:18" ht="14.25">
      <c r="A228" s="90"/>
      <c r="B228" s="82" t="s">
        <v>200</v>
      </c>
      <c r="C228" s="47">
        <v>58</v>
      </c>
      <c r="D228" s="44">
        <f t="shared" ref="D228:Q228" si="110">D783+D249</f>
        <v>0</v>
      </c>
      <c r="E228" s="44">
        <f t="shared" si="110"/>
        <v>12</v>
      </c>
      <c r="F228" s="44">
        <f t="shared" si="110"/>
        <v>96</v>
      </c>
      <c r="G228" s="44">
        <f t="shared" si="110"/>
        <v>964</v>
      </c>
      <c r="H228" s="44">
        <f t="shared" si="110"/>
        <v>0</v>
      </c>
      <c r="I228" s="44">
        <f t="shared" si="110"/>
        <v>12</v>
      </c>
      <c r="J228" s="148">
        <f>J783+J249+J844</f>
        <v>5831</v>
      </c>
      <c r="K228" s="148">
        <f>K783+K249+K844</f>
        <v>5831</v>
      </c>
      <c r="L228" s="148">
        <f>L783+L249+L844</f>
        <v>0</v>
      </c>
      <c r="M228" s="148">
        <f>M783+M249+M844</f>
        <v>0</v>
      </c>
      <c r="N228" s="148">
        <f>N783+N249+N844</f>
        <v>0</v>
      </c>
      <c r="O228" s="148">
        <f t="shared" si="110"/>
        <v>18227</v>
      </c>
      <c r="P228" s="148">
        <f t="shared" si="110"/>
        <v>13923</v>
      </c>
      <c r="Q228" s="148">
        <f t="shared" si="110"/>
        <v>4000</v>
      </c>
      <c r="R228" s="4"/>
    </row>
    <row r="229" spans="1:18" ht="14.25">
      <c r="A229" s="90"/>
      <c r="B229" s="82" t="s">
        <v>201</v>
      </c>
      <c r="C229" s="47">
        <v>70</v>
      </c>
      <c r="D229" s="44">
        <f t="shared" ref="D229:Q229" si="111">D250+D355+D396+D784+D845+D897</f>
        <v>15627</v>
      </c>
      <c r="E229" s="44">
        <f t="shared" si="111"/>
        <v>36902</v>
      </c>
      <c r="F229" s="50">
        <f t="shared" si="111"/>
        <v>3094.33</v>
      </c>
      <c r="G229" s="50">
        <f t="shared" si="111"/>
        <v>7765</v>
      </c>
      <c r="H229" s="50">
        <f t="shared" si="111"/>
        <v>0</v>
      </c>
      <c r="I229" s="44">
        <f t="shared" si="111"/>
        <v>32460</v>
      </c>
      <c r="J229" s="146">
        <f t="shared" si="111"/>
        <v>26741</v>
      </c>
      <c r="K229" s="146">
        <f>K250+K355+K396+K784+K845+K897</f>
        <v>26741</v>
      </c>
      <c r="L229" s="146">
        <f>L250+L355+L396+L784+L845+L897</f>
        <v>0</v>
      </c>
      <c r="M229" s="146">
        <f>M250+M355+M396+M784+M845+M897</f>
        <v>0</v>
      </c>
      <c r="N229" s="146">
        <f>N250+N355+N396+N784+N845+N897</f>
        <v>0</v>
      </c>
      <c r="O229" s="146">
        <f t="shared" si="111"/>
        <v>5000</v>
      </c>
      <c r="P229" s="146">
        <f t="shared" si="111"/>
        <v>5000</v>
      </c>
      <c r="Q229" s="146">
        <f t="shared" si="111"/>
        <v>5000</v>
      </c>
      <c r="R229" s="4"/>
    </row>
    <row r="230" spans="1:18" ht="20.25" customHeight="1">
      <c r="A230" s="90"/>
      <c r="B230" s="89" t="s">
        <v>190</v>
      </c>
      <c r="C230" s="47">
        <v>85.01</v>
      </c>
      <c r="D230" s="44" t="e">
        <f t="shared" ref="D230:Q230" si="112">D846</f>
        <v>#REF!</v>
      </c>
      <c r="E230" s="44" t="e">
        <f t="shared" si="112"/>
        <v>#REF!</v>
      </c>
      <c r="F230" s="50" t="e">
        <f t="shared" si="112"/>
        <v>#REF!</v>
      </c>
      <c r="G230" s="50" t="e">
        <f t="shared" si="112"/>
        <v>#REF!</v>
      </c>
      <c r="H230" s="50" t="e">
        <f t="shared" si="112"/>
        <v>#REF!</v>
      </c>
      <c r="I230" s="44" t="e">
        <f t="shared" si="112"/>
        <v>#REF!</v>
      </c>
      <c r="J230" s="146">
        <f t="shared" si="112"/>
        <v>0</v>
      </c>
      <c r="K230" s="146">
        <f>K846</f>
        <v>0</v>
      </c>
      <c r="L230" s="146">
        <f>L846</f>
        <v>0</v>
      </c>
      <c r="M230" s="146">
        <f>M846</f>
        <v>0</v>
      </c>
      <c r="N230" s="146">
        <f>N846</f>
        <v>0</v>
      </c>
      <c r="O230" s="146">
        <f t="shared" si="112"/>
        <v>0</v>
      </c>
      <c r="P230" s="146">
        <f t="shared" si="112"/>
        <v>0</v>
      </c>
      <c r="Q230" s="146">
        <f t="shared" si="112"/>
        <v>0</v>
      </c>
      <c r="R230" s="4"/>
    </row>
    <row r="231" spans="1:18" ht="17.25" customHeight="1">
      <c r="A231" s="100" t="s">
        <v>7</v>
      </c>
      <c r="B231" s="101" t="s">
        <v>576</v>
      </c>
      <c r="C231" s="164">
        <v>50.02</v>
      </c>
      <c r="D231" s="57">
        <f t="shared" ref="D231:J231" si="113">D251+D314+D341</f>
        <v>25198</v>
      </c>
      <c r="E231" s="57">
        <f t="shared" si="113"/>
        <v>38767</v>
      </c>
      <c r="F231" s="58">
        <f t="shared" si="113"/>
        <v>30592.5</v>
      </c>
      <c r="G231" s="58">
        <f t="shared" si="113"/>
        <v>49488</v>
      </c>
      <c r="H231" s="58">
        <f t="shared" si="113"/>
        <v>18</v>
      </c>
      <c r="I231" s="57">
        <f t="shared" si="113"/>
        <v>18</v>
      </c>
      <c r="J231" s="149">
        <f t="shared" si="113"/>
        <v>48895.65</v>
      </c>
      <c r="K231" s="149">
        <f t="shared" ref="K231:Q231" si="114">K251+K314+K341</f>
        <v>20579.650000000001</v>
      </c>
      <c r="L231" s="149">
        <f t="shared" si="114"/>
        <v>11163</v>
      </c>
      <c r="M231" s="149">
        <f t="shared" si="114"/>
        <v>9031</v>
      </c>
      <c r="N231" s="149">
        <f t="shared" si="114"/>
        <v>8122</v>
      </c>
      <c r="O231" s="149">
        <f t="shared" si="114"/>
        <v>58711</v>
      </c>
      <c r="P231" s="149">
        <f t="shared" si="114"/>
        <v>53803</v>
      </c>
      <c r="Q231" s="149">
        <f t="shared" si="114"/>
        <v>43809</v>
      </c>
      <c r="R231" s="4"/>
    </row>
    <row r="232" spans="1:18" ht="18.75" customHeight="1">
      <c r="A232" s="102"/>
      <c r="B232" s="80" t="s">
        <v>179</v>
      </c>
      <c r="C232" s="165"/>
      <c r="D232" s="57">
        <f t="shared" ref="D232:J232" si="115">D252+D316+D320+D328+D338+D342</f>
        <v>23895</v>
      </c>
      <c r="E232" s="57">
        <f t="shared" si="115"/>
        <v>37177</v>
      </c>
      <c r="F232" s="58">
        <f t="shared" si="115"/>
        <v>30496.5</v>
      </c>
      <c r="G232" s="58">
        <f t="shared" si="115"/>
        <v>47707</v>
      </c>
      <c r="H232" s="58">
        <f t="shared" si="115"/>
        <v>18</v>
      </c>
      <c r="I232" s="57">
        <f t="shared" si="115"/>
        <v>18</v>
      </c>
      <c r="J232" s="149">
        <f t="shared" si="115"/>
        <v>39712.65</v>
      </c>
      <c r="K232" s="149">
        <f t="shared" ref="K232:Q232" si="116">K252+K316+K320+K328+K338+K342</f>
        <v>11396.65</v>
      </c>
      <c r="L232" s="149">
        <f t="shared" si="116"/>
        <v>11163</v>
      </c>
      <c r="M232" s="149">
        <f t="shared" si="116"/>
        <v>9031</v>
      </c>
      <c r="N232" s="149">
        <f t="shared" si="116"/>
        <v>8122</v>
      </c>
      <c r="O232" s="149">
        <f t="shared" si="116"/>
        <v>40484</v>
      </c>
      <c r="P232" s="149">
        <f t="shared" si="116"/>
        <v>39880</v>
      </c>
      <c r="Q232" s="149">
        <f t="shared" si="116"/>
        <v>39809</v>
      </c>
      <c r="R232" s="4"/>
    </row>
    <row r="233" spans="1:18" ht="15">
      <c r="A233" s="90"/>
      <c r="B233" s="89" t="s">
        <v>180</v>
      </c>
      <c r="C233" s="47"/>
      <c r="D233" s="37">
        <f t="shared" ref="D233:J233" si="117">D253+D317+D321+D339+D343</f>
        <v>15101</v>
      </c>
      <c r="E233" s="37">
        <f t="shared" si="117"/>
        <v>28319</v>
      </c>
      <c r="F233" s="36">
        <f t="shared" si="117"/>
        <v>21638.5</v>
      </c>
      <c r="G233" s="36">
        <f t="shared" si="117"/>
        <v>38840</v>
      </c>
      <c r="H233" s="36">
        <f t="shared" si="117"/>
        <v>18</v>
      </c>
      <c r="I233" s="37">
        <f t="shared" si="117"/>
        <v>18</v>
      </c>
      <c r="J233" s="141">
        <f t="shared" si="117"/>
        <v>30749.65</v>
      </c>
      <c r="K233" s="141">
        <f t="shared" ref="K233:Q233" si="118">K253+K317+K321+K339+K343</f>
        <v>8334.65</v>
      </c>
      <c r="L233" s="141">
        <f t="shared" si="118"/>
        <v>8100</v>
      </c>
      <c r="M233" s="141">
        <f t="shared" si="118"/>
        <v>7605</v>
      </c>
      <c r="N233" s="141">
        <f t="shared" si="118"/>
        <v>6710</v>
      </c>
      <c r="O233" s="141">
        <f t="shared" si="118"/>
        <v>33266</v>
      </c>
      <c r="P233" s="141">
        <f t="shared" si="118"/>
        <v>34312</v>
      </c>
      <c r="Q233" s="141">
        <f t="shared" si="118"/>
        <v>34241</v>
      </c>
      <c r="R233" s="4"/>
    </row>
    <row r="234" spans="1:18" ht="15">
      <c r="A234" s="90"/>
      <c r="B234" s="89" t="s">
        <v>181</v>
      </c>
      <c r="C234" s="47">
        <v>10</v>
      </c>
      <c r="D234" s="36">
        <f t="shared" ref="D234:J234" si="119">D254+D334</f>
        <v>7053</v>
      </c>
      <c r="E234" s="36">
        <f t="shared" si="119"/>
        <v>16753</v>
      </c>
      <c r="F234" s="36">
        <f t="shared" si="119"/>
        <v>16753</v>
      </c>
      <c r="G234" s="36">
        <f t="shared" si="119"/>
        <v>23152</v>
      </c>
      <c r="H234" s="36">
        <f t="shared" si="119"/>
        <v>0</v>
      </c>
      <c r="I234" s="36">
        <f t="shared" si="119"/>
        <v>0</v>
      </c>
      <c r="J234" s="141">
        <f t="shared" si="119"/>
        <v>22800</v>
      </c>
      <c r="K234" s="141">
        <f t="shared" ref="K234:Q234" si="120">K254+K334</f>
        <v>5200</v>
      </c>
      <c r="L234" s="141">
        <f t="shared" si="120"/>
        <v>5600</v>
      </c>
      <c r="M234" s="141">
        <f t="shared" si="120"/>
        <v>6000</v>
      </c>
      <c r="N234" s="141">
        <f t="shared" si="120"/>
        <v>6000</v>
      </c>
      <c r="O234" s="141">
        <f t="shared" si="120"/>
        <v>24170</v>
      </c>
      <c r="P234" s="141">
        <f t="shared" si="120"/>
        <v>25287</v>
      </c>
      <c r="Q234" s="141">
        <f t="shared" si="120"/>
        <v>25287</v>
      </c>
      <c r="R234" s="4"/>
    </row>
    <row r="235" spans="1:18" ht="15">
      <c r="A235" s="90"/>
      <c r="B235" s="89" t="s">
        <v>182</v>
      </c>
      <c r="C235" s="47">
        <v>20</v>
      </c>
      <c r="D235" s="36">
        <f t="shared" ref="D235:J235" si="121">D255+D344+D335</f>
        <v>5081</v>
      </c>
      <c r="E235" s="36">
        <f t="shared" si="121"/>
        <v>6518</v>
      </c>
      <c r="F235" s="36">
        <f t="shared" si="121"/>
        <v>18</v>
      </c>
      <c r="G235" s="36">
        <f t="shared" si="121"/>
        <v>6517</v>
      </c>
      <c r="H235" s="36">
        <f t="shared" si="121"/>
        <v>18</v>
      </c>
      <c r="I235" s="36">
        <f t="shared" si="121"/>
        <v>18</v>
      </c>
      <c r="J235" s="141">
        <f t="shared" si="121"/>
        <v>3409.65</v>
      </c>
      <c r="K235" s="141">
        <f t="shared" ref="K235:Q235" si="122">K255+K344+K335</f>
        <v>1734.65</v>
      </c>
      <c r="L235" s="141">
        <f t="shared" si="122"/>
        <v>1100</v>
      </c>
      <c r="M235" s="141">
        <f t="shared" si="122"/>
        <v>500</v>
      </c>
      <c r="N235" s="141">
        <f t="shared" si="122"/>
        <v>75</v>
      </c>
      <c r="O235" s="141">
        <f t="shared" si="122"/>
        <v>6016</v>
      </c>
      <c r="P235" s="141">
        <f t="shared" si="122"/>
        <v>6015</v>
      </c>
      <c r="Q235" s="141">
        <f t="shared" si="122"/>
        <v>6014</v>
      </c>
      <c r="R235" s="4"/>
    </row>
    <row r="236" spans="1:18" ht="15">
      <c r="A236" s="90"/>
      <c r="B236" s="89" t="s">
        <v>183</v>
      </c>
      <c r="C236" s="47">
        <v>30</v>
      </c>
      <c r="D236" s="36">
        <f t="shared" ref="D236:Q236" si="123">D345</f>
        <v>740</v>
      </c>
      <c r="E236" s="36">
        <f t="shared" si="123"/>
        <v>1050</v>
      </c>
      <c r="F236" s="36">
        <f t="shared" si="123"/>
        <v>1050</v>
      </c>
      <c r="G236" s="36">
        <f t="shared" si="123"/>
        <v>1850</v>
      </c>
      <c r="H236" s="36">
        <f t="shared" si="123"/>
        <v>0</v>
      </c>
      <c r="I236" s="36">
        <f t="shared" si="123"/>
        <v>0</v>
      </c>
      <c r="J236" s="141">
        <f t="shared" si="123"/>
        <v>1430</v>
      </c>
      <c r="K236" s="141">
        <f>K345</f>
        <v>525</v>
      </c>
      <c r="L236" s="141">
        <f>L345</f>
        <v>325</v>
      </c>
      <c r="M236" s="141">
        <f>M345</f>
        <v>295</v>
      </c>
      <c r="N236" s="141">
        <f>N345</f>
        <v>285</v>
      </c>
      <c r="O236" s="141">
        <f t="shared" si="123"/>
        <v>770</v>
      </c>
      <c r="P236" s="141">
        <f t="shared" si="123"/>
        <v>700</v>
      </c>
      <c r="Q236" s="141">
        <f t="shared" si="123"/>
        <v>630</v>
      </c>
      <c r="R236" s="4"/>
    </row>
    <row r="237" spans="1:18" ht="15">
      <c r="A237" s="90"/>
      <c r="B237" s="89" t="s">
        <v>202</v>
      </c>
      <c r="C237" s="47">
        <v>50</v>
      </c>
      <c r="D237" s="36">
        <f t="shared" ref="D237:Q237" si="124">D318</f>
        <v>0</v>
      </c>
      <c r="E237" s="36">
        <f t="shared" si="124"/>
        <v>1500</v>
      </c>
      <c r="F237" s="36">
        <f t="shared" si="124"/>
        <v>1500</v>
      </c>
      <c r="G237" s="36">
        <f t="shared" si="124"/>
        <v>2500</v>
      </c>
      <c r="H237" s="36">
        <f t="shared" si="124"/>
        <v>0</v>
      </c>
      <c r="I237" s="36">
        <f t="shared" si="124"/>
        <v>0</v>
      </c>
      <c r="J237" s="141">
        <f t="shared" si="124"/>
        <v>500</v>
      </c>
      <c r="K237" s="141">
        <f>K318</f>
        <v>0</v>
      </c>
      <c r="L237" s="141">
        <f>L318</f>
        <v>200</v>
      </c>
      <c r="M237" s="141">
        <f>M318</f>
        <v>300</v>
      </c>
      <c r="N237" s="141">
        <f>N318</f>
        <v>0</v>
      </c>
      <c r="O237" s="141">
        <f t="shared" si="124"/>
        <v>500</v>
      </c>
      <c r="P237" s="141">
        <f t="shared" si="124"/>
        <v>500</v>
      </c>
      <c r="Q237" s="141">
        <f t="shared" si="124"/>
        <v>500</v>
      </c>
      <c r="R237" s="4"/>
    </row>
    <row r="238" spans="1:18" ht="15">
      <c r="A238" s="90"/>
      <c r="B238" s="89" t="s">
        <v>185</v>
      </c>
      <c r="C238" s="47">
        <v>51</v>
      </c>
      <c r="D238" s="36">
        <f t="shared" ref="D238:Q238" si="125">D322+D340</f>
        <v>945</v>
      </c>
      <c r="E238" s="36">
        <f t="shared" si="125"/>
        <v>1598</v>
      </c>
      <c r="F238" s="36">
        <f t="shared" si="125"/>
        <v>1417.5</v>
      </c>
      <c r="G238" s="36">
        <f t="shared" si="125"/>
        <v>3981</v>
      </c>
      <c r="H238" s="36">
        <f t="shared" si="125"/>
        <v>0</v>
      </c>
      <c r="I238" s="36">
        <f t="shared" si="125"/>
        <v>0</v>
      </c>
      <c r="J238" s="141">
        <f t="shared" si="125"/>
        <v>1710</v>
      </c>
      <c r="K238" s="141">
        <f>K322+K340</f>
        <v>550</v>
      </c>
      <c r="L238" s="141">
        <f>L322+L340</f>
        <v>550</v>
      </c>
      <c r="M238" s="141">
        <f>M322+M340</f>
        <v>385</v>
      </c>
      <c r="N238" s="141">
        <f>N322+N340</f>
        <v>225</v>
      </c>
      <c r="O238" s="141">
        <f t="shared" si="125"/>
        <v>1710</v>
      </c>
      <c r="P238" s="141">
        <f t="shared" si="125"/>
        <v>1710</v>
      </c>
      <c r="Q238" s="141">
        <f t="shared" si="125"/>
        <v>1710</v>
      </c>
      <c r="R238" s="4"/>
    </row>
    <row r="239" spans="1:18" ht="15">
      <c r="A239" s="90"/>
      <c r="B239" s="89" t="s">
        <v>186</v>
      </c>
      <c r="C239" s="47">
        <v>55</v>
      </c>
      <c r="D239" s="36">
        <f t="shared" ref="D239:Q240" si="126">D256</f>
        <v>0</v>
      </c>
      <c r="E239" s="36">
        <f t="shared" si="126"/>
        <v>0</v>
      </c>
      <c r="F239" s="36">
        <f t="shared" si="126"/>
        <v>0</v>
      </c>
      <c r="G239" s="36">
        <f t="shared" si="126"/>
        <v>0</v>
      </c>
      <c r="H239" s="36">
        <f t="shared" si="126"/>
        <v>0</v>
      </c>
      <c r="I239" s="36">
        <f t="shared" si="126"/>
        <v>0</v>
      </c>
      <c r="J239" s="141">
        <f t="shared" si="126"/>
        <v>0</v>
      </c>
      <c r="K239" s="141">
        <f t="shared" ref="K239:N240" si="127">K256</f>
        <v>0</v>
      </c>
      <c r="L239" s="141">
        <f t="shared" si="127"/>
        <v>0</v>
      </c>
      <c r="M239" s="141">
        <f t="shared" si="127"/>
        <v>0</v>
      </c>
      <c r="N239" s="141">
        <f t="shared" si="127"/>
        <v>0</v>
      </c>
      <c r="O239" s="141">
        <f t="shared" si="126"/>
        <v>0</v>
      </c>
      <c r="P239" s="141">
        <f t="shared" si="126"/>
        <v>0</v>
      </c>
      <c r="Q239" s="141">
        <f t="shared" si="126"/>
        <v>0</v>
      </c>
      <c r="R239" s="4"/>
    </row>
    <row r="240" spans="1:18" ht="15">
      <c r="A240" s="90"/>
      <c r="B240" s="77" t="s">
        <v>203</v>
      </c>
      <c r="C240" s="47">
        <v>57</v>
      </c>
      <c r="D240" s="36">
        <f t="shared" si="126"/>
        <v>1359</v>
      </c>
      <c r="E240" s="36">
        <f t="shared" si="126"/>
        <v>900</v>
      </c>
      <c r="F240" s="36">
        <f t="shared" si="126"/>
        <v>900</v>
      </c>
      <c r="G240" s="36">
        <f t="shared" si="126"/>
        <v>840</v>
      </c>
      <c r="H240" s="36">
        <f t="shared" si="126"/>
        <v>0</v>
      </c>
      <c r="I240" s="36">
        <f t="shared" si="126"/>
        <v>0</v>
      </c>
      <c r="J240" s="141">
        <f t="shared" si="126"/>
        <v>800</v>
      </c>
      <c r="K240" s="141">
        <f t="shared" si="127"/>
        <v>300</v>
      </c>
      <c r="L240" s="141">
        <f t="shared" si="127"/>
        <v>300</v>
      </c>
      <c r="M240" s="141">
        <f t="shared" si="127"/>
        <v>100</v>
      </c>
      <c r="N240" s="141">
        <f t="shared" si="127"/>
        <v>100</v>
      </c>
      <c r="O240" s="141">
        <f t="shared" si="126"/>
        <v>0</v>
      </c>
      <c r="P240" s="141">
        <f t="shared" si="126"/>
        <v>0</v>
      </c>
      <c r="Q240" s="141">
        <f t="shared" si="126"/>
        <v>0</v>
      </c>
      <c r="R240" s="4"/>
    </row>
    <row r="241" spans="1:18" ht="15">
      <c r="A241" s="90"/>
      <c r="B241" s="89" t="s">
        <v>204</v>
      </c>
      <c r="C241" s="47">
        <v>59</v>
      </c>
      <c r="D241" s="36">
        <v>0</v>
      </c>
      <c r="E241" s="36">
        <v>0</v>
      </c>
      <c r="F241" s="36">
        <v>0</v>
      </c>
      <c r="G241" s="36">
        <v>0</v>
      </c>
      <c r="H241" s="36">
        <v>0</v>
      </c>
      <c r="I241" s="36">
        <v>0</v>
      </c>
      <c r="J241" s="141">
        <f t="shared" ref="J241:Q241" si="128">J259</f>
        <v>100</v>
      </c>
      <c r="K241" s="141">
        <f t="shared" si="128"/>
        <v>25</v>
      </c>
      <c r="L241" s="141">
        <f t="shared" si="128"/>
        <v>25</v>
      </c>
      <c r="M241" s="141">
        <f t="shared" si="128"/>
        <v>25</v>
      </c>
      <c r="N241" s="141">
        <f t="shared" si="128"/>
        <v>25</v>
      </c>
      <c r="O241" s="141">
        <f t="shared" si="128"/>
        <v>100</v>
      </c>
      <c r="P241" s="141">
        <f t="shared" si="128"/>
        <v>100</v>
      </c>
      <c r="Q241" s="141">
        <f t="shared" si="128"/>
        <v>100</v>
      </c>
      <c r="R241" s="4"/>
    </row>
    <row r="242" spans="1:18" ht="15">
      <c r="A242" s="90"/>
      <c r="B242" s="89" t="s">
        <v>189</v>
      </c>
      <c r="C242" s="47">
        <v>79</v>
      </c>
      <c r="D242" s="36">
        <f t="shared" ref="D242:Q242" si="129">D329</f>
        <v>8794</v>
      </c>
      <c r="E242" s="36">
        <f t="shared" si="129"/>
        <v>8858</v>
      </c>
      <c r="F242" s="36">
        <f t="shared" si="129"/>
        <v>8858</v>
      </c>
      <c r="G242" s="36">
        <f t="shared" si="129"/>
        <v>8867</v>
      </c>
      <c r="H242" s="36">
        <f t="shared" si="129"/>
        <v>0</v>
      </c>
      <c r="I242" s="36">
        <f t="shared" si="129"/>
        <v>0</v>
      </c>
      <c r="J242" s="141">
        <f t="shared" si="129"/>
        <v>8963</v>
      </c>
      <c r="K242" s="141">
        <f>K329</f>
        <v>3062</v>
      </c>
      <c r="L242" s="141">
        <f>L329</f>
        <v>3063</v>
      </c>
      <c r="M242" s="141">
        <f>M329</f>
        <v>1426</v>
      </c>
      <c r="N242" s="141">
        <f>N329</f>
        <v>1412</v>
      </c>
      <c r="O242" s="141">
        <f t="shared" si="129"/>
        <v>7218</v>
      </c>
      <c r="P242" s="141">
        <f t="shared" si="129"/>
        <v>5568</v>
      </c>
      <c r="Q242" s="141">
        <f t="shared" si="129"/>
        <v>5568</v>
      </c>
      <c r="R242" s="4"/>
    </row>
    <row r="243" spans="1:18" ht="0.75" customHeight="1">
      <c r="A243" s="90"/>
      <c r="B243" s="89" t="s">
        <v>190</v>
      </c>
      <c r="C243" s="47">
        <v>85.01</v>
      </c>
      <c r="D243" s="36">
        <f t="shared" ref="D243:Q243" si="130">D258</f>
        <v>0</v>
      </c>
      <c r="E243" s="36">
        <f t="shared" si="130"/>
        <v>0</v>
      </c>
      <c r="F243" s="36">
        <f t="shared" si="130"/>
        <v>0</v>
      </c>
      <c r="G243" s="36">
        <f t="shared" si="130"/>
        <v>0</v>
      </c>
      <c r="H243" s="36">
        <f t="shared" si="130"/>
        <v>0</v>
      </c>
      <c r="I243" s="36">
        <f t="shared" si="130"/>
        <v>0</v>
      </c>
      <c r="J243" s="141">
        <f t="shared" si="130"/>
        <v>0</v>
      </c>
      <c r="K243" s="141">
        <f>K258</f>
        <v>0</v>
      </c>
      <c r="L243" s="141">
        <f>L258</f>
        <v>0</v>
      </c>
      <c r="M243" s="141">
        <f>M258</f>
        <v>0</v>
      </c>
      <c r="N243" s="141">
        <f>N258</f>
        <v>0</v>
      </c>
      <c r="O243" s="141">
        <f t="shared" si="130"/>
        <v>0</v>
      </c>
      <c r="P243" s="141">
        <f t="shared" si="130"/>
        <v>0</v>
      </c>
      <c r="Q243" s="141">
        <f t="shared" si="130"/>
        <v>0</v>
      </c>
      <c r="R243" s="4"/>
    </row>
    <row r="244" spans="1:18" ht="14.25">
      <c r="A244" s="90"/>
      <c r="B244" s="82" t="s">
        <v>191</v>
      </c>
      <c r="C244" s="47"/>
      <c r="D244" s="36">
        <f>D247+D248+D250+D245+D249</f>
        <v>1226</v>
      </c>
      <c r="E244" s="36">
        <f t="shared" ref="E244:Q244" si="131">E247+E248+E250+E245+E249</f>
        <v>1590</v>
      </c>
      <c r="F244" s="36">
        <f t="shared" si="131"/>
        <v>96</v>
      </c>
      <c r="G244" s="36">
        <f t="shared" si="131"/>
        <v>1781</v>
      </c>
      <c r="H244" s="36">
        <f t="shared" si="131"/>
        <v>0</v>
      </c>
      <c r="I244" s="36">
        <f t="shared" si="131"/>
        <v>0</v>
      </c>
      <c r="J244" s="141">
        <f t="shared" si="131"/>
        <v>9183</v>
      </c>
      <c r="K244" s="141">
        <f>K247+K248+K250+K245+K249</f>
        <v>9183</v>
      </c>
      <c r="L244" s="141">
        <f>L247+L248+L250+L245+L249</f>
        <v>0</v>
      </c>
      <c r="M244" s="141">
        <f>M247+M248+M250+M245+M249</f>
        <v>0</v>
      </c>
      <c r="N244" s="141">
        <f>N247+N248+N250+N245+N249</f>
        <v>0</v>
      </c>
      <c r="O244" s="141">
        <f t="shared" si="131"/>
        <v>18227</v>
      </c>
      <c r="P244" s="141">
        <f t="shared" si="131"/>
        <v>13923</v>
      </c>
      <c r="Q244" s="141">
        <f t="shared" si="131"/>
        <v>4000</v>
      </c>
      <c r="R244" s="4"/>
    </row>
    <row r="245" spans="1:18" ht="17.25" customHeight="1">
      <c r="A245" s="90"/>
      <c r="B245" s="89" t="s">
        <v>205</v>
      </c>
      <c r="C245" s="47">
        <v>51</v>
      </c>
      <c r="D245" s="36">
        <f t="shared" ref="D245:Q245" si="132">D326</f>
        <v>0</v>
      </c>
      <c r="E245" s="36">
        <f t="shared" si="132"/>
        <v>5</v>
      </c>
      <c r="F245" s="36">
        <f t="shared" si="132"/>
        <v>0</v>
      </c>
      <c r="G245" s="36">
        <f t="shared" si="132"/>
        <v>0</v>
      </c>
      <c r="H245" s="36">
        <f t="shared" si="132"/>
        <v>0</v>
      </c>
      <c r="I245" s="36">
        <f t="shared" si="132"/>
        <v>0</v>
      </c>
      <c r="J245" s="141">
        <f t="shared" si="132"/>
        <v>0</v>
      </c>
      <c r="K245" s="141">
        <f>K326</f>
        <v>0</v>
      </c>
      <c r="L245" s="141">
        <f>L326</f>
        <v>0</v>
      </c>
      <c r="M245" s="141">
        <f>M326</f>
        <v>0</v>
      </c>
      <c r="N245" s="141">
        <f>N326</f>
        <v>0</v>
      </c>
      <c r="O245" s="141">
        <f t="shared" si="132"/>
        <v>0</v>
      </c>
      <c r="P245" s="141">
        <f t="shared" si="132"/>
        <v>0</v>
      </c>
      <c r="Q245" s="141">
        <f t="shared" si="132"/>
        <v>0</v>
      </c>
      <c r="R245" s="4"/>
    </row>
    <row r="246" spans="1:18" ht="15" customHeight="1">
      <c r="A246" s="90"/>
      <c r="B246" s="89" t="s">
        <v>206</v>
      </c>
      <c r="C246" s="47" t="s">
        <v>198</v>
      </c>
      <c r="D246" s="36">
        <f t="shared" ref="D246:Q246" si="133">D326</f>
        <v>0</v>
      </c>
      <c r="E246" s="36">
        <f t="shared" si="133"/>
        <v>5</v>
      </c>
      <c r="F246" s="36">
        <f t="shared" si="133"/>
        <v>0</v>
      </c>
      <c r="G246" s="36">
        <f t="shared" si="133"/>
        <v>0</v>
      </c>
      <c r="H246" s="36">
        <f t="shared" si="133"/>
        <v>0</v>
      </c>
      <c r="I246" s="36">
        <f t="shared" si="133"/>
        <v>0</v>
      </c>
      <c r="J246" s="141">
        <f t="shared" si="133"/>
        <v>0</v>
      </c>
      <c r="K246" s="141">
        <f>K326</f>
        <v>0</v>
      </c>
      <c r="L246" s="141">
        <f>L326</f>
        <v>0</v>
      </c>
      <c r="M246" s="141">
        <f>M326</f>
        <v>0</v>
      </c>
      <c r="N246" s="141">
        <f>N326</f>
        <v>0</v>
      </c>
      <c r="O246" s="141">
        <f t="shared" si="133"/>
        <v>0</v>
      </c>
      <c r="P246" s="141">
        <f t="shared" si="133"/>
        <v>0</v>
      </c>
      <c r="Q246" s="141">
        <f t="shared" si="133"/>
        <v>0</v>
      </c>
      <c r="R246" s="4"/>
    </row>
    <row r="247" spans="1:18" ht="15">
      <c r="A247" s="90"/>
      <c r="B247" s="77" t="s">
        <v>207</v>
      </c>
      <c r="C247" s="47">
        <v>55</v>
      </c>
      <c r="D247" s="36">
        <f t="shared" ref="D247:Q247" si="134">D263</f>
        <v>50</v>
      </c>
      <c r="E247" s="36">
        <f t="shared" si="134"/>
        <v>0</v>
      </c>
      <c r="F247" s="36">
        <f t="shared" si="134"/>
        <v>0</v>
      </c>
      <c r="G247" s="36">
        <f t="shared" si="134"/>
        <v>0</v>
      </c>
      <c r="H247" s="36">
        <f t="shared" si="134"/>
        <v>0</v>
      </c>
      <c r="I247" s="36">
        <f t="shared" si="134"/>
        <v>0</v>
      </c>
      <c r="J247" s="141">
        <f t="shared" si="134"/>
        <v>0</v>
      </c>
      <c r="K247" s="141">
        <f>K263</f>
        <v>0</v>
      </c>
      <c r="L247" s="141">
        <f>L263</f>
        <v>0</v>
      </c>
      <c r="M247" s="141">
        <f>M263</f>
        <v>0</v>
      </c>
      <c r="N247" s="141">
        <f>N263</f>
        <v>0</v>
      </c>
      <c r="O247" s="141">
        <f t="shared" si="134"/>
        <v>0</v>
      </c>
      <c r="P247" s="141">
        <f t="shared" si="134"/>
        <v>0</v>
      </c>
      <c r="Q247" s="141">
        <f t="shared" si="134"/>
        <v>0</v>
      </c>
      <c r="R247" s="4"/>
    </row>
    <row r="248" spans="1:18" ht="15">
      <c r="A248" s="90"/>
      <c r="B248" s="89" t="s">
        <v>200</v>
      </c>
      <c r="C248" s="47">
        <v>56</v>
      </c>
      <c r="D248" s="36">
        <f t="shared" ref="D248:Q249" si="135">D265</f>
        <v>255</v>
      </c>
      <c r="E248" s="36">
        <f t="shared" si="135"/>
        <v>0</v>
      </c>
      <c r="F248" s="36">
        <f t="shared" si="135"/>
        <v>0</v>
      </c>
      <c r="G248" s="36">
        <f t="shared" si="135"/>
        <v>600</v>
      </c>
      <c r="H248" s="36">
        <f t="shared" si="135"/>
        <v>0</v>
      </c>
      <c r="I248" s="36">
        <f t="shared" si="135"/>
        <v>0</v>
      </c>
      <c r="J248" s="141">
        <f t="shared" si="135"/>
        <v>0</v>
      </c>
      <c r="K248" s="141">
        <f t="shared" ref="K248:N249" si="136">K265</f>
        <v>0</v>
      </c>
      <c r="L248" s="141">
        <f t="shared" si="136"/>
        <v>0</v>
      </c>
      <c r="M248" s="141">
        <f t="shared" si="136"/>
        <v>0</v>
      </c>
      <c r="N248" s="141">
        <f t="shared" si="136"/>
        <v>0</v>
      </c>
      <c r="O248" s="141">
        <f t="shared" si="135"/>
        <v>0</v>
      </c>
      <c r="P248" s="141">
        <f t="shared" si="135"/>
        <v>0</v>
      </c>
      <c r="Q248" s="141">
        <f t="shared" si="135"/>
        <v>0</v>
      </c>
      <c r="R248" s="4"/>
    </row>
    <row r="249" spans="1:18" ht="15">
      <c r="A249" s="90"/>
      <c r="B249" s="89" t="s">
        <v>200</v>
      </c>
      <c r="C249" s="47">
        <v>58</v>
      </c>
      <c r="D249" s="36">
        <f>D266</f>
        <v>0</v>
      </c>
      <c r="E249" s="36">
        <f t="shared" si="135"/>
        <v>0</v>
      </c>
      <c r="F249" s="36">
        <f t="shared" si="135"/>
        <v>96</v>
      </c>
      <c r="G249" s="36">
        <f t="shared" si="135"/>
        <v>964</v>
      </c>
      <c r="H249" s="36">
        <f t="shared" si="135"/>
        <v>0</v>
      </c>
      <c r="I249" s="36">
        <f t="shared" si="135"/>
        <v>0</v>
      </c>
      <c r="J249" s="141">
        <f t="shared" si="135"/>
        <v>4846</v>
      </c>
      <c r="K249" s="141">
        <f t="shared" si="136"/>
        <v>4846</v>
      </c>
      <c r="L249" s="141">
        <f t="shared" si="136"/>
        <v>0</v>
      </c>
      <c r="M249" s="141">
        <f t="shared" si="136"/>
        <v>0</v>
      </c>
      <c r="N249" s="141">
        <f t="shared" si="136"/>
        <v>0</v>
      </c>
      <c r="O249" s="141">
        <f t="shared" si="135"/>
        <v>18227</v>
      </c>
      <c r="P249" s="141">
        <f t="shared" si="135"/>
        <v>13923</v>
      </c>
      <c r="Q249" s="141">
        <f t="shared" si="135"/>
        <v>4000</v>
      </c>
      <c r="R249" s="4"/>
    </row>
    <row r="250" spans="1:18" ht="15">
      <c r="A250" s="90"/>
      <c r="B250" s="89" t="s">
        <v>201</v>
      </c>
      <c r="C250" s="47">
        <v>70</v>
      </c>
      <c r="D250" s="36">
        <f t="shared" ref="D250:J250" si="137">D267+D336</f>
        <v>921</v>
      </c>
      <c r="E250" s="36">
        <f t="shared" si="137"/>
        <v>1585</v>
      </c>
      <c r="F250" s="36">
        <f t="shared" si="137"/>
        <v>0</v>
      </c>
      <c r="G250" s="36">
        <f t="shared" si="137"/>
        <v>217</v>
      </c>
      <c r="H250" s="36">
        <f t="shared" si="137"/>
        <v>0</v>
      </c>
      <c r="I250" s="36">
        <f t="shared" si="137"/>
        <v>0</v>
      </c>
      <c r="J250" s="141">
        <f t="shared" si="137"/>
        <v>4337</v>
      </c>
      <c r="K250" s="141">
        <f t="shared" ref="K250:Q250" si="138">K267+K336</f>
        <v>4337</v>
      </c>
      <c r="L250" s="141">
        <f t="shared" si="138"/>
        <v>0</v>
      </c>
      <c r="M250" s="141">
        <f t="shared" si="138"/>
        <v>0</v>
      </c>
      <c r="N250" s="141">
        <f t="shared" si="138"/>
        <v>0</v>
      </c>
      <c r="O250" s="141">
        <f t="shared" si="138"/>
        <v>0</v>
      </c>
      <c r="P250" s="141">
        <f t="shared" si="138"/>
        <v>0</v>
      </c>
      <c r="Q250" s="141">
        <f t="shared" si="138"/>
        <v>0</v>
      </c>
      <c r="R250" s="4"/>
    </row>
    <row r="251" spans="1:18" ht="14.25">
      <c r="A251" s="99">
        <v>1</v>
      </c>
      <c r="B251" s="103" t="s">
        <v>208</v>
      </c>
      <c r="C251" s="166" t="s">
        <v>209</v>
      </c>
      <c r="D251" s="50">
        <f t="shared" ref="D251:Q251" si="139">D252+D260</f>
        <v>14591</v>
      </c>
      <c r="E251" s="50">
        <f t="shared" si="139"/>
        <v>25738</v>
      </c>
      <c r="F251" s="50">
        <f t="shared" si="139"/>
        <v>17749</v>
      </c>
      <c r="G251" s="50">
        <f t="shared" si="139"/>
        <v>32273</v>
      </c>
      <c r="H251" s="50">
        <f t="shared" si="139"/>
        <v>0</v>
      </c>
      <c r="I251" s="50">
        <f t="shared" si="139"/>
        <v>0</v>
      </c>
      <c r="J251" s="146">
        <f t="shared" si="139"/>
        <v>36275.65</v>
      </c>
      <c r="K251" s="146">
        <f>K252+K260</f>
        <v>16442.650000000001</v>
      </c>
      <c r="L251" s="146">
        <f>L252+L260</f>
        <v>7025</v>
      </c>
      <c r="M251" s="146">
        <f>M252+M260</f>
        <v>6625</v>
      </c>
      <c r="N251" s="146">
        <f>N252+N260</f>
        <v>6183</v>
      </c>
      <c r="O251" s="146">
        <f t="shared" si="139"/>
        <v>48497</v>
      </c>
      <c r="P251" s="146">
        <f t="shared" si="139"/>
        <v>45310</v>
      </c>
      <c r="Q251" s="146">
        <f t="shared" si="139"/>
        <v>35387</v>
      </c>
      <c r="R251" s="4"/>
    </row>
    <row r="252" spans="1:18" ht="14.25">
      <c r="A252" s="90"/>
      <c r="B252" s="80" t="s">
        <v>179</v>
      </c>
      <c r="C252" s="159"/>
      <c r="D252" s="50">
        <f t="shared" ref="D252:Q252" si="140">D253+D258</f>
        <v>13396</v>
      </c>
      <c r="E252" s="50">
        <f t="shared" si="140"/>
        <v>24153</v>
      </c>
      <c r="F252" s="50">
        <f t="shared" si="140"/>
        <v>17653</v>
      </c>
      <c r="G252" s="50">
        <f t="shared" si="140"/>
        <v>30492</v>
      </c>
      <c r="H252" s="50">
        <f t="shared" si="140"/>
        <v>0</v>
      </c>
      <c r="I252" s="50">
        <f t="shared" si="140"/>
        <v>0</v>
      </c>
      <c r="J252" s="146">
        <f t="shared" si="140"/>
        <v>27092.65</v>
      </c>
      <c r="K252" s="146">
        <f>K253+K258</f>
        <v>7259.65</v>
      </c>
      <c r="L252" s="146">
        <f>L253+L258</f>
        <v>7025</v>
      </c>
      <c r="M252" s="146">
        <f>M253+M258</f>
        <v>6625</v>
      </c>
      <c r="N252" s="146">
        <f>N253+N258</f>
        <v>6183</v>
      </c>
      <c r="O252" s="146">
        <f t="shared" si="140"/>
        <v>30270</v>
      </c>
      <c r="P252" s="146">
        <f t="shared" si="140"/>
        <v>31387</v>
      </c>
      <c r="Q252" s="146">
        <f t="shared" si="140"/>
        <v>31387</v>
      </c>
      <c r="R252" s="4"/>
    </row>
    <row r="253" spans="1:18" ht="15">
      <c r="A253" s="90"/>
      <c r="B253" s="89" t="s">
        <v>180</v>
      </c>
      <c r="C253" s="47">
        <v>1</v>
      </c>
      <c r="D253" s="36">
        <f t="shared" ref="D253:I253" si="141">D254+D255+D256+D257</f>
        <v>13396</v>
      </c>
      <c r="E253" s="36">
        <f t="shared" si="141"/>
        <v>24153</v>
      </c>
      <c r="F253" s="36">
        <f t="shared" si="141"/>
        <v>17653</v>
      </c>
      <c r="G253" s="36">
        <f t="shared" si="141"/>
        <v>30492</v>
      </c>
      <c r="H253" s="36">
        <f t="shared" si="141"/>
        <v>0</v>
      </c>
      <c r="I253" s="36">
        <f t="shared" si="141"/>
        <v>0</v>
      </c>
      <c r="J253" s="141">
        <f t="shared" ref="J253:Q253" si="142">J254+J255+J256+J257+J259</f>
        <v>27092.65</v>
      </c>
      <c r="K253" s="141">
        <f t="shared" si="142"/>
        <v>7259.65</v>
      </c>
      <c r="L253" s="141">
        <f t="shared" si="142"/>
        <v>7025</v>
      </c>
      <c r="M253" s="141">
        <f t="shared" si="142"/>
        <v>6625</v>
      </c>
      <c r="N253" s="141">
        <f t="shared" si="142"/>
        <v>6183</v>
      </c>
      <c r="O253" s="141">
        <f t="shared" si="142"/>
        <v>30270</v>
      </c>
      <c r="P253" s="141">
        <f t="shared" si="142"/>
        <v>31387</v>
      </c>
      <c r="Q253" s="141">
        <f t="shared" si="142"/>
        <v>31387</v>
      </c>
      <c r="R253" s="4"/>
    </row>
    <row r="254" spans="1:18" ht="15">
      <c r="A254" s="90"/>
      <c r="B254" s="89" t="s">
        <v>181</v>
      </c>
      <c r="C254" s="47">
        <v>10</v>
      </c>
      <c r="D254" s="37">
        <v>7051</v>
      </c>
      <c r="E254" s="37">
        <f>16000+600+100+69-16</f>
        <v>16753</v>
      </c>
      <c r="F254" s="32">
        <v>16753</v>
      </c>
      <c r="G254" s="32">
        <v>23152</v>
      </c>
      <c r="H254" s="32"/>
      <c r="I254" s="37"/>
      <c r="J254" s="137">
        <f>22500+500-100-100</f>
        <v>22800</v>
      </c>
      <c r="K254" s="137">
        <f>5100+100</f>
        <v>5200</v>
      </c>
      <c r="L254" s="137">
        <v>5600</v>
      </c>
      <c r="M254" s="137">
        <v>6000</v>
      </c>
      <c r="N254" s="137">
        <f>6100-100</f>
        <v>6000</v>
      </c>
      <c r="O254" s="137">
        <f>24270-100</f>
        <v>24170</v>
      </c>
      <c r="P254" s="137">
        <f>25387-100</f>
        <v>25287</v>
      </c>
      <c r="Q254" s="137">
        <f>25387-100</f>
        <v>25287</v>
      </c>
      <c r="R254" s="4"/>
    </row>
    <row r="255" spans="1:18" ht="16.5" customHeight="1">
      <c r="A255" s="90"/>
      <c r="B255" s="89" t="s">
        <v>182</v>
      </c>
      <c r="C255" s="47">
        <v>20</v>
      </c>
      <c r="D255" s="37">
        <v>4986</v>
      </c>
      <c r="E255" s="37">
        <v>6500</v>
      </c>
      <c r="F255" s="32">
        <v>0</v>
      </c>
      <c r="G255" s="32">
        <v>6500</v>
      </c>
      <c r="H255" s="32"/>
      <c r="I255" s="37"/>
      <c r="J255" s="137">
        <f>4000-500+92.65-200</f>
        <v>3392.65</v>
      </c>
      <c r="K255" s="137">
        <f>92.65+1000+600+71-29</f>
        <v>1734.65</v>
      </c>
      <c r="L255" s="137">
        <f>1300-200</f>
        <v>1100</v>
      </c>
      <c r="M255" s="137">
        <v>500</v>
      </c>
      <c r="N255" s="137">
        <f>100-71+29</f>
        <v>58</v>
      </c>
      <c r="O255" s="137">
        <v>6000</v>
      </c>
      <c r="P255" s="137">
        <v>6000</v>
      </c>
      <c r="Q255" s="137">
        <v>6000</v>
      </c>
      <c r="R255" s="4"/>
    </row>
    <row r="256" spans="1:18" ht="17.25" hidden="1" customHeight="1">
      <c r="A256" s="90"/>
      <c r="B256" s="77" t="s">
        <v>210</v>
      </c>
      <c r="C256" s="167" t="s">
        <v>211</v>
      </c>
      <c r="D256" s="37">
        <v>0</v>
      </c>
      <c r="E256" s="37">
        <v>0</v>
      </c>
      <c r="F256" s="32"/>
      <c r="G256" s="32"/>
      <c r="H256" s="32"/>
      <c r="I256" s="37"/>
      <c r="J256" s="137"/>
      <c r="K256" s="137"/>
      <c r="L256" s="137"/>
      <c r="M256" s="137"/>
      <c r="N256" s="137"/>
      <c r="O256" s="137"/>
      <c r="P256" s="137"/>
      <c r="Q256" s="137"/>
      <c r="R256" s="4"/>
    </row>
    <row r="257" spans="1:18" ht="16.5" customHeight="1">
      <c r="A257" s="90"/>
      <c r="B257" s="77" t="s">
        <v>203</v>
      </c>
      <c r="C257" s="167" t="s">
        <v>212</v>
      </c>
      <c r="D257" s="37">
        <v>1359</v>
      </c>
      <c r="E257" s="37">
        <v>900</v>
      </c>
      <c r="F257" s="32">
        <v>900</v>
      </c>
      <c r="G257" s="32">
        <v>840</v>
      </c>
      <c r="H257" s="32"/>
      <c r="I257" s="37"/>
      <c r="J257" s="137">
        <v>800</v>
      </c>
      <c r="K257" s="137">
        <v>300</v>
      </c>
      <c r="L257" s="137">
        <v>300</v>
      </c>
      <c r="M257" s="137">
        <v>100</v>
      </c>
      <c r="N257" s="137">
        <v>100</v>
      </c>
      <c r="O257" s="137">
        <v>0</v>
      </c>
      <c r="P257" s="137">
        <v>0</v>
      </c>
      <c r="Q257" s="137">
        <v>0</v>
      </c>
      <c r="R257" s="4"/>
    </row>
    <row r="258" spans="1:18" ht="16.5" hidden="1" customHeight="1">
      <c r="A258" s="77"/>
      <c r="B258" s="89" t="s">
        <v>190</v>
      </c>
      <c r="C258" s="47">
        <v>85.01</v>
      </c>
      <c r="D258" s="37"/>
      <c r="E258" s="37"/>
      <c r="F258" s="32"/>
      <c r="G258" s="32"/>
      <c r="H258" s="32"/>
      <c r="I258" s="37"/>
      <c r="J258" s="137"/>
      <c r="K258" s="137"/>
      <c r="L258" s="137"/>
      <c r="M258" s="137"/>
      <c r="N258" s="137"/>
      <c r="O258" s="137"/>
      <c r="P258" s="137"/>
      <c r="Q258" s="137"/>
      <c r="R258" s="4"/>
    </row>
    <row r="259" spans="1:18" ht="18.75" customHeight="1">
      <c r="A259" s="77"/>
      <c r="B259" s="89" t="s">
        <v>204</v>
      </c>
      <c r="C259" s="47">
        <v>59</v>
      </c>
      <c r="D259" s="37"/>
      <c r="E259" s="37"/>
      <c r="F259" s="32"/>
      <c r="G259" s="32"/>
      <c r="H259" s="32"/>
      <c r="I259" s="37"/>
      <c r="J259" s="137">
        <v>100</v>
      </c>
      <c r="K259" s="137">
        <v>25</v>
      </c>
      <c r="L259" s="137">
        <v>25</v>
      </c>
      <c r="M259" s="137">
        <v>25</v>
      </c>
      <c r="N259" s="137">
        <v>25</v>
      </c>
      <c r="O259" s="137">
        <v>100</v>
      </c>
      <c r="P259" s="137">
        <v>100</v>
      </c>
      <c r="Q259" s="137">
        <v>100</v>
      </c>
      <c r="R259" s="4"/>
    </row>
    <row r="260" spans="1:18" ht="12" customHeight="1">
      <c r="A260" s="90"/>
      <c r="B260" s="82" t="s">
        <v>191</v>
      </c>
      <c r="C260" s="47"/>
      <c r="D260" s="36">
        <f>D263+D265+D267+D281+D261+D266</f>
        <v>1195</v>
      </c>
      <c r="E260" s="36">
        <f t="shared" ref="E260:Q260" si="143">E263+E265+E267+E281+E261+E266</f>
        <v>1585</v>
      </c>
      <c r="F260" s="36">
        <f t="shared" si="143"/>
        <v>96</v>
      </c>
      <c r="G260" s="36">
        <f t="shared" si="143"/>
        <v>1781</v>
      </c>
      <c r="H260" s="36">
        <f t="shared" si="143"/>
        <v>0</v>
      </c>
      <c r="I260" s="36">
        <f t="shared" si="143"/>
        <v>0</v>
      </c>
      <c r="J260" s="141">
        <f t="shared" si="143"/>
        <v>9183</v>
      </c>
      <c r="K260" s="141">
        <f>K263+K265+K267+K281+K261+K266</f>
        <v>9183</v>
      </c>
      <c r="L260" s="141">
        <f>L263+L265+L267+L281+L261+L266</f>
        <v>0</v>
      </c>
      <c r="M260" s="141">
        <f>M263+M265+M267+M281+M261+M266</f>
        <v>0</v>
      </c>
      <c r="N260" s="141">
        <f>N263+N265+N267+N281+N261+N266</f>
        <v>0</v>
      </c>
      <c r="O260" s="141">
        <f t="shared" si="143"/>
        <v>18227</v>
      </c>
      <c r="P260" s="141">
        <f t="shared" si="143"/>
        <v>13923</v>
      </c>
      <c r="Q260" s="141">
        <f t="shared" si="143"/>
        <v>4000</v>
      </c>
      <c r="R260" s="4"/>
    </row>
    <row r="261" spans="1:18" ht="15" hidden="1">
      <c r="A261" s="90"/>
      <c r="B261" s="77" t="s">
        <v>213</v>
      </c>
      <c r="C261" s="47" t="s">
        <v>214</v>
      </c>
      <c r="D261" s="36">
        <f t="shared" ref="D261:Q261" si="144">D262</f>
        <v>0</v>
      </c>
      <c r="E261" s="36">
        <f t="shared" si="144"/>
        <v>0</v>
      </c>
      <c r="F261" s="36">
        <f t="shared" si="144"/>
        <v>0</v>
      </c>
      <c r="G261" s="36">
        <f t="shared" si="144"/>
        <v>0</v>
      </c>
      <c r="H261" s="36">
        <f t="shared" si="144"/>
        <v>0</v>
      </c>
      <c r="I261" s="36">
        <f t="shared" si="144"/>
        <v>0</v>
      </c>
      <c r="J261" s="141">
        <f t="shared" si="144"/>
        <v>0</v>
      </c>
      <c r="K261" s="141">
        <f t="shared" si="144"/>
        <v>0</v>
      </c>
      <c r="L261" s="141">
        <f t="shared" si="144"/>
        <v>0</v>
      </c>
      <c r="M261" s="141">
        <f t="shared" si="144"/>
        <v>0</v>
      </c>
      <c r="N261" s="141">
        <f t="shared" si="144"/>
        <v>0</v>
      </c>
      <c r="O261" s="141">
        <f t="shared" si="144"/>
        <v>0</v>
      </c>
      <c r="P261" s="141">
        <f t="shared" si="144"/>
        <v>0</v>
      </c>
      <c r="Q261" s="141">
        <f t="shared" si="144"/>
        <v>0</v>
      </c>
      <c r="R261" s="4"/>
    </row>
    <row r="262" spans="1:18" ht="45" hidden="1">
      <c r="A262" s="90"/>
      <c r="B262" s="91" t="s">
        <v>215</v>
      </c>
      <c r="C262" s="47" t="s">
        <v>216</v>
      </c>
      <c r="D262" s="36">
        <v>0</v>
      </c>
      <c r="E262" s="36">
        <v>0</v>
      </c>
      <c r="F262" s="36">
        <v>0</v>
      </c>
      <c r="G262" s="36">
        <v>0</v>
      </c>
      <c r="H262" s="36">
        <v>0</v>
      </c>
      <c r="I262" s="36">
        <v>0</v>
      </c>
      <c r="J262" s="141">
        <v>0</v>
      </c>
      <c r="K262" s="141">
        <v>0</v>
      </c>
      <c r="L262" s="141">
        <v>0</v>
      </c>
      <c r="M262" s="141">
        <v>0</v>
      </c>
      <c r="N262" s="141">
        <v>0</v>
      </c>
      <c r="O262" s="141">
        <v>0</v>
      </c>
      <c r="P262" s="141">
        <v>0</v>
      </c>
      <c r="Q262" s="141">
        <v>0</v>
      </c>
      <c r="R262" s="4"/>
    </row>
    <row r="263" spans="1:18" ht="12.75" hidden="1" customHeight="1">
      <c r="A263" s="90"/>
      <c r="B263" s="77" t="s">
        <v>207</v>
      </c>
      <c r="C263" s="47" t="s">
        <v>217</v>
      </c>
      <c r="D263" s="36">
        <f t="shared" ref="D263:Q263" si="145">D290</f>
        <v>50</v>
      </c>
      <c r="E263" s="36">
        <f t="shared" si="145"/>
        <v>0</v>
      </c>
      <c r="F263" s="36">
        <f t="shared" si="145"/>
        <v>0</v>
      </c>
      <c r="G263" s="36">
        <f t="shared" si="145"/>
        <v>0</v>
      </c>
      <c r="H263" s="36">
        <f t="shared" si="145"/>
        <v>0</v>
      </c>
      <c r="I263" s="36">
        <f t="shared" si="145"/>
        <v>0</v>
      </c>
      <c r="J263" s="141">
        <f t="shared" si="145"/>
        <v>0</v>
      </c>
      <c r="K263" s="141">
        <f>K290</f>
        <v>0</v>
      </c>
      <c r="L263" s="141">
        <f>L290</f>
        <v>0</v>
      </c>
      <c r="M263" s="141">
        <f>M290</f>
        <v>0</v>
      </c>
      <c r="N263" s="141">
        <f>N290</f>
        <v>0</v>
      </c>
      <c r="O263" s="141">
        <f t="shared" si="145"/>
        <v>0</v>
      </c>
      <c r="P263" s="141">
        <f t="shared" si="145"/>
        <v>0</v>
      </c>
      <c r="Q263" s="141">
        <f t="shared" si="145"/>
        <v>0</v>
      </c>
      <c r="R263" s="4"/>
    </row>
    <row r="264" spans="1:18" ht="12" hidden="1" customHeight="1">
      <c r="A264" s="90"/>
      <c r="B264" s="77" t="s">
        <v>218</v>
      </c>
      <c r="C264" s="47" t="s">
        <v>219</v>
      </c>
      <c r="D264" s="36">
        <v>0</v>
      </c>
      <c r="E264" s="36">
        <v>0</v>
      </c>
      <c r="F264" s="36">
        <v>0</v>
      </c>
      <c r="G264" s="36">
        <v>0</v>
      </c>
      <c r="H264" s="36">
        <v>0</v>
      </c>
      <c r="I264" s="36">
        <v>0</v>
      </c>
      <c r="J264" s="141">
        <v>0</v>
      </c>
      <c r="K264" s="141">
        <v>0</v>
      </c>
      <c r="L264" s="141">
        <v>0</v>
      </c>
      <c r="M264" s="141">
        <v>0</v>
      </c>
      <c r="N264" s="141">
        <v>0</v>
      </c>
      <c r="O264" s="141">
        <v>0</v>
      </c>
      <c r="P264" s="141">
        <v>0</v>
      </c>
      <c r="Q264" s="141">
        <v>0</v>
      </c>
      <c r="R264" s="4"/>
    </row>
    <row r="265" spans="1:18" ht="15" hidden="1" customHeight="1">
      <c r="A265" s="90"/>
      <c r="B265" s="77" t="s">
        <v>200</v>
      </c>
      <c r="C265" s="47">
        <v>56</v>
      </c>
      <c r="D265" s="36">
        <f>D284</f>
        <v>255</v>
      </c>
      <c r="E265" s="36">
        <f t="shared" ref="E265:N265" si="146">E284+E293</f>
        <v>0</v>
      </c>
      <c r="F265" s="36">
        <f t="shared" si="146"/>
        <v>0</v>
      </c>
      <c r="G265" s="36">
        <f t="shared" si="146"/>
        <v>600</v>
      </c>
      <c r="H265" s="36">
        <f t="shared" si="146"/>
        <v>0</v>
      </c>
      <c r="I265" s="36">
        <f t="shared" si="146"/>
        <v>0</v>
      </c>
      <c r="J265" s="141">
        <f t="shared" si="146"/>
        <v>0</v>
      </c>
      <c r="K265" s="141">
        <f t="shared" si="146"/>
        <v>0</v>
      </c>
      <c r="L265" s="141">
        <f t="shared" si="146"/>
        <v>0</v>
      </c>
      <c r="M265" s="141">
        <f t="shared" si="146"/>
        <v>0</v>
      </c>
      <c r="N265" s="141">
        <f t="shared" si="146"/>
        <v>0</v>
      </c>
      <c r="O265" s="141">
        <f>O284+O293</f>
        <v>0</v>
      </c>
      <c r="P265" s="141">
        <f>P284+P293</f>
        <v>0</v>
      </c>
      <c r="Q265" s="141">
        <f>Q284+Q293</f>
        <v>0</v>
      </c>
      <c r="R265" s="4"/>
    </row>
    <row r="266" spans="1:18" ht="15" customHeight="1">
      <c r="A266" s="90"/>
      <c r="B266" s="77" t="s">
        <v>200</v>
      </c>
      <c r="C266" s="47">
        <v>58</v>
      </c>
      <c r="D266" s="36">
        <f>D293+D298+D303+D308+D312</f>
        <v>0</v>
      </c>
      <c r="E266" s="36">
        <f t="shared" ref="E266:Q266" si="147">E293+E298+E303+E308+E312</f>
        <v>0</v>
      </c>
      <c r="F266" s="36">
        <f t="shared" si="147"/>
        <v>96</v>
      </c>
      <c r="G266" s="36">
        <f t="shared" si="147"/>
        <v>964</v>
      </c>
      <c r="H266" s="36">
        <f t="shared" si="147"/>
        <v>0</v>
      </c>
      <c r="I266" s="36">
        <f t="shared" si="147"/>
        <v>0</v>
      </c>
      <c r="J266" s="141">
        <f t="shared" si="147"/>
        <v>4846</v>
      </c>
      <c r="K266" s="141">
        <f>K293+K298+K303+K308+K312</f>
        <v>4846</v>
      </c>
      <c r="L266" s="141">
        <f>L293+L298+L303+L308+L312</f>
        <v>0</v>
      </c>
      <c r="M266" s="141">
        <f>M293+M298+M303+M308+M312</f>
        <v>0</v>
      </c>
      <c r="N266" s="141">
        <f>N293+N298+N303+N308+N312</f>
        <v>0</v>
      </c>
      <c r="O266" s="141">
        <f t="shared" si="147"/>
        <v>18227</v>
      </c>
      <c r="P266" s="141">
        <f t="shared" si="147"/>
        <v>13923</v>
      </c>
      <c r="Q266" s="141">
        <f t="shared" si="147"/>
        <v>4000</v>
      </c>
      <c r="R266" s="4"/>
    </row>
    <row r="267" spans="1:18" ht="14.25" customHeight="1">
      <c r="A267" s="90"/>
      <c r="B267" s="77" t="s">
        <v>220</v>
      </c>
      <c r="C267" s="47">
        <v>70</v>
      </c>
      <c r="D267" s="36">
        <f t="shared" ref="D267:I267" si="148">D268+D269+D270+D271+D280</f>
        <v>890</v>
      </c>
      <c r="E267" s="36">
        <f t="shared" si="148"/>
        <v>1585</v>
      </c>
      <c r="F267" s="36">
        <f t="shared" si="148"/>
        <v>0</v>
      </c>
      <c r="G267" s="36">
        <f t="shared" si="148"/>
        <v>217</v>
      </c>
      <c r="H267" s="36">
        <f t="shared" si="148"/>
        <v>0</v>
      </c>
      <c r="I267" s="36">
        <f t="shared" si="148"/>
        <v>0</v>
      </c>
      <c r="J267" s="141">
        <f>J268+J269+J270+J271+J280+J272</f>
        <v>4337</v>
      </c>
      <c r="K267" s="141">
        <f>K268+K269+K270+K271+K280+K272</f>
        <v>4337</v>
      </c>
      <c r="L267" s="141">
        <f>L268+L269+L270+L271+L280+L272</f>
        <v>0</v>
      </c>
      <c r="M267" s="141">
        <f>M268+M269+M270+M271+M280+M272</f>
        <v>0</v>
      </c>
      <c r="N267" s="141">
        <f>N268+N269+N270+N271+N280+N272</f>
        <v>0</v>
      </c>
      <c r="O267" s="141">
        <f>O268+O269+O270+O271+O280</f>
        <v>0</v>
      </c>
      <c r="P267" s="141">
        <f>P268+P269+P270+P271+P280</f>
        <v>0</v>
      </c>
      <c r="Q267" s="141">
        <f>Q268+Q269+Q270+Q271+Q280</f>
        <v>0</v>
      </c>
      <c r="R267" s="4"/>
    </row>
    <row r="268" spans="1:18" ht="15.75" hidden="1" customHeight="1">
      <c r="A268" s="90"/>
      <c r="B268" s="77" t="s">
        <v>221</v>
      </c>
      <c r="C268" s="47" t="s">
        <v>222</v>
      </c>
      <c r="D268" s="37">
        <v>0</v>
      </c>
      <c r="E268" s="37">
        <v>0</v>
      </c>
      <c r="F268" s="32"/>
      <c r="G268" s="32"/>
      <c r="H268" s="32"/>
      <c r="I268" s="37">
        <v>0</v>
      </c>
      <c r="J268" s="137"/>
      <c r="K268" s="137"/>
      <c r="L268" s="137"/>
      <c r="M268" s="137"/>
      <c r="N268" s="137"/>
      <c r="O268" s="137"/>
      <c r="P268" s="137"/>
      <c r="Q268" s="137"/>
      <c r="R268" s="4"/>
    </row>
    <row r="269" spans="1:18" ht="15.75" customHeight="1">
      <c r="A269" s="90"/>
      <c r="B269" s="77" t="s">
        <v>223</v>
      </c>
      <c r="C269" s="47" t="s">
        <v>224</v>
      </c>
      <c r="D269" s="37">
        <v>737</v>
      </c>
      <c r="E269" s="37">
        <v>230</v>
      </c>
      <c r="F269" s="32"/>
      <c r="G269" s="32"/>
      <c r="H269" s="32"/>
      <c r="I269" s="37"/>
      <c r="J269" s="137">
        <v>129</v>
      </c>
      <c r="K269" s="137">
        <v>129</v>
      </c>
      <c r="L269" s="137"/>
      <c r="M269" s="137"/>
      <c r="N269" s="137"/>
      <c r="O269" s="137"/>
      <c r="P269" s="137"/>
      <c r="Q269" s="137"/>
      <c r="R269" s="4"/>
    </row>
    <row r="270" spans="1:18" ht="16.5" customHeight="1">
      <c r="A270" s="90"/>
      <c r="B270" s="85" t="s">
        <v>225</v>
      </c>
      <c r="C270" s="47" t="s">
        <v>226</v>
      </c>
      <c r="D270" s="37">
        <v>32</v>
      </c>
      <c r="E270" s="37">
        <v>38</v>
      </c>
      <c r="F270" s="32"/>
      <c r="G270" s="32">
        <f>150+60</f>
        <v>210</v>
      </c>
      <c r="H270" s="32"/>
      <c r="I270" s="37"/>
      <c r="J270" s="137">
        <v>210</v>
      </c>
      <c r="K270" s="137">
        <v>210</v>
      </c>
      <c r="L270" s="137"/>
      <c r="M270" s="137"/>
      <c r="N270" s="137"/>
      <c r="O270" s="137"/>
      <c r="P270" s="137"/>
      <c r="Q270" s="137"/>
      <c r="R270" s="4"/>
    </row>
    <row r="271" spans="1:18" ht="18" customHeight="1">
      <c r="A271" s="90"/>
      <c r="B271" s="85" t="s">
        <v>227</v>
      </c>
      <c r="C271" s="47" t="s">
        <v>228</v>
      </c>
      <c r="D271" s="37">
        <v>99</v>
      </c>
      <c r="E271" s="37">
        <v>381</v>
      </c>
      <c r="F271" s="32"/>
      <c r="G271" s="32">
        <v>7</v>
      </c>
      <c r="H271" s="32"/>
      <c r="I271" s="37"/>
      <c r="J271" s="137">
        <f>20+J274+J275+J276+J277+1400+J273+J278+J279+J295</f>
        <v>2300</v>
      </c>
      <c r="K271" s="137">
        <f t="shared" ref="K271" si="149">20+K274+K275+K276+K277+1400+K273+K278+K279+K295</f>
        <v>2300</v>
      </c>
      <c r="L271" s="137"/>
      <c r="M271" s="137"/>
      <c r="N271" s="137"/>
      <c r="O271" s="137">
        <f>O274+O275+O276+O277+O273+O278+O279+O295</f>
        <v>0</v>
      </c>
      <c r="P271" s="137">
        <f t="shared" ref="P271:Q271" si="150">P274+P275+P276+P277+P273+P278+P279+P295</f>
        <v>0</v>
      </c>
      <c r="Q271" s="137">
        <f t="shared" si="150"/>
        <v>0</v>
      </c>
      <c r="R271" s="4"/>
    </row>
    <row r="272" spans="1:18" ht="18" customHeight="1">
      <c r="A272" s="90"/>
      <c r="B272" s="104" t="s">
        <v>229</v>
      </c>
      <c r="C272" s="47">
        <v>71.03</v>
      </c>
      <c r="D272" s="37"/>
      <c r="E272" s="37"/>
      <c r="F272" s="32"/>
      <c r="G272" s="32"/>
      <c r="H272" s="32"/>
      <c r="I272" s="37"/>
      <c r="J272" s="137">
        <f>650+128+920</f>
        <v>1698</v>
      </c>
      <c r="K272" s="137">
        <v>1698</v>
      </c>
      <c r="L272" s="137"/>
      <c r="M272" s="137"/>
      <c r="N272" s="137"/>
      <c r="O272" s="137"/>
      <c r="P272" s="137"/>
      <c r="Q272" s="137"/>
      <c r="R272" s="4"/>
    </row>
    <row r="273" spans="1:18" ht="61.5" customHeight="1">
      <c r="A273" s="90"/>
      <c r="B273" s="105" t="s">
        <v>521</v>
      </c>
      <c r="C273" s="47"/>
      <c r="D273" s="37"/>
      <c r="E273" s="37"/>
      <c r="F273" s="32"/>
      <c r="G273" s="32"/>
      <c r="H273" s="32"/>
      <c r="I273" s="37"/>
      <c r="J273" s="137">
        <v>150</v>
      </c>
      <c r="K273" s="137">
        <v>150</v>
      </c>
      <c r="L273" s="137"/>
      <c r="M273" s="137"/>
      <c r="N273" s="137"/>
      <c r="O273" s="137"/>
      <c r="P273" s="137"/>
      <c r="Q273" s="137"/>
      <c r="R273" s="4"/>
    </row>
    <row r="274" spans="1:18" ht="72" customHeight="1">
      <c r="A274" s="90"/>
      <c r="B274" s="106" t="s">
        <v>495</v>
      </c>
      <c r="C274" s="47"/>
      <c r="D274" s="37"/>
      <c r="E274" s="37"/>
      <c r="F274" s="32"/>
      <c r="G274" s="32"/>
      <c r="H274" s="32"/>
      <c r="I274" s="37"/>
      <c r="J274" s="137">
        <v>90</v>
      </c>
      <c r="K274" s="137">
        <v>90</v>
      </c>
      <c r="L274" s="137"/>
      <c r="M274" s="137"/>
      <c r="N274" s="137"/>
      <c r="O274" s="137"/>
      <c r="P274" s="137"/>
      <c r="Q274" s="137"/>
      <c r="R274" s="4"/>
    </row>
    <row r="275" spans="1:18" ht="76.5" customHeight="1">
      <c r="A275" s="90"/>
      <c r="B275" s="106" t="s">
        <v>496</v>
      </c>
      <c r="C275" s="47"/>
      <c r="D275" s="37"/>
      <c r="E275" s="37"/>
      <c r="F275" s="32"/>
      <c r="G275" s="32"/>
      <c r="H275" s="32"/>
      <c r="I275" s="37"/>
      <c r="J275" s="137">
        <v>120</v>
      </c>
      <c r="K275" s="137">
        <v>120</v>
      </c>
      <c r="L275" s="137"/>
      <c r="M275" s="137"/>
      <c r="N275" s="137"/>
      <c r="O275" s="137"/>
      <c r="P275" s="137"/>
      <c r="Q275" s="137"/>
      <c r="R275" s="4"/>
    </row>
    <row r="276" spans="1:18" ht="33.75" customHeight="1">
      <c r="A276" s="90"/>
      <c r="B276" s="106" t="s">
        <v>497</v>
      </c>
      <c r="C276" s="47"/>
      <c r="D276" s="37"/>
      <c r="E276" s="37"/>
      <c r="F276" s="32"/>
      <c r="G276" s="32"/>
      <c r="H276" s="32"/>
      <c r="I276" s="37"/>
      <c r="J276" s="137">
        <v>200</v>
      </c>
      <c r="K276" s="137">
        <v>200</v>
      </c>
      <c r="L276" s="137"/>
      <c r="M276" s="137"/>
      <c r="N276" s="137"/>
      <c r="O276" s="137"/>
      <c r="P276" s="137"/>
      <c r="Q276" s="137"/>
      <c r="R276" s="4"/>
    </row>
    <row r="277" spans="1:18" ht="33" customHeight="1">
      <c r="A277" s="90"/>
      <c r="B277" s="106" t="s">
        <v>498</v>
      </c>
      <c r="C277" s="47"/>
      <c r="D277" s="37"/>
      <c r="E277" s="37"/>
      <c r="F277" s="32"/>
      <c r="G277" s="32"/>
      <c r="H277" s="32"/>
      <c r="I277" s="37"/>
      <c r="J277" s="137">
        <v>150</v>
      </c>
      <c r="K277" s="137">
        <v>150</v>
      </c>
      <c r="L277" s="137"/>
      <c r="M277" s="137"/>
      <c r="N277" s="137"/>
      <c r="O277" s="137"/>
      <c r="P277" s="137"/>
      <c r="Q277" s="137"/>
      <c r="R277" s="4"/>
    </row>
    <row r="278" spans="1:18" ht="27.75" customHeight="1">
      <c r="A278" s="90"/>
      <c r="B278" s="106" t="s">
        <v>538</v>
      </c>
      <c r="C278" s="47"/>
      <c r="D278" s="37"/>
      <c r="E278" s="37"/>
      <c r="F278" s="32"/>
      <c r="G278" s="32"/>
      <c r="H278" s="32"/>
      <c r="I278" s="37"/>
      <c r="J278" s="137">
        <v>120</v>
      </c>
      <c r="K278" s="137">
        <v>120</v>
      </c>
      <c r="L278" s="137"/>
      <c r="M278" s="137"/>
      <c r="N278" s="137"/>
      <c r="O278" s="137"/>
      <c r="P278" s="137"/>
      <c r="Q278" s="137"/>
      <c r="R278" s="4"/>
    </row>
    <row r="279" spans="1:18" ht="51" customHeight="1">
      <c r="A279" s="90"/>
      <c r="B279" s="106" t="s">
        <v>539</v>
      </c>
      <c r="C279" s="47"/>
      <c r="D279" s="37"/>
      <c r="E279" s="37"/>
      <c r="F279" s="32"/>
      <c r="G279" s="32"/>
      <c r="H279" s="32"/>
      <c r="I279" s="37"/>
      <c r="J279" s="137">
        <v>50</v>
      </c>
      <c r="K279" s="137">
        <v>50</v>
      </c>
      <c r="L279" s="137"/>
      <c r="M279" s="137"/>
      <c r="N279" s="137"/>
      <c r="O279" s="137"/>
      <c r="P279" s="137"/>
      <c r="Q279" s="137"/>
      <c r="R279" s="4"/>
    </row>
    <row r="280" spans="1:18" ht="25.5" hidden="1" customHeight="1">
      <c r="A280" s="90"/>
      <c r="B280" s="89" t="s">
        <v>229</v>
      </c>
      <c r="C280" s="47">
        <v>0</v>
      </c>
      <c r="D280" s="37">
        <v>22</v>
      </c>
      <c r="E280" s="37">
        <f>226+650+60</f>
        <v>936</v>
      </c>
      <c r="F280" s="32"/>
      <c r="G280" s="32"/>
      <c r="H280" s="32"/>
      <c r="I280" s="37"/>
      <c r="J280" s="137"/>
      <c r="K280" s="137"/>
      <c r="L280" s="137"/>
      <c r="M280" s="137"/>
      <c r="N280" s="137"/>
      <c r="O280" s="137"/>
      <c r="P280" s="137"/>
      <c r="Q280" s="137"/>
      <c r="R280" s="4"/>
    </row>
    <row r="281" spans="1:18" ht="25.5" hidden="1" customHeight="1">
      <c r="A281" s="90"/>
      <c r="B281" s="89" t="s">
        <v>190</v>
      </c>
      <c r="C281" s="47">
        <v>85.01</v>
      </c>
      <c r="D281" s="37"/>
      <c r="E281" s="37"/>
      <c r="F281" s="32"/>
      <c r="G281" s="32"/>
      <c r="H281" s="32"/>
      <c r="I281" s="37"/>
      <c r="J281" s="137"/>
      <c r="K281" s="137"/>
      <c r="L281" s="137"/>
      <c r="M281" s="137"/>
      <c r="N281" s="137"/>
      <c r="O281" s="137"/>
      <c r="P281" s="137"/>
      <c r="Q281" s="137"/>
      <c r="R281" s="4"/>
    </row>
    <row r="282" spans="1:18" ht="25.5" hidden="1" customHeight="1">
      <c r="A282" s="90"/>
      <c r="B282" s="87" t="s">
        <v>231</v>
      </c>
      <c r="C282" s="159" t="s">
        <v>209</v>
      </c>
      <c r="D282" s="44">
        <f>D283</f>
        <v>255</v>
      </c>
      <c r="E282" s="44">
        <f>E283</f>
        <v>0</v>
      </c>
      <c r="F282" s="32"/>
      <c r="G282" s="32"/>
      <c r="H282" s="32"/>
      <c r="I282" s="44">
        <f>I283</f>
        <v>0</v>
      </c>
      <c r="J282" s="137"/>
      <c r="K282" s="137"/>
      <c r="L282" s="137"/>
      <c r="M282" s="137"/>
      <c r="N282" s="137"/>
      <c r="O282" s="137"/>
      <c r="P282" s="137"/>
      <c r="Q282" s="137"/>
      <c r="R282" s="4"/>
    </row>
    <row r="283" spans="1:18" ht="25.5" hidden="1" customHeight="1">
      <c r="A283" s="90"/>
      <c r="B283" s="82" t="s">
        <v>191</v>
      </c>
      <c r="C283" s="47">
        <v>1</v>
      </c>
      <c r="D283" s="44">
        <f>D284</f>
        <v>255</v>
      </c>
      <c r="E283" s="44">
        <f>E284</f>
        <v>0</v>
      </c>
      <c r="F283" s="32"/>
      <c r="G283" s="32"/>
      <c r="H283" s="32"/>
      <c r="I283" s="44">
        <f>I284</f>
        <v>0</v>
      </c>
      <c r="J283" s="137"/>
      <c r="K283" s="137"/>
      <c r="L283" s="137"/>
      <c r="M283" s="137"/>
      <c r="N283" s="137"/>
      <c r="O283" s="137"/>
      <c r="P283" s="137"/>
      <c r="Q283" s="137"/>
      <c r="R283" s="4"/>
    </row>
    <row r="284" spans="1:18" ht="21" hidden="1" customHeight="1">
      <c r="A284" s="90"/>
      <c r="B284" s="89" t="s">
        <v>200</v>
      </c>
      <c r="C284" s="47">
        <v>56</v>
      </c>
      <c r="D284" s="59">
        <f>D285+D286+D287</f>
        <v>255</v>
      </c>
      <c r="E284" s="59">
        <f>E285+E286+E287</f>
        <v>0</v>
      </c>
      <c r="F284" s="32"/>
      <c r="G284" s="32"/>
      <c r="H284" s="32"/>
      <c r="I284" s="59">
        <f>I285+I286+I287</f>
        <v>0</v>
      </c>
      <c r="J284" s="137"/>
      <c r="K284" s="137"/>
      <c r="L284" s="137"/>
      <c r="M284" s="137"/>
      <c r="N284" s="137"/>
      <c r="O284" s="137"/>
      <c r="P284" s="137"/>
      <c r="Q284" s="137"/>
      <c r="R284" s="4"/>
    </row>
    <row r="285" spans="1:18" ht="25.5" hidden="1" customHeight="1">
      <c r="A285" s="90"/>
      <c r="B285" s="77" t="s">
        <v>232</v>
      </c>
      <c r="C285" s="167" t="s">
        <v>233</v>
      </c>
      <c r="D285" s="59">
        <v>0</v>
      </c>
      <c r="E285" s="59">
        <v>0</v>
      </c>
      <c r="F285" s="32"/>
      <c r="G285" s="32"/>
      <c r="H285" s="32"/>
      <c r="I285" s="59">
        <v>0</v>
      </c>
      <c r="J285" s="137"/>
      <c r="K285" s="137"/>
      <c r="L285" s="137"/>
      <c r="M285" s="137"/>
      <c r="N285" s="137"/>
      <c r="O285" s="137"/>
      <c r="P285" s="137"/>
      <c r="Q285" s="137"/>
      <c r="R285" s="4"/>
    </row>
    <row r="286" spans="1:18" ht="25.5" hidden="1" customHeight="1">
      <c r="A286" s="90"/>
      <c r="B286" s="89" t="s">
        <v>234</v>
      </c>
      <c r="C286" s="47" t="s">
        <v>235</v>
      </c>
      <c r="D286" s="59">
        <v>0</v>
      </c>
      <c r="E286" s="59">
        <v>0</v>
      </c>
      <c r="F286" s="32"/>
      <c r="G286" s="32"/>
      <c r="H286" s="32"/>
      <c r="I286" s="59">
        <v>0</v>
      </c>
      <c r="J286" s="137"/>
      <c r="K286" s="137"/>
      <c r="L286" s="137"/>
      <c r="M286" s="137"/>
      <c r="N286" s="137"/>
      <c r="O286" s="137"/>
      <c r="P286" s="137"/>
      <c r="Q286" s="137"/>
      <c r="R286" s="4"/>
    </row>
    <row r="287" spans="1:18" ht="25.5" hidden="1" customHeight="1">
      <c r="A287" s="90"/>
      <c r="B287" s="89" t="s">
        <v>236</v>
      </c>
      <c r="C287" s="47" t="s">
        <v>237</v>
      </c>
      <c r="D287" s="37">
        <v>255</v>
      </c>
      <c r="E287" s="37"/>
      <c r="F287" s="32"/>
      <c r="G287" s="32"/>
      <c r="H287" s="32"/>
      <c r="I287" s="37"/>
      <c r="J287" s="137"/>
      <c r="K287" s="137"/>
      <c r="L287" s="137"/>
      <c r="M287" s="137"/>
      <c r="N287" s="137"/>
      <c r="O287" s="137"/>
      <c r="P287" s="137"/>
      <c r="Q287" s="137"/>
      <c r="R287" s="4"/>
    </row>
    <row r="288" spans="1:18" ht="25.5" hidden="1" customHeight="1">
      <c r="A288" s="77"/>
      <c r="B288" s="107" t="s">
        <v>238</v>
      </c>
      <c r="C288" s="168" t="s">
        <v>209</v>
      </c>
      <c r="D288" s="60">
        <f t="shared" ref="D288:Q289" si="151">D289</f>
        <v>50</v>
      </c>
      <c r="E288" s="60">
        <f t="shared" si="151"/>
        <v>0</v>
      </c>
      <c r="F288" s="60">
        <f t="shared" si="151"/>
        <v>0</v>
      </c>
      <c r="G288" s="60">
        <f t="shared" si="151"/>
        <v>0</v>
      </c>
      <c r="H288" s="60">
        <f t="shared" si="151"/>
        <v>0</v>
      </c>
      <c r="I288" s="60">
        <f t="shared" si="151"/>
        <v>0</v>
      </c>
      <c r="J288" s="150">
        <f t="shared" si="151"/>
        <v>0</v>
      </c>
      <c r="K288" s="150">
        <f t="shared" si="151"/>
        <v>0</v>
      </c>
      <c r="L288" s="150">
        <f t="shared" si="151"/>
        <v>0</v>
      </c>
      <c r="M288" s="150">
        <f t="shared" si="151"/>
        <v>0</v>
      </c>
      <c r="N288" s="150">
        <f t="shared" si="151"/>
        <v>0</v>
      </c>
      <c r="O288" s="150">
        <f t="shared" si="151"/>
        <v>0</v>
      </c>
      <c r="P288" s="150">
        <f t="shared" si="151"/>
        <v>0</v>
      </c>
      <c r="Q288" s="150">
        <f t="shared" si="151"/>
        <v>0</v>
      </c>
      <c r="R288" s="4"/>
    </row>
    <row r="289" spans="1:18" ht="25.5" hidden="1" customHeight="1">
      <c r="A289" s="90"/>
      <c r="B289" s="82" t="s">
        <v>191</v>
      </c>
      <c r="C289" s="47">
        <v>1</v>
      </c>
      <c r="D289" s="44">
        <f t="shared" si="151"/>
        <v>50</v>
      </c>
      <c r="E289" s="44">
        <f t="shared" si="151"/>
        <v>0</v>
      </c>
      <c r="F289" s="44">
        <f t="shared" si="151"/>
        <v>0</v>
      </c>
      <c r="G289" s="44">
        <f t="shared" si="151"/>
        <v>0</v>
      </c>
      <c r="H289" s="44">
        <f t="shared" si="151"/>
        <v>0</v>
      </c>
      <c r="I289" s="44">
        <f t="shared" si="151"/>
        <v>0</v>
      </c>
      <c r="J289" s="148">
        <f t="shared" si="151"/>
        <v>0</v>
      </c>
      <c r="K289" s="148">
        <f t="shared" si="151"/>
        <v>0</v>
      </c>
      <c r="L289" s="148">
        <f t="shared" si="151"/>
        <v>0</v>
      </c>
      <c r="M289" s="148">
        <f t="shared" si="151"/>
        <v>0</v>
      </c>
      <c r="N289" s="148">
        <f t="shared" si="151"/>
        <v>0</v>
      </c>
      <c r="O289" s="148">
        <f t="shared" si="151"/>
        <v>0</v>
      </c>
      <c r="P289" s="148">
        <f t="shared" si="151"/>
        <v>0</v>
      </c>
      <c r="Q289" s="148">
        <f t="shared" si="151"/>
        <v>0</v>
      </c>
      <c r="R289" s="4"/>
    </row>
    <row r="290" spans="1:18" ht="25.5" hidden="1" customHeight="1">
      <c r="A290" s="90"/>
      <c r="B290" s="89" t="s">
        <v>218</v>
      </c>
      <c r="C290" s="47" t="s">
        <v>219</v>
      </c>
      <c r="D290" s="37">
        <v>50</v>
      </c>
      <c r="E290" s="37">
        <v>0</v>
      </c>
      <c r="F290" s="32"/>
      <c r="G290" s="32"/>
      <c r="H290" s="32"/>
      <c r="I290" s="37">
        <v>0</v>
      </c>
      <c r="J290" s="137"/>
      <c r="K290" s="137"/>
      <c r="L290" s="137"/>
      <c r="M290" s="137"/>
      <c r="N290" s="137"/>
      <c r="O290" s="137"/>
      <c r="P290" s="137"/>
      <c r="Q290" s="137"/>
      <c r="R290" s="4"/>
    </row>
    <row r="291" spans="1:18" ht="25.5" hidden="1" customHeight="1">
      <c r="A291" s="90"/>
      <c r="B291" s="107" t="s">
        <v>482</v>
      </c>
      <c r="C291" s="168" t="s">
        <v>209</v>
      </c>
      <c r="D291" s="61">
        <f t="shared" ref="D291:Q293" si="152">D292</f>
        <v>0</v>
      </c>
      <c r="E291" s="61">
        <f t="shared" si="152"/>
        <v>0</v>
      </c>
      <c r="F291" s="61">
        <f t="shared" si="152"/>
        <v>0</v>
      </c>
      <c r="G291" s="61">
        <f t="shared" si="152"/>
        <v>600</v>
      </c>
      <c r="H291" s="61">
        <f t="shared" si="152"/>
        <v>0</v>
      </c>
      <c r="I291" s="61">
        <f t="shared" si="152"/>
        <v>0</v>
      </c>
      <c r="J291" s="151">
        <f t="shared" si="152"/>
        <v>0</v>
      </c>
      <c r="K291" s="151">
        <f t="shared" si="152"/>
        <v>0</v>
      </c>
      <c r="L291" s="151">
        <f t="shared" si="152"/>
        <v>0</v>
      </c>
      <c r="M291" s="151">
        <f t="shared" si="152"/>
        <v>0</v>
      </c>
      <c r="N291" s="151">
        <f t="shared" si="152"/>
        <v>0</v>
      </c>
      <c r="O291" s="151">
        <f t="shared" si="152"/>
        <v>0</v>
      </c>
      <c r="P291" s="151">
        <f t="shared" si="152"/>
        <v>0</v>
      </c>
      <c r="Q291" s="151">
        <f t="shared" si="152"/>
        <v>0</v>
      </c>
      <c r="R291" s="4"/>
    </row>
    <row r="292" spans="1:18" ht="25.5" hidden="1" customHeight="1">
      <c r="A292" s="90"/>
      <c r="B292" s="89" t="s">
        <v>191</v>
      </c>
      <c r="C292" s="47"/>
      <c r="D292" s="37">
        <f t="shared" si="152"/>
        <v>0</v>
      </c>
      <c r="E292" s="37">
        <f t="shared" si="152"/>
        <v>0</v>
      </c>
      <c r="F292" s="37">
        <f t="shared" si="152"/>
        <v>0</v>
      </c>
      <c r="G292" s="37">
        <f t="shared" si="152"/>
        <v>600</v>
      </c>
      <c r="H292" s="37">
        <f t="shared" si="152"/>
        <v>0</v>
      </c>
      <c r="I292" s="37">
        <f t="shared" si="152"/>
        <v>0</v>
      </c>
      <c r="J292" s="140">
        <f t="shared" si="152"/>
        <v>0</v>
      </c>
      <c r="K292" s="140">
        <f t="shared" si="152"/>
        <v>0</v>
      </c>
      <c r="L292" s="140">
        <f t="shared" si="152"/>
        <v>0</v>
      </c>
      <c r="M292" s="140">
        <f t="shared" si="152"/>
        <v>0</v>
      </c>
      <c r="N292" s="140">
        <f t="shared" si="152"/>
        <v>0</v>
      </c>
      <c r="O292" s="140">
        <f t="shared" si="152"/>
        <v>0</v>
      </c>
      <c r="P292" s="140">
        <f t="shared" si="152"/>
        <v>0</v>
      </c>
      <c r="Q292" s="140">
        <f t="shared" si="152"/>
        <v>0</v>
      </c>
      <c r="R292" s="4"/>
    </row>
    <row r="293" spans="1:18" ht="25.5" hidden="1" customHeight="1">
      <c r="A293" s="90"/>
      <c r="B293" s="89" t="s">
        <v>200</v>
      </c>
      <c r="C293" s="47">
        <v>58</v>
      </c>
      <c r="D293" s="37">
        <f t="shared" si="152"/>
        <v>0</v>
      </c>
      <c r="E293" s="37">
        <f t="shared" si="152"/>
        <v>0</v>
      </c>
      <c r="F293" s="37">
        <f t="shared" si="152"/>
        <v>0</v>
      </c>
      <c r="G293" s="37">
        <f t="shared" si="152"/>
        <v>600</v>
      </c>
      <c r="H293" s="37">
        <f t="shared" si="152"/>
        <v>0</v>
      </c>
      <c r="I293" s="37">
        <f t="shared" si="152"/>
        <v>0</v>
      </c>
      <c r="J293" s="140">
        <f t="shared" si="152"/>
        <v>0</v>
      </c>
      <c r="K293" s="140">
        <f t="shared" si="152"/>
        <v>0</v>
      </c>
      <c r="L293" s="140">
        <f t="shared" si="152"/>
        <v>0</v>
      </c>
      <c r="M293" s="140">
        <f t="shared" si="152"/>
        <v>0</v>
      </c>
      <c r="N293" s="140">
        <f t="shared" si="152"/>
        <v>0</v>
      </c>
      <c r="O293" s="140">
        <f t="shared" si="152"/>
        <v>0</v>
      </c>
      <c r="P293" s="140">
        <f t="shared" si="152"/>
        <v>0</v>
      </c>
      <c r="Q293" s="140">
        <f t="shared" si="152"/>
        <v>0</v>
      </c>
      <c r="R293" s="4"/>
    </row>
    <row r="294" spans="1:18" ht="25.5" hidden="1" customHeight="1">
      <c r="A294" s="90"/>
      <c r="B294" s="89" t="s">
        <v>239</v>
      </c>
      <c r="C294" s="47">
        <v>58</v>
      </c>
      <c r="D294" s="37">
        <v>0</v>
      </c>
      <c r="E294" s="37">
        <v>0</v>
      </c>
      <c r="F294" s="32"/>
      <c r="G294" s="32">
        <v>600</v>
      </c>
      <c r="H294" s="32"/>
      <c r="I294" s="37">
        <v>0</v>
      </c>
      <c r="J294" s="137">
        <v>0</v>
      </c>
      <c r="K294" s="137">
        <v>0</v>
      </c>
      <c r="L294" s="137">
        <v>0</v>
      </c>
      <c r="M294" s="137">
        <v>0</v>
      </c>
      <c r="N294" s="137">
        <v>0</v>
      </c>
      <c r="O294" s="137">
        <v>0</v>
      </c>
      <c r="P294" s="137">
        <v>0</v>
      </c>
      <c r="Q294" s="137">
        <v>0</v>
      </c>
      <c r="R294" s="4"/>
    </row>
    <row r="295" spans="1:18" ht="33" hidden="1" customHeight="1">
      <c r="A295" s="90"/>
      <c r="B295" s="88"/>
      <c r="C295" s="47"/>
      <c r="D295" s="37"/>
      <c r="E295" s="37"/>
      <c r="F295" s="32"/>
      <c r="G295" s="32"/>
      <c r="H295" s="32"/>
      <c r="I295" s="37"/>
      <c r="J295" s="137"/>
      <c r="K295" s="137"/>
      <c r="L295" s="137"/>
      <c r="M295" s="137"/>
      <c r="N295" s="137"/>
      <c r="O295" s="137"/>
      <c r="P295" s="137"/>
      <c r="Q295" s="137"/>
      <c r="R295" s="4"/>
    </row>
    <row r="296" spans="1:18" ht="48" customHeight="1">
      <c r="A296" s="90"/>
      <c r="B296" s="107" t="s">
        <v>483</v>
      </c>
      <c r="C296" s="169"/>
      <c r="D296" s="61">
        <f>D297</f>
        <v>0</v>
      </c>
      <c r="E296" s="61">
        <f t="shared" ref="E296:Q297" si="153">E297</f>
        <v>0</v>
      </c>
      <c r="F296" s="61">
        <f t="shared" si="153"/>
        <v>48</v>
      </c>
      <c r="G296" s="61">
        <f t="shared" si="153"/>
        <v>137</v>
      </c>
      <c r="H296" s="61">
        <f t="shared" si="153"/>
        <v>0</v>
      </c>
      <c r="I296" s="61">
        <f t="shared" si="153"/>
        <v>0</v>
      </c>
      <c r="J296" s="151">
        <f t="shared" si="153"/>
        <v>2300</v>
      </c>
      <c r="K296" s="151">
        <f t="shared" si="153"/>
        <v>2300</v>
      </c>
      <c r="L296" s="151">
        <f t="shared" si="153"/>
        <v>0</v>
      </c>
      <c r="M296" s="151">
        <f t="shared" si="153"/>
        <v>0</v>
      </c>
      <c r="N296" s="151">
        <f t="shared" si="153"/>
        <v>0</v>
      </c>
      <c r="O296" s="151">
        <f t="shared" si="153"/>
        <v>8995</v>
      </c>
      <c r="P296" s="151">
        <f t="shared" si="153"/>
        <v>6262</v>
      </c>
      <c r="Q296" s="151">
        <f t="shared" si="153"/>
        <v>2000</v>
      </c>
      <c r="R296" s="4"/>
    </row>
    <row r="297" spans="1:18" ht="17.25" customHeight="1">
      <c r="A297" s="90"/>
      <c r="B297" s="89" t="s">
        <v>191</v>
      </c>
      <c r="C297" s="47"/>
      <c r="D297" s="37">
        <f>D298</f>
        <v>0</v>
      </c>
      <c r="E297" s="37">
        <f t="shared" si="153"/>
        <v>0</v>
      </c>
      <c r="F297" s="37">
        <f t="shared" si="153"/>
        <v>48</v>
      </c>
      <c r="G297" s="37">
        <f t="shared" si="153"/>
        <v>137</v>
      </c>
      <c r="H297" s="37">
        <f t="shared" si="153"/>
        <v>0</v>
      </c>
      <c r="I297" s="37">
        <f t="shared" si="153"/>
        <v>0</v>
      </c>
      <c r="J297" s="140">
        <f t="shared" si="153"/>
        <v>2300</v>
      </c>
      <c r="K297" s="140">
        <f t="shared" si="153"/>
        <v>2300</v>
      </c>
      <c r="L297" s="140">
        <f t="shared" si="153"/>
        <v>0</v>
      </c>
      <c r="M297" s="140">
        <f t="shared" si="153"/>
        <v>0</v>
      </c>
      <c r="N297" s="140">
        <f t="shared" si="153"/>
        <v>0</v>
      </c>
      <c r="O297" s="140">
        <f t="shared" si="153"/>
        <v>8995</v>
      </c>
      <c r="P297" s="140">
        <f t="shared" si="153"/>
        <v>6262</v>
      </c>
      <c r="Q297" s="140">
        <f t="shared" si="153"/>
        <v>2000</v>
      </c>
      <c r="R297" s="4"/>
    </row>
    <row r="298" spans="1:18" ht="30" customHeight="1">
      <c r="A298" s="90"/>
      <c r="B298" s="88" t="s">
        <v>534</v>
      </c>
      <c r="C298" s="47">
        <v>58</v>
      </c>
      <c r="D298" s="37">
        <f t="shared" ref="D298:I298" si="154">D300</f>
        <v>0</v>
      </c>
      <c r="E298" s="37">
        <f t="shared" si="154"/>
        <v>0</v>
      </c>
      <c r="F298" s="37">
        <f t="shared" si="154"/>
        <v>48</v>
      </c>
      <c r="G298" s="37">
        <f t="shared" si="154"/>
        <v>137</v>
      </c>
      <c r="H298" s="37">
        <f t="shared" si="154"/>
        <v>0</v>
      </c>
      <c r="I298" s="37">
        <f t="shared" si="154"/>
        <v>0</v>
      </c>
      <c r="J298" s="140">
        <f>J300+J299</f>
        <v>2300</v>
      </c>
      <c r="K298" s="140">
        <f t="shared" ref="K298" si="155">K300+K299</f>
        <v>2300</v>
      </c>
      <c r="L298" s="140">
        <f t="shared" ref="L298" si="156">L300+L299</f>
        <v>0</v>
      </c>
      <c r="M298" s="140">
        <f t="shared" ref="M298" si="157">M300+M299</f>
        <v>0</v>
      </c>
      <c r="N298" s="140">
        <f t="shared" ref="N298" si="158">N300+N299</f>
        <v>0</v>
      </c>
      <c r="O298" s="140">
        <f t="shared" ref="O298" si="159">O300+O299</f>
        <v>8995</v>
      </c>
      <c r="P298" s="140">
        <f t="shared" ref="P298" si="160">P300+P299</f>
        <v>6262</v>
      </c>
      <c r="Q298" s="140">
        <f t="shared" ref="Q298" si="161">Q300+Q299</f>
        <v>2000</v>
      </c>
      <c r="R298" s="4"/>
    </row>
    <row r="299" spans="1:18" ht="17.25" customHeight="1">
      <c r="A299" s="90"/>
      <c r="B299" s="89" t="s">
        <v>535</v>
      </c>
      <c r="C299" s="47" t="s">
        <v>536</v>
      </c>
      <c r="D299" s="37"/>
      <c r="E299" s="37"/>
      <c r="F299" s="37"/>
      <c r="G299" s="37"/>
      <c r="H299" s="37"/>
      <c r="I299" s="37"/>
      <c r="J299" s="140">
        <v>2254</v>
      </c>
      <c r="K299" s="140">
        <v>2254</v>
      </c>
      <c r="L299" s="140"/>
      <c r="M299" s="140"/>
      <c r="N299" s="140"/>
      <c r="O299" s="140">
        <f>8995-170</f>
        <v>8825</v>
      </c>
      <c r="P299" s="140">
        <f>6262-85</f>
        <v>6177</v>
      </c>
      <c r="Q299" s="140">
        <f>2000-122</f>
        <v>1878</v>
      </c>
      <c r="R299" s="4"/>
    </row>
    <row r="300" spans="1:18" ht="19.5" customHeight="1">
      <c r="A300" s="90"/>
      <c r="B300" s="89" t="s">
        <v>546</v>
      </c>
      <c r="C300" s="47" t="s">
        <v>537</v>
      </c>
      <c r="D300" s="37"/>
      <c r="E300" s="37"/>
      <c r="F300" s="32">
        <v>48</v>
      </c>
      <c r="G300" s="32">
        <v>137</v>
      </c>
      <c r="H300" s="32"/>
      <c r="I300" s="37"/>
      <c r="J300" s="137">
        <v>46</v>
      </c>
      <c r="K300" s="137">
        <v>46</v>
      </c>
      <c r="L300" s="137"/>
      <c r="M300" s="137"/>
      <c r="N300" s="137"/>
      <c r="O300" s="137">
        <v>170</v>
      </c>
      <c r="P300" s="137">
        <v>85</v>
      </c>
      <c r="Q300" s="137">
        <f>423-46-170-85</f>
        <v>122</v>
      </c>
      <c r="R300" s="4"/>
    </row>
    <row r="301" spans="1:18" ht="49.5" customHeight="1">
      <c r="A301" s="90"/>
      <c r="B301" s="107" t="s">
        <v>484</v>
      </c>
      <c r="C301" s="169"/>
      <c r="D301" s="61">
        <f>D302</f>
        <v>0</v>
      </c>
      <c r="E301" s="61">
        <f t="shared" ref="E301:Q302" si="162">E302</f>
        <v>0</v>
      </c>
      <c r="F301" s="61">
        <f t="shared" si="162"/>
        <v>48</v>
      </c>
      <c r="G301" s="61">
        <f t="shared" si="162"/>
        <v>151</v>
      </c>
      <c r="H301" s="61">
        <f t="shared" si="162"/>
        <v>0</v>
      </c>
      <c r="I301" s="61">
        <f t="shared" si="162"/>
        <v>0</v>
      </c>
      <c r="J301" s="151">
        <f t="shared" si="162"/>
        <v>2546</v>
      </c>
      <c r="K301" s="151">
        <f t="shared" si="162"/>
        <v>2546</v>
      </c>
      <c r="L301" s="151">
        <f t="shared" si="162"/>
        <v>0</v>
      </c>
      <c r="M301" s="151">
        <f t="shared" si="162"/>
        <v>0</v>
      </c>
      <c r="N301" s="151">
        <f t="shared" si="162"/>
        <v>0</v>
      </c>
      <c r="O301" s="151">
        <f t="shared" si="162"/>
        <v>9232</v>
      </c>
      <c r="P301" s="151">
        <f t="shared" si="162"/>
        <v>7661</v>
      </c>
      <c r="Q301" s="151">
        <f t="shared" si="162"/>
        <v>2000</v>
      </c>
      <c r="R301" s="4"/>
    </row>
    <row r="302" spans="1:18" ht="21" customHeight="1">
      <c r="A302" s="90"/>
      <c r="B302" s="89" t="s">
        <v>191</v>
      </c>
      <c r="C302" s="47"/>
      <c r="D302" s="37">
        <f>D303</f>
        <v>0</v>
      </c>
      <c r="E302" s="37">
        <f t="shared" si="162"/>
        <v>0</v>
      </c>
      <c r="F302" s="37">
        <f t="shared" si="162"/>
        <v>48</v>
      </c>
      <c r="G302" s="37">
        <f t="shared" si="162"/>
        <v>151</v>
      </c>
      <c r="H302" s="37">
        <f t="shared" si="162"/>
        <v>0</v>
      </c>
      <c r="I302" s="37">
        <f t="shared" si="162"/>
        <v>0</v>
      </c>
      <c r="J302" s="140">
        <f t="shared" si="162"/>
        <v>2546</v>
      </c>
      <c r="K302" s="140">
        <f t="shared" si="162"/>
        <v>2546</v>
      </c>
      <c r="L302" s="140">
        <f t="shared" si="162"/>
        <v>0</v>
      </c>
      <c r="M302" s="140">
        <f t="shared" si="162"/>
        <v>0</v>
      </c>
      <c r="N302" s="140">
        <f t="shared" si="162"/>
        <v>0</v>
      </c>
      <c r="O302" s="140">
        <f t="shared" si="162"/>
        <v>9232</v>
      </c>
      <c r="P302" s="140">
        <f t="shared" si="162"/>
        <v>7661</v>
      </c>
      <c r="Q302" s="140">
        <f t="shared" si="162"/>
        <v>2000</v>
      </c>
      <c r="R302" s="4"/>
    </row>
    <row r="303" spans="1:18" ht="21" customHeight="1">
      <c r="A303" s="90"/>
      <c r="B303" s="89" t="s">
        <v>200</v>
      </c>
      <c r="C303" s="47">
        <v>58</v>
      </c>
      <c r="D303" s="37">
        <f t="shared" ref="D303:I303" si="163">D305</f>
        <v>0</v>
      </c>
      <c r="E303" s="37">
        <f t="shared" si="163"/>
        <v>0</v>
      </c>
      <c r="F303" s="37">
        <f t="shared" si="163"/>
        <v>48</v>
      </c>
      <c r="G303" s="37">
        <f t="shared" si="163"/>
        <v>151</v>
      </c>
      <c r="H303" s="37">
        <f t="shared" si="163"/>
        <v>0</v>
      </c>
      <c r="I303" s="37">
        <f t="shared" si="163"/>
        <v>0</v>
      </c>
      <c r="J303" s="140">
        <f>J305+J304</f>
        <v>2546</v>
      </c>
      <c r="K303" s="140">
        <f t="shared" ref="K303:Q303" si="164">K305+K304</f>
        <v>2546</v>
      </c>
      <c r="L303" s="140">
        <f t="shared" si="164"/>
        <v>0</v>
      </c>
      <c r="M303" s="140">
        <f t="shared" si="164"/>
        <v>0</v>
      </c>
      <c r="N303" s="140">
        <f t="shared" si="164"/>
        <v>0</v>
      </c>
      <c r="O303" s="140">
        <f t="shared" si="164"/>
        <v>9232</v>
      </c>
      <c r="P303" s="140">
        <f t="shared" si="164"/>
        <v>7661</v>
      </c>
      <c r="Q303" s="140">
        <f t="shared" si="164"/>
        <v>2000</v>
      </c>
      <c r="R303" s="4"/>
    </row>
    <row r="304" spans="1:18" ht="21" customHeight="1">
      <c r="A304" s="90"/>
      <c r="B304" s="89" t="s">
        <v>535</v>
      </c>
      <c r="C304" s="47" t="s">
        <v>536</v>
      </c>
      <c r="D304" s="37"/>
      <c r="E304" s="37"/>
      <c r="F304" s="37"/>
      <c r="G304" s="37"/>
      <c r="H304" s="37"/>
      <c r="I304" s="37"/>
      <c r="J304" s="140">
        <v>2495</v>
      </c>
      <c r="K304" s="140">
        <v>2495</v>
      </c>
      <c r="L304" s="140"/>
      <c r="M304" s="140"/>
      <c r="N304" s="140"/>
      <c r="O304" s="140">
        <f>9232-378</f>
        <v>8854</v>
      </c>
      <c r="P304" s="140">
        <v>7661</v>
      </c>
      <c r="Q304" s="140">
        <v>2000</v>
      </c>
      <c r="R304" s="4"/>
    </row>
    <row r="305" spans="1:18" ht="24.75" customHeight="1">
      <c r="A305" s="90"/>
      <c r="B305" s="89" t="s">
        <v>239</v>
      </c>
      <c r="C305" s="47" t="s">
        <v>537</v>
      </c>
      <c r="D305" s="37"/>
      <c r="E305" s="37"/>
      <c r="F305" s="32">
        <v>48</v>
      </c>
      <c r="G305" s="32">
        <v>151</v>
      </c>
      <c r="H305" s="32"/>
      <c r="I305" s="37"/>
      <c r="J305" s="137">
        <v>51</v>
      </c>
      <c r="K305" s="137">
        <v>51</v>
      </c>
      <c r="L305" s="137">
        <v>0</v>
      </c>
      <c r="M305" s="137">
        <v>0</v>
      </c>
      <c r="N305" s="137">
        <v>0</v>
      </c>
      <c r="O305" s="137">
        <f>429-51</f>
        <v>378</v>
      </c>
      <c r="P305" s="137"/>
      <c r="Q305" s="137">
        <v>0</v>
      </c>
      <c r="R305" s="4"/>
    </row>
    <row r="306" spans="1:18" ht="33" hidden="1" customHeight="1">
      <c r="A306" s="90"/>
      <c r="B306" s="108" t="s">
        <v>485</v>
      </c>
      <c r="C306" s="169"/>
      <c r="D306" s="61">
        <f>D307</f>
        <v>0</v>
      </c>
      <c r="E306" s="61">
        <f t="shared" ref="E306:Q308" si="165">E307</f>
        <v>0</v>
      </c>
      <c r="F306" s="61">
        <f t="shared" si="165"/>
        <v>0</v>
      </c>
      <c r="G306" s="61">
        <f t="shared" si="165"/>
        <v>76</v>
      </c>
      <c r="H306" s="61">
        <f t="shared" si="165"/>
        <v>0</v>
      </c>
      <c r="I306" s="61">
        <f t="shared" si="165"/>
        <v>0</v>
      </c>
      <c r="J306" s="151">
        <f t="shared" si="165"/>
        <v>0</v>
      </c>
      <c r="K306" s="151">
        <f t="shared" si="165"/>
        <v>0</v>
      </c>
      <c r="L306" s="151">
        <f t="shared" si="165"/>
        <v>0</v>
      </c>
      <c r="M306" s="151">
        <f t="shared" si="165"/>
        <v>0</v>
      </c>
      <c r="N306" s="151">
        <f t="shared" si="165"/>
        <v>0</v>
      </c>
      <c r="O306" s="151">
        <f t="shared" si="165"/>
        <v>0</v>
      </c>
      <c r="P306" s="151">
        <f t="shared" si="165"/>
        <v>0</v>
      </c>
      <c r="Q306" s="151">
        <f t="shared" si="165"/>
        <v>0</v>
      </c>
      <c r="R306" s="4"/>
    </row>
    <row r="307" spans="1:18" ht="33.75" hidden="1" customHeight="1">
      <c r="A307" s="90"/>
      <c r="B307" s="89" t="s">
        <v>191</v>
      </c>
      <c r="C307" s="47"/>
      <c r="D307" s="37">
        <f>D308</f>
        <v>0</v>
      </c>
      <c r="E307" s="37">
        <f t="shared" si="165"/>
        <v>0</v>
      </c>
      <c r="F307" s="37">
        <f t="shared" si="165"/>
        <v>0</v>
      </c>
      <c r="G307" s="37">
        <f t="shared" si="165"/>
        <v>76</v>
      </c>
      <c r="H307" s="37">
        <f t="shared" si="165"/>
        <v>0</v>
      </c>
      <c r="I307" s="37">
        <f t="shared" si="165"/>
        <v>0</v>
      </c>
      <c r="J307" s="140">
        <f t="shared" si="165"/>
        <v>0</v>
      </c>
      <c r="K307" s="140">
        <f t="shared" si="165"/>
        <v>0</v>
      </c>
      <c r="L307" s="140">
        <f t="shared" si="165"/>
        <v>0</v>
      </c>
      <c r="M307" s="140">
        <f t="shared" si="165"/>
        <v>0</v>
      </c>
      <c r="N307" s="140">
        <f t="shared" si="165"/>
        <v>0</v>
      </c>
      <c r="O307" s="140">
        <f t="shared" si="165"/>
        <v>0</v>
      </c>
      <c r="P307" s="140">
        <f t="shared" si="165"/>
        <v>0</v>
      </c>
      <c r="Q307" s="140">
        <f t="shared" si="165"/>
        <v>0</v>
      </c>
      <c r="R307" s="4"/>
    </row>
    <row r="308" spans="1:18" ht="33.75" hidden="1" customHeight="1">
      <c r="A308" s="90"/>
      <c r="B308" s="89" t="s">
        <v>200</v>
      </c>
      <c r="C308" s="47">
        <v>58</v>
      </c>
      <c r="D308" s="37">
        <f>D309</f>
        <v>0</v>
      </c>
      <c r="E308" s="37">
        <f t="shared" si="165"/>
        <v>0</v>
      </c>
      <c r="F308" s="37">
        <f t="shared" si="165"/>
        <v>0</v>
      </c>
      <c r="G308" s="37">
        <f t="shared" si="165"/>
        <v>76</v>
      </c>
      <c r="H308" s="37">
        <f t="shared" si="165"/>
        <v>0</v>
      </c>
      <c r="I308" s="37">
        <f t="shared" si="165"/>
        <v>0</v>
      </c>
      <c r="J308" s="140">
        <f t="shared" si="165"/>
        <v>0</v>
      </c>
      <c r="K308" s="140">
        <f t="shared" si="165"/>
        <v>0</v>
      </c>
      <c r="L308" s="140">
        <f t="shared" si="165"/>
        <v>0</v>
      </c>
      <c r="M308" s="140">
        <f t="shared" si="165"/>
        <v>0</v>
      </c>
      <c r="N308" s="140">
        <f t="shared" si="165"/>
        <v>0</v>
      </c>
      <c r="O308" s="140">
        <f t="shared" si="165"/>
        <v>0</v>
      </c>
      <c r="P308" s="140">
        <f t="shared" si="165"/>
        <v>0</v>
      </c>
      <c r="Q308" s="140">
        <f t="shared" si="165"/>
        <v>0</v>
      </c>
      <c r="R308" s="4"/>
    </row>
    <row r="309" spans="1:18" ht="32.25" hidden="1" customHeight="1">
      <c r="A309" s="90"/>
      <c r="B309" s="89" t="s">
        <v>239</v>
      </c>
      <c r="C309" s="47">
        <v>58</v>
      </c>
      <c r="D309" s="37"/>
      <c r="E309" s="37"/>
      <c r="F309" s="32"/>
      <c r="G309" s="32">
        <v>76</v>
      </c>
      <c r="H309" s="32"/>
      <c r="I309" s="37"/>
      <c r="J309" s="137">
        <v>0</v>
      </c>
      <c r="K309" s="137">
        <v>0</v>
      </c>
      <c r="L309" s="137">
        <v>0</v>
      </c>
      <c r="M309" s="137">
        <v>0</v>
      </c>
      <c r="N309" s="137">
        <v>0</v>
      </c>
      <c r="O309" s="137"/>
      <c r="P309" s="137"/>
      <c r="Q309" s="137"/>
      <c r="R309" s="4"/>
    </row>
    <row r="310" spans="1:18" ht="33.75" hidden="1" customHeight="1">
      <c r="A310" s="90"/>
      <c r="B310" s="107" t="s">
        <v>486</v>
      </c>
      <c r="C310" s="168"/>
      <c r="D310" s="60">
        <f>D311</f>
        <v>0</v>
      </c>
      <c r="E310" s="60">
        <f t="shared" ref="E310:Q312" si="166">E311</f>
        <v>0</v>
      </c>
      <c r="F310" s="60">
        <f t="shared" si="166"/>
        <v>0</v>
      </c>
      <c r="G310" s="60">
        <f t="shared" si="166"/>
        <v>0</v>
      </c>
      <c r="H310" s="60">
        <f t="shared" si="166"/>
        <v>0</v>
      </c>
      <c r="I310" s="60">
        <f t="shared" si="166"/>
        <v>0</v>
      </c>
      <c r="J310" s="150">
        <f t="shared" si="166"/>
        <v>0</v>
      </c>
      <c r="K310" s="150">
        <f t="shared" si="166"/>
        <v>0</v>
      </c>
      <c r="L310" s="150">
        <f t="shared" si="166"/>
        <v>0</v>
      </c>
      <c r="M310" s="150">
        <f t="shared" si="166"/>
        <v>0</v>
      </c>
      <c r="N310" s="150">
        <f t="shared" si="166"/>
        <v>0</v>
      </c>
      <c r="O310" s="150">
        <f t="shared" si="166"/>
        <v>0</v>
      </c>
      <c r="P310" s="150">
        <f t="shared" si="166"/>
        <v>0</v>
      </c>
      <c r="Q310" s="150">
        <f t="shared" si="166"/>
        <v>0</v>
      </c>
      <c r="R310" s="4"/>
    </row>
    <row r="311" spans="1:18" ht="15.75" hidden="1" customHeight="1">
      <c r="A311" s="90"/>
      <c r="B311" s="89" t="s">
        <v>191</v>
      </c>
      <c r="C311" s="47"/>
      <c r="D311" s="37">
        <f>D312</f>
        <v>0</v>
      </c>
      <c r="E311" s="37">
        <f t="shared" si="166"/>
        <v>0</v>
      </c>
      <c r="F311" s="37">
        <f t="shared" si="166"/>
        <v>0</v>
      </c>
      <c r="G311" s="37">
        <f t="shared" si="166"/>
        <v>0</v>
      </c>
      <c r="H311" s="37">
        <f t="shared" si="166"/>
        <v>0</v>
      </c>
      <c r="I311" s="37">
        <f t="shared" si="166"/>
        <v>0</v>
      </c>
      <c r="J311" s="140">
        <f t="shared" si="166"/>
        <v>0</v>
      </c>
      <c r="K311" s="140">
        <f t="shared" si="166"/>
        <v>0</v>
      </c>
      <c r="L311" s="140">
        <f t="shared" si="166"/>
        <v>0</v>
      </c>
      <c r="M311" s="140">
        <f t="shared" si="166"/>
        <v>0</v>
      </c>
      <c r="N311" s="140">
        <f t="shared" si="166"/>
        <v>0</v>
      </c>
      <c r="O311" s="140">
        <f t="shared" si="166"/>
        <v>0</v>
      </c>
      <c r="P311" s="140">
        <f t="shared" si="166"/>
        <v>0</v>
      </c>
      <c r="Q311" s="140">
        <f t="shared" si="166"/>
        <v>0</v>
      </c>
      <c r="R311" s="4"/>
    </row>
    <row r="312" spans="1:18" ht="17.25" hidden="1" customHeight="1">
      <c r="A312" s="90"/>
      <c r="B312" s="89" t="s">
        <v>200</v>
      </c>
      <c r="C312" s="47">
        <v>58</v>
      </c>
      <c r="D312" s="37">
        <f>D313</f>
        <v>0</v>
      </c>
      <c r="E312" s="37">
        <f t="shared" si="166"/>
        <v>0</v>
      </c>
      <c r="F312" s="37">
        <f t="shared" si="166"/>
        <v>0</v>
      </c>
      <c r="G312" s="37">
        <f t="shared" si="166"/>
        <v>0</v>
      </c>
      <c r="H312" s="37">
        <f t="shared" si="166"/>
        <v>0</v>
      </c>
      <c r="I312" s="37">
        <f t="shared" si="166"/>
        <v>0</v>
      </c>
      <c r="J312" s="140">
        <f t="shared" si="166"/>
        <v>0</v>
      </c>
      <c r="K312" s="140">
        <f t="shared" si="166"/>
        <v>0</v>
      </c>
      <c r="L312" s="140">
        <f t="shared" si="166"/>
        <v>0</v>
      </c>
      <c r="M312" s="140">
        <f t="shared" si="166"/>
        <v>0</v>
      </c>
      <c r="N312" s="140">
        <f t="shared" si="166"/>
        <v>0</v>
      </c>
      <c r="O312" s="140">
        <f t="shared" si="166"/>
        <v>0</v>
      </c>
      <c r="P312" s="140">
        <f t="shared" si="166"/>
        <v>0</v>
      </c>
      <c r="Q312" s="140">
        <f t="shared" si="166"/>
        <v>0</v>
      </c>
      <c r="R312" s="4"/>
    </row>
    <row r="313" spans="1:18" ht="17.25" hidden="1" customHeight="1">
      <c r="A313" s="90"/>
      <c r="B313" s="89" t="s">
        <v>239</v>
      </c>
      <c r="C313" s="47">
        <v>58</v>
      </c>
      <c r="D313" s="37"/>
      <c r="E313" s="37"/>
      <c r="F313" s="32"/>
      <c r="G313" s="32"/>
      <c r="H313" s="32"/>
      <c r="I313" s="37"/>
      <c r="J313" s="137">
        <v>0</v>
      </c>
      <c r="K313" s="137">
        <v>0</v>
      </c>
      <c r="L313" s="137"/>
      <c r="M313" s="137"/>
      <c r="N313" s="137"/>
      <c r="O313" s="137"/>
      <c r="P313" s="137"/>
      <c r="Q313" s="137"/>
      <c r="R313" s="4"/>
    </row>
    <row r="314" spans="1:18" ht="28.5">
      <c r="A314" s="99">
        <v>2</v>
      </c>
      <c r="B314" s="101" t="s">
        <v>240</v>
      </c>
      <c r="C314" s="166" t="s">
        <v>241</v>
      </c>
      <c r="D314" s="50">
        <f t="shared" ref="D314:Q314" si="167">D315+D319+D327+D333+D337</f>
        <v>9847</v>
      </c>
      <c r="E314" s="50">
        <f t="shared" si="167"/>
        <v>11961</v>
      </c>
      <c r="F314" s="50">
        <f t="shared" si="167"/>
        <v>11775.5</v>
      </c>
      <c r="G314" s="50">
        <f t="shared" si="167"/>
        <v>15348</v>
      </c>
      <c r="H314" s="50">
        <f t="shared" si="167"/>
        <v>0</v>
      </c>
      <c r="I314" s="50">
        <f t="shared" si="167"/>
        <v>0</v>
      </c>
      <c r="J314" s="146">
        <f t="shared" si="167"/>
        <v>11173</v>
      </c>
      <c r="K314" s="146">
        <f>K315+K319+K327+K333+K337</f>
        <v>3612</v>
      </c>
      <c r="L314" s="146">
        <f>L315+L319+L327+L333+L337</f>
        <v>3813</v>
      </c>
      <c r="M314" s="146">
        <f>M315+M319+M327+M333+M337</f>
        <v>2111</v>
      </c>
      <c r="N314" s="146">
        <f>N315+N319+N327+N333+N337</f>
        <v>1637</v>
      </c>
      <c r="O314" s="146">
        <f t="shared" si="167"/>
        <v>9428</v>
      </c>
      <c r="P314" s="146">
        <f t="shared" si="167"/>
        <v>7778</v>
      </c>
      <c r="Q314" s="146">
        <f t="shared" si="167"/>
        <v>7778</v>
      </c>
      <c r="R314" s="4"/>
    </row>
    <row r="315" spans="1:18" ht="14.25">
      <c r="A315" s="90" t="s">
        <v>242</v>
      </c>
      <c r="B315" s="82" t="s">
        <v>243</v>
      </c>
      <c r="C315" s="159">
        <v>50</v>
      </c>
      <c r="D315" s="50">
        <f t="shared" ref="D315:Q317" si="168">D316</f>
        <v>0</v>
      </c>
      <c r="E315" s="50">
        <f t="shared" si="168"/>
        <v>1500</v>
      </c>
      <c r="F315" s="50">
        <f t="shared" si="168"/>
        <v>1500</v>
      </c>
      <c r="G315" s="50">
        <f t="shared" si="168"/>
        <v>2500</v>
      </c>
      <c r="H315" s="50">
        <f t="shared" si="168"/>
        <v>0</v>
      </c>
      <c r="I315" s="50">
        <f t="shared" si="168"/>
        <v>0</v>
      </c>
      <c r="J315" s="146">
        <f t="shared" si="168"/>
        <v>500</v>
      </c>
      <c r="K315" s="146">
        <f t="shared" si="168"/>
        <v>0</v>
      </c>
      <c r="L315" s="146">
        <f t="shared" si="168"/>
        <v>200</v>
      </c>
      <c r="M315" s="146">
        <f t="shared" si="168"/>
        <v>300</v>
      </c>
      <c r="N315" s="146">
        <f t="shared" si="168"/>
        <v>0</v>
      </c>
      <c r="O315" s="146">
        <f t="shared" si="168"/>
        <v>500</v>
      </c>
      <c r="P315" s="146">
        <f t="shared" si="168"/>
        <v>500</v>
      </c>
      <c r="Q315" s="146">
        <f t="shared" si="168"/>
        <v>500</v>
      </c>
      <c r="R315" s="4"/>
    </row>
    <row r="316" spans="1:18" ht="14.25">
      <c r="A316" s="90"/>
      <c r="B316" s="80" t="s">
        <v>179</v>
      </c>
      <c r="C316" s="159"/>
      <c r="D316" s="50">
        <f t="shared" si="168"/>
        <v>0</v>
      </c>
      <c r="E316" s="50">
        <f t="shared" si="168"/>
        <v>1500</v>
      </c>
      <c r="F316" s="50">
        <f t="shared" si="168"/>
        <v>1500</v>
      </c>
      <c r="G316" s="50">
        <f t="shared" si="168"/>
        <v>2500</v>
      </c>
      <c r="H316" s="50">
        <f t="shared" si="168"/>
        <v>0</v>
      </c>
      <c r="I316" s="50">
        <f t="shared" si="168"/>
        <v>0</v>
      </c>
      <c r="J316" s="146">
        <f t="shared" si="168"/>
        <v>500</v>
      </c>
      <c r="K316" s="146">
        <f t="shared" si="168"/>
        <v>0</v>
      </c>
      <c r="L316" s="146">
        <f t="shared" si="168"/>
        <v>200</v>
      </c>
      <c r="M316" s="146">
        <f t="shared" si="168"/>
        <v>300</v>
      </c>
      <c r="N316" s="146">
        <f t="shared" si="168"/>
        <v>0</v>
      </c>
      <c r="O316" s="146">
        <f t="shared" si="168"/>
        <v>500</v>
      </c>
      <c r="P316" s="146">
        <f t="shared" si="168"/>
        <v>500</v>
      </c>
      <c r="Q316" s="146">
        <f t="shared" si="168"/>
        <v>500</v>
      </c>
      <c r="R316" s="4"/>
    </row>
    <row r="317" spans="1:18" ht="15">
      <c r="A317" s="90"/>
      <c r="B317" s="89" t="s">
        <v>180</v>
      </c>
      <c r="C317" s="159"/>
      <c r="D317" s="50">
        <f t="shared" si="168"/>
        <v>0</v>
      </c>
      <c r="E317" s="50">
        <f t="shared" si="168"/>
        <v>1500</v>
      </c>
      <c r="F317" s="50">
        <f t="shared" si="168"/>
        <v>1500</v>
      </c>
      <c r="G317" s="50">
        <f t="shared" si="168"/>
        <v>2500</v>
      </c>
      <c r="H317" s="50">
        <f t="shared" si="168"/>
        <v>0</v>
      </c>
      <c r="I317" s="50">
        <f t="shared" si="168"/>
        <v>0</v>
      </c>
      <c r="J317" s="146">
        <f t="shared" si="168"/>
        <v>500</v>
      </c>
      <c r="K317" s="146">
        <f t="shared" si="168"/>
        <v>0</v>
      </c>
      <c r="L317" s="146">
        <f t="shared" si="168"/>
        <v>200</v>
      </c>
      <c r="M317" s="146">
        <f t="shared" si="168"/>
        <v>300</v>
      </c>
      <c r="N317" s="146">
        <f t="shared" si="168"/>
        <v>0</v>
      </c>
      <c r="O317" s="146">
        <f t="shared" si="168"/>
        <v>500</v>
      </c>
      <c r="P317" s="146">
        <f t="shared" si="168"/>
        <v>500</v>
      </c>
      <c r="Q317" s="146">
        <f t="shared" si="168"/>
        <v>500</v>
      </c>
      <c r="R317" s="4"/>
    </row>
    <row r="318" spans="1:18" ht="15">
      <c r="A318" s="90"/>
      <c r="B318" s="89" t="s">
        <v>244</v>
      </c>
      <c r="C318" s="47" t="s">
        <v>245</v>
      </c>
      <c r="D318" s="37"/>
      <c r="E318" s="37">
        <f>2500+210-1710+500</f>
        <v>1500</v>
      </c>
      <c r="F318" s="32">
        <v>1500</v>
      </c>
      <c r="G318" s="32">
        <v>2500</v>
      </c>
      <c r="H318" s="32"/>
      <c r="I318" s="37"/>
      <c r="J318" s="137">
        <v>500</v>
      </c>
      <c r="K318" s="137">
        <v>0</v>
      </c>
      <c r="L318" s="137">
        <v>200</v>
      </c>
      <c r="M318" s="137">
        <v>300</v>
      </c>
      <c r="N318" s="137"/>
      <c r="O318" s="137">
        <v>500</v>
      </c>
      <c r="P318" s="137">
        <v>500</v>
      </c>
      <c r="Q318" s="137">
        <v>500</v>
      </c>
      <c r="R318" s="4"/>
    </row>
    <row r="319" spans="1:18" ht="28.5">
      <c r="A319" s="90" t="s">
        <v>246</v>
      </c>
      <c r="B319" s="109" t="s">
        <v>247</v>
      </c>
      <c r="C319" s="159" t="s">
        <v>248</v>
      </c>
      <c r="D319" s="50">
        <f t="shared" ref="D319:Q319" si="169">D320+D325</f>
        <v>945</v>
      </c>
      <c r="E319" s="50">
        <f t="shared" si="169"/>
        <v>1603</v>
      </c>
      <c r="F319" s="50">
        <f t="shared" si="169"/>
        <v>1417.5</v>
      </c>
      <c r="G319" s="50">
        <f t="shared" si="169"/>
        <v>3981</v>
      </c>
      <c r="H319" s="50">
        <f t="shared" si="169"/>
        <v>0</v>
      </c>
      <c r="I319" s="50">
        <f t="shared" si="169"/>
        <v>0</v>
      </c>
      <c r="J319" s="146">
        <f t="shared" si="169"/>
        <v>1710</v>
      </c>
      <c r="K319" s="146">
        <f>K320+K325</f>
        <v>550</v>
      </c>
      <c r="L319" s="146">
        <f>L320+L325</f>
        <v>550</v>
      </c>
      <c r="M319" s="146">
        <f>M320+M325</f>
        <v>385</v>
      </c>
      <c r="N319" s="146">
        <f>N320+N325</f>
        <v>225</v>
      </c>
      <c r="O319" s="146">
        <f t="shared" si="169"/>
        <v>1710</v>
      </c>
      <c r="P319" s="146">
        <f t="shared" si="169"/>
        <v>1710</v>
      </c>
      <c r="Q319" s="146">
        <f t="shared" si="169"/>
        <v>1710</v>
      </c>
      <c r="R319" s="4"/>
    </row>
    <row r="320" spans="1:18" ht="14.25">
      <c r="A320" s="90"/>
      <c r="B320" s="80" t="s">
        <v>179</v>
      </c>
      <c r="C320" s="159"/>
      <c r="D320" s="50">
        <f t="shared" ref="D320:Q321" si="170">D321</f>
        <v>945</v>
      </c>
      <c r="E320" s="50">
        <f t="shared" si="170"/>
        <v>1598</v>
      </c>
      <c r="F320" s="50">
        <f t="shared" si="170"/>
        <v>1417.5</v>
      </c>
      <c r="G320" s="50">
        <f t="shared" si="170"/>
        <v>3981</v>
      </c>
      <c r="H320" s="50">
        <f t="shared" si="170"/>
        <v>0</v>
      </c>
      <c r="I320" s="50">
        <f t="shared" si="170"/>
        <v>0</v>
      </c>
      <c r="J320" s="146">
        <f t="shared" si="170"/>
        <v>1710</v>
      </c>
      <c r="K320" s="146">
        <f t="shared" si="170"/>
        <v>550</v>
      </c>
      <c r="L320" s="146">
        <f t="shared" si="170"/>
        <v>550</v>
      </c>
      <c r="M320" s="146">
        <f t="shared" si="170"/>
        <v>385</v>
      </c>
      <c r="N320" s="146">
        <f t="shared" si="170"/>
        <v>225</v>
      </c>
      <c r="O320" s="146">
        <f t="shared" si="170"/>
        <v>1710</v>
      </c>
      <c r="P320" s="146">
        <f t="shared" si="170"/>
        <v>1710</v>
      </c>
      <c r="Q320" s="146">
        <f t="shared" si="170"/>
        <v>1710</v>
      </c>
      <c r="R320" s="4"/>
    </row>
    <row r="321" spans="1:18" ht="15">
      <c r="A321" s="90"/>
      <c r="B321" s="89" t="s">
        <v>180</v>
      </c>
      <c r="C321" s="47">
        <v>0.01</v>
      </c>
      <c r="D321" s="36">
        <f t="shared" si="170"/>
        <v>945</v>
      </c>
      <c r="E321" s="36">
        <f t="shared" si="170"/>
        <v>1598</v>
      </c>
      <c r="F321" s="36">
        <f t="shared" si="170"/>
        <v>1417.5</v>
      </c>
      <c r="G321" s="36">
        <f t="shared" si="170"/>
        <v>3981</v>
      </c>
      <c r="H321" s="36">
        <f t="shared" si="170"/>
        <v>0</v>
      </c>
      <c r="I321" s="36">
        <f t="shared" si="170"/>
        <v>0</v>
      </c>
      <c r="J321" s="141">
        <f t="shared" si="170"/>
        <v>1710</v>
      </c>
      <c r="K321" s="141">
        <f t="shared" si="170"/>
        <v>550</v>
      </c>
      <c r="L321" s="141">
        <f t="shared" si="170"/>
        <v>550</v>
      </c>
      <c r="M321" s="141">
        <f t="shared" si="170"/>
        <v>385</v>
      </c>
      <c r="N321" s="141">
        <f t="shared" si="170"/>
        <v>225</v>
      </c>
      <c r="O321" s="141">
        <f t="shared" si="170"/>
        <v>1710</v>
      </c>
      <c r="P321" s="141">
        <f t="shared" si="170"/>
        <v>1710</v>
      </c>
      <c r="Q321" s="141">
        <f t="shared" si="170"/>
        <v>1710</v>
      </c>
      <c r="R321" s="4"/>
    </row>
    <row r="322" spans="1:18" ht="15">
      <c r="A322" s="90"/>
      <c r="B322" s="89" t="s">
        <v>185</v>
      </c>
      <c r="C322" s="47" t="s">
        <v>249</v>
      </c>
      <c r="D322" s="36">
        <f t="shared" ref="D322:Q322" si="171">D323+D324</f>
        <v>945</v>
      </c>
      <c r="E322" s="36">
        <f t="shared" si="171"/>
        <v>1598</v>
      </c>
      <c r="F322" s="36">
        <f t="shared" si="171"/>
        <v>1417.5</v>
      </c>
      <c r="G322" s="36">
        <f t="shared" si="171"/>
        <v>3981</v>
      </c>
      <c r="H322" s="36">
        <f t="shared" si="171"/>
        <v>0</v>
      </c>
      <c r="I322" s="36">
        <f t="shared" si="171"/>
        <v>0</v>
      </c>
      <c r="J322" s="141">
        <f t="shared" si="171"/>
        <v>1710</v>
      </c>
      <c r="K322" s="141">
        <f>K323+K324</f>
        <v>550</v>
      </c>
      <c r="L322" s="141">
        <f>L323+L324</f>
        <v>550</v>
      </c>
      <c r="M322" s="141">
        <f>M323+M324</f>
        <v>385</v>
      </c>
      <c r="N322" s="141">
        <f>N323+N324</f>
        <v>225</v>
      </c>
      <c r="O322" s="141">
        <f t="shared" si="171"/>
        <v>1710</v>
      </c>
      <c r="P322" s="141">
        <f t="shared" si="171"/>
        <v>1710</v>
      </c>
      <c r="Q322" s="141">
        <f t="shared" si="171"/>
        <v>1710</v>
      </c>
      <c r="R322" s="4"/>
    </row>
    <row r="323" spans="1:18" ht="15">
      <c r="A323" s="90"/>
      <c r="B323" s="89" t="s">
        <v>181</v>
      </c>
      <c r="C323" s="47">
        <v>10</v>
      </c>
      <c r="D323" s="37">
        <v>619</v>
      </c>
      <c r="E323" s="37">
        <v>1318</v>
      </c>
      <c r="F323" s="32">
        <v>1215.7</v>
      </c>
      <c r="G323" s="32">
        <v>3671</v>
      </c>
      <c r="H323" s="32"/>
      <c r="I323" s="37"/>
      <c r="J323" s="137">
        <v>1500</v>
      </c>
      <c r="K323" s="137">
        <f>130+152+158+60</f>
        <v>500</v>
      </c>
      <c r="L323" s="137">
        <v>500</v>
      </c>
      <c r="M323" s="137">
        <f>335+60-60</f>
        <v>335</v>
      </c>
      <c r="N323" s="137">
        <f>225-60</f>
        <v>165</v>
      </c>
      <c r="O323" s="137">
        <v>1500</v>
      </c>
      <c r="P323" s="137">
        <v>1500</v>
      </c>
      <c r="Q323" s="137">
        <v>1500</v>
      </c>
      <c r="R323" s="4"/>
    </row>
    <row r="324" spans="1:18" ht="17.25" customHeight="1">
      <c r="A324" s="90"/>
      <c r="B324" s="89" t="s">
        <v>182</v>
      </c>
      <c r="C324" s="47">
        <v>20</v>
      </c>
      <c r="D324" s="37">
        <v>326</v>
      </c>
      <c r="E324" s="37">
        <f>300-20</f>
        <v>280</v>
      </c>
      <c r="F324" s="32">
        <v>201.8</v>
      </c>
      <c r="G324" s="32">
        <v>310</v>
      </c>
      <c r="H324" s="32"/>
      <c r="I324" s="37"/>
      <c r="J324" s="137">
        <v>210</v>
      </c>
      <c r="K324" s="137">
        <v>50</v>
      </c>
      <c r="L324" s="137">
        <v>50</v>
      </c>
      <c r="M324" s="137">
        <v>50</v>
      </c>
      <c r="N324" s="137">
        <v>60</v>
      </c>
      <c r="O324" s="137">
        <v>210</v>
      </c>
      <c r="P324" s="137">
        <v>210</v>
      </c>
      <c r="Q324" s="137">
        <v>210</v>
      </c>
      <c r="R324" s="4"/>
    </row>
    <row r="325" spans="1:18" ht="12" customHeight="1">
      <c r="A325" s="90"/>
      <c r="B325" s="82" t="s">
        <v>191</v>
      </c>
      <c r="C325" s="47"/>
      <c r="D325" s="50">
        <f t="shared" ref="D325:Q325" si="172">D326</f>
        <v>0</v>
      </c>
      <c r="E325" s="50">
        <f t="shared" si="172"/>
        <v>5</v>
      </c>
      <c r="F325" s="50">
        <f t="shared" si="172"/>
        <v>0</v>
      </c>
      <c r="G325" s="50">
        <f t="shared" si="172"/>
        <v>0</v>
      </c>
      <c r="H325" s="50">
        <f t="shared" si="172"/>
        <v>0</v>
      </c>
      <c r="I325" s="50">
        <f t="shared" si="172"/>
        <v>0</v>
      </c>
      <c r="J325" s="146">
        <f t="shared" si="172"/>
        <v>0</v>
      </c>
      <c r="K325" s="146">
        <f t="shared" si="172"/>
        <v>0</v>
      </c>
      <c r="L325" s="146">
        <f t="shared" si="172"/>
        <v>0</v>
      </c>
      <c r="M325" s="146">
        <f t="shared" si="172"/>
        <v>0</v>
      </c>
      <c r="N325" s="146">
        <f t="shared" si="172"/>
        <v>0</v>
      </c>
      <c r="O325" s="146">
        <f t="shared" si="172"/>
        <v>0</v>
      </c>
      <c r="P325" s="146">
        <f t="shared" si="172"/>
        <v>0</v>
      </c>
      <c r="Q325" s="146">
        <f t="shared" si="172"/>
        <v>0</v>
      </c>
      <c r="R325" s="4"/>
    </row>
    <row r="326" spans="1:18" ht="13.5" hidden="1" customHeight="1">
      <c r="A326" s="90"/>
      <c r="B326" s="89" t="s">
        <v>250</v>
      </c>
      <c r="C326" s="47" t="s">
        <v>198</v>
      </c>
      <c r="D326" s="37">
        <v>0</v>
      </c>
      <c r="E326" s="37">
        <v>5</v>
      </c>
      <c r="F326" s="32">
        <v>0</v>
      </c>
      <c r="G326" s="32">
        <v>0</v>
      </c>
      <c r="H326" s="32"/>
      <c r="I326" s="37"/>
      <c r="J326" s="137">
        <v>0</v>
      </c>
      <c r="K326" s="137">
        <v>0</v>
      </c>
      <c r="L326" s="137">
        <v>0</v>
      </c>
      <c r="M326" s="137">
        <v>0</v>
      </c>
      <c r="N326" s="137">
        <v>0</v>
      </c>
      <c r="O326" s="137"/>
      <c r="P326" s="137"/>
      <c r="Q326" s="137"/>
      <c r="R326" s="4"/>
    </row>
    <row r="327" spans="1:18" ht="14.25">
      <c r="A327" s="90" t="s">
        <v>251</v>
      </c>
      <c r="B327" s="82" t="s">
        <v>252</v>
      </c>
      <c r="C327" s="159" t="s">
        <v>253</v>
      </c>
      <c r="D327" s="50">
        <f t="shared" ref="D327:Q329" si="173">D328</f>
        <v>8794</v>
      </c>
      <c r="E327" s="50">
        <f t="shared" si="173"/>
        <v>8858</v>
      </c>
      <c r="F327" s="50">
        <f t="shared" si="173"/>
        <v>8858</v>
      </c>
      <c r="G327" s="50">
        <f t="shared" si="173"/>
        <v>8867</v>
      </c>
      <c r="H327" s="50">
        <f t="shared" si="173"/>
        <v>0</v>
      </c>
      <c r="I327" s="50">
        <f t="shared" si="173"/>
        <v>0</v>
      </c>
      <c r="J327" s="146">
        <f t="shared" si="173"/>
        <v>8963</v>
      </c>
      <c r="K327" s="146">
        <f t="shared" si="173"/>
        <v>3062</v>
      </c>
      <c r="L327" s="146">
        <f t="shared" si="173"/>
        <v>3063</v>
      </c>
      <c r="M327" s="146">
        <f t="shared" si="173"/>
        <v>1426</v>
      </c>
      <c r="N327" s="146">
        <f t="shared" si="173"/>
        <v>1412</v>
      </c>
      <c r="O327" s="146">
        <f t="shared" si="173"/>
        <v>7218</v>
      </c>
      <c r="P327" s="146">
        <f t="shared" si="173"/>
        <v>5568</v>
      </c>
      <c r="Q327" s="146">
        <f t="shared" si="173"/>
        <v>5568</v>
      </c>
      <c r="R327" s="4"/>
    </row>
    <row r="328" spans="1:18" ht="14.25">
      <c r="A328" s="90"/>
      <c r="B328" s="80" t="s">
        <v>179</v>
      </c>
      <c r="C328" s="159"/>
      <c r="D328" s="50">
        <f t="shared" si="173"/>
        <v>8794</v>
      </c>
      <c r="E328" s="50">
        <f t="shared" si="173"/>
        <v>8858</v>
      </c>
      <c r="F328" s="50">
        <f t="shared" si="173"/>
        <v>8858</v>
      </c>
      <c r="G328" s="50">
        <f t="shared" si="173"/>
        <v>8867</v>
      </c>
      <c r="H328" s="50">
        <f t="shared" si="173"/>
        <v>0</v>
      </c>
      <c r="I328" s="50">
        <f t="shared" si="173"/>
        <v>0</v>
      </c>
      <c r="J328" s="146">
        <f t="shared" si="173"/>
        <v>8963</v>
      </c>
      <c r="K328" s="146">
        <f t="shared" si="173"/>
        <v>3062</v>
      </c>
      <c r="L328" s="146">
        <f t="shared" si="173"/>
        <v>3063</v>
      </c>
      <c r="M328" s="146">
        <f t="shared" si="173"/>
        <v>1426</v>
      </c>
      <c r="N328" s="146">
        <f t="shared" si="173"/>
        <v>1412</v>
      </c>
      <c r="O328" s="146">
        <f t="shared" si="173"/>
        <v>7218</v>
      </c>
      <c r="P328" s="146">
        <f t="shared" si="173"/>
        <v>5568</v>
      </c>
      <c r="Q328" s="146">
        <f t="shared" si="173"/>
        <v>5568</v>
      </c>
    </row>
    <row r="329" spans="1:18" ht="14.25">
      <c r="A329" s="90"/>
      <c r="B329" s="82" t="s">
        <v>189</v>
      </c>
      <c r="C329" s="159">
        <v>79</v>
      </c>
      <c r="D329" s="50">
        <f t="shared" si="173"/>
        <v>8794</v>
      </c>
      <c r="E329" s="50">
        <f t="shared" si="173"/>
        <v>8858</v>
      </c>
      <c r="F329" s="50">
        <f t="shared" si="173"/>
        <v>8858</v>
      </c>
      <c r="G329" s="50">
        <f t="shared" si="173"/>
        <v>8867</v>
      </c>
      <c r="H329" s="50">
        <f t="shared" si="173"/>
        <v>0</v>
      </c>
      <c r="I329" s="50">
        <f t="shared" si="173"/>
        <v>0</v>
      </c>
      <c r="J329" s="146">
        <f t="shared" si="173"/>
        <v>8963</v>
      </c>
      <c r="K329" s="146">
        <f t="shared" si="173"/>
        <v>3062</v>
      </c>
      <c r="L329" s="146">
        <f t="shared" si="173"/>
        <v>3063</v>
      </c>
      <c r="M329" s="146">
        <f t="shared" si="173"/>
        <v>1426</v>
      </c>
      <c r="N329" s="146">
        <f t="shared" si="173"/>
        <v>1412</v>
      </c>
      <c r="O329" s="146">
        <f t="shared" si="173"/>
        <v>7218</v>
      </c>
      <c r="P329" s="146">
        <f t="shared" si="173"/>
        <v>5568</v>
      </c>
      <c r="Q329" s="146">
        <f t="shared" si="173"/>
        <v>5568</v>
      </c>
    </row>
    <row r="330" spans="1:18" ht="14.25">
      <c r="A330" s="90"/>
      <c r="B330" s="82" t="s">
        <v>254</v>
      </c>
      <c r="C330" s="47">
        <v>81</v>
      </c>
      <c r="D330" s="36">
        <f t="shared" ref="D330:Q330" si="174">D331+D332</f>
        <v>8794</v>
      </c>
      <c r="E330" s="36">
        <f t="shared" si="174"/>
        <v>8858</v>
      </c>
      <c r="F330" s="36">
        <f t="shared" si="174"/>
        <v>8858</v>
      </c>
      <c r="G330" s="36">
        <f t="shared" si="174"/>
        <v>8867</v>
      </c>
      <c r="H330" s="36">
        <f t="shared" si="174"/>
        <v>0</v>
      </c>
      <c r="I330" s="36">
        <f t="shared" si="174"/>
        <v>0</v>
      </c>
      <c r="J330" s="141">
        <f t="shared" si="174"/>
        <v>8963</v>
      </c>
      <c r="K330" s="141">
        <f>K331+K332</f>
        <v>3062</v>
      </c>
      <c r="L330" s="141">
        <f>L331+L332</f>
        <v>3063</v>
      </c>
      <c r="M330" s="141">
        <f>M331+M332</f>
        <v>1426</v>
      </c>
      <c r="N330" s="141">
        <f>N331+N332</f>
        <v>1412</v>
      </c>
      <c r="O330" s="141">
        <f t="shared" si="174"/>
        <v>7218</v>
      </c>
      <c r="P330" s="141">
        <f t="shared" si="174"/>
        <v>5568</v>
      </c>
      <c r="Q330" s="141">
        <f t="shared" si="174"/>
        <v>5568</v>
      </c>
    </row>
    <row r="331" spans="1:18" ht="15">
      <c r="A331" s="90"/>
      <c r="B331" s="89" t="s">
        <v>255</v>
      </c>
      <c r="C331" s="47" t="s">
        <v>256</v>
      </c>
      <c r="D331" s="37">
        <v>2188</v>
      </c>
      <c r="E331" s="37">
        <v>2188</v>
      </c>
      <c r="F331" s="32">
        <v>2188</v>
      </c>
      <c r="G331" s="32">
        <v>2188</v>
      </c>
      <c r="H331" s="32"/>
      <c r="I331" s="37"/>
      <c r="J331" s="137">
        <v>2188</v>
      </c>
      <c r="K331" s="137">
        <v>550</v>
      </c>
      <c r="L331" s="137">
        <v>550</v>
      </c>
      <c r="M331" s="137">
        <v>550</v>
      </c>
      <c r="N331" s="137">
        <v>538</v>
      </c>
      <c r="O331" s="137">
        <v>2188</v>
      </c>
      <c r="P331" s="137">
        <v>2188</v>
      </c>
      <c r="Q331" s="137">
        <v>2188</v>
      </c>
    </row>
    <row r="332" spans="1:18" ht="14.25" customHeight="1">
      <c r="A332" s="90"/>
      <c r="B332" s="89" t="s">
        <v>257</v>
      </c>
      <c r="C332" s="47" t="s">
        <v>258</v>
      </c>
      <c r="D332" s="37">
        <v>6606</v>
      </c>
      <c r="E332" s="37">
        <v>6670</v>
      </c>
      <c r="F332" s="32">
        <v>6670</v>
      </c>
      <c r="G332" s="32">
        <v>6679</v>
      </c>
      <c r="H332" s="32"/>
      <c r="I332" s="37"/>
      <c r="J332" s="137">
        <v>6775</v>
      </c>
      <c r="K332" s="137">
        <v>2512</v>
      </c>
      <c r="L332" s="137">
        <v>2513</v>
      </c>
      <c r="M332" s="137">
        <v>876</v>
      </c>
      <c r="N332" s="137">
        <v>874</v>
      </c>
      <c r="O332" s="137">
        <v>5030</v>
      </c>
      <c r="P332" s="137">
        <v>3380</v>
      </c>
      <c r="Q332" s="137">
        <v>3380</v>
      </c>
    </row>
    <row r="333" spans="1:18" ht="17.25" hidden="1" customHeight="1">
      <c r="A333" s="90" t="s">
        <v>259</v>
      </c>
      <c r="B333" s="82" t="s">
        <v>260</v>
      </c>
      <c r="C333" s="47"/>
      <c r="D333" s="37">
        <f>D334+D335+D336</f>
        <v>108</v>
      </c>
      <c r="E333" s="37">
        <f>E334+E335+E336</f>
        <v>0</v>
      </c>
      <c r="F333" s="32"/>
      <c r="G333" s="32"/>
      <c r="H333" s="32"/>
      <c r="I333" s="37">
        <f>I334+I335+I336</f>
        <v>0</v>
      </c>
      <c r="J333" s="137"/>
      <c r="K333" s="137"/>
      <c r="L333" s="137"/>
      <c r="M333" s="137"/>
      <c r="N333" s="137"/>
      <c r="O333" s="137"/>
      <c r="P333" s="137"/>
      <c r="Q333" s="137"/>
    </row>
    <row r="334" spans="1:18" ht="18.75" hidden="1" customHeight="1">
      <c r="A334" s="90"/>
      <c r="B334" s="89" t="s">
        <v>181</v>
      </c>
      <c r="C334" s="47"/>
      <c r="D334" s="37">
        <v>2</v>
      </c>
      <c r="E334" s="37"/>
      <c r="F334" s="32"/>
      <c r="G334" s="32"/>
      <c r="H334" s="32"/>
      <c r="I334" s="37"/>
      <c r="J334" s="137"/>
      <c r="K334" s="137"/>
      <c r="L334" s="137"/>
      <c r="M334" s="137"/>
      <c r="N334" s="137"/>
      <c r="O334" s="137"/>
      <c r="P334" s="137"/>
      <c r="Q334" s="137"/>
    </row>
    <row r="335" spans="1:18" ht="18.75" hidden="1" customHeight="1">
      <c r="A335" s="90"/>
      <c r="B335" s="89" t="s">
        <v>182</v>
      </c>
      <c r="C335" s="47"/>
      <c r="D335" s="37">
        <v>75</v>
      </c>
      <c r="E335" s="37"/>
      <c r="F335" s="32"/>
      <c r="G335" s="32"/>
      <c r="H335" s="32"/>
      <c r="I335" s="37"/>
      <c r="J335" s="137"/>
      <c r="K335" s="137"/>
      <c r="L335" s="137"/>
      <c r="M335" s="137"/>
      <c r="N335" s="137"/>
      <c r="O335" s="137"/>
      <c r="P335" s="137"/>
      <c r="Q335" s="137"/>
    </row>
    <row r="336" spans="1:18" ht="18.75" hidden="1" customHeight="1">
      <c r="A336" s="90"/>
      <c r="B336" s="82" t="s">
        <v>261</v>
      </c>
      <c r="C336" s="47"/>
      <c r="D336" s="37">
        <v>31</v>
      </c>
      <c r="E336" s="37"/>
      <c r="F336" s="32"/>
      <c r="G336" s="32"/>
      <c r="H336" s="32"/>
      <c r="I336" s="37"/>
      <c r="J336" s="137"/>
      <c r="K336" s="137"/>
      <c r="L336" s="137"/>
      <c r="M336" s="137"/>
      <c r="N336" s="137"/>
      <c r="O336" s="137"/>
      <c r="P336" s="137"/>
      <c r="Q336" s="137"/>
    </row>
    <row r="337" spans="1:17" ht="29.25" hidden="1" customHeight="1">
      <c r="A337" s="90" t="s">
        <v>262</v>
      </c>
      <c r="B337" s="87" t="s">
        <v>263</v>
      </c>
      <c r="C337" s="159" t="s">
        <v>253</v>
      </c>
      <c r="D337" s="37">
        <f t="shared" ref="D337:E339" si="175">D338</f>
        <v>0</v>
      </c>
      <c r="E337" s="37">
        <f t="shared" si="175"/>
        <v>0</v>
      </c>
      <c r="F337" s="32"/>
      <c r="G337" s="32"/>
      <c r="H337" s="32"/>
      <c r="I337" s="37">
        <f>I338</f>
        <v>0</v>
      </c>
      <c r="J337" s="137"/>
      <c r="K337" s="137"/>
      <c r="L337" s="137"/>
      <c r="M337" s="137"/>
      <c r="N337" s="137"/>
      <c r="O337" s="137"/>
      <c r="P337" s="137"/>
      <c r="Q337" s="137"/>
    </row>
    <row r="338" spans="1:17" ht="13.5" hidden="1" customHeight="1">
      <c r="A338" s="90"/>
      <c r="B338" s="80" t="s">
        <v>179</v>
      </c>
      <c r="C338" s="47"/>
      <c r="D338" s="37">
        <f t="shared" si="175"/>
        <v>0</v>
      </c>
      <c r="E338" s="37">
        <f t="shared" si="175"/>
        <v>0</v>
      </c>
      <c r="F338" s="32"/>
      <c r="G338" s="32"/>
      <c r="H338" s="32"/>
      <c r="I338" s="37">
        <f>I339</f>
        <v>0</v>
      </c>
      <c r="J338" s="137"/>
      <c r="K338" s="137"/>
      <c r="L338" s="137"/>
      <c r="M338" s="137"/>
      <c r="N338" s="137"/>
      <c r="O338" s="137"/>
      <c r="P338" s="137"/>
      <c r="Q338" s="137"/>
    </row>
    <row r="339" spans="1:17" ht="19.5" hidden="1" customHeight="1">
      <c r="A339" s="90"/>
      <c r="B339" s="89" t="s">
        <v>180</v>
      </c>
      <c r="C339" s="47">
        <v>1</v>
      </c>
      <c r="D339" s="37">
        <f t="shared" si="175"/>
        <v>0</v>
      </c>
      <c r="E339" s="37">
        <f t="shared" si="175"/>
        <v>0</v>
      </c>
      <c r="F339" s="32"/>
      <c r="G339" s="32"/>
      <c r="H339" s="32"/>
      <c r="I339" s="37">
        <f>I340</f>
        <v>0</v>
      </c>
      <c r="J339" s="137"/>
      <c r="K339" s="137"/>
      <c r="L339" s="137"/>
      <c r="M339" s="137"/>
      <c r="N339" s="137"/>
      <c r="O339" s="137"/>
      <c r="P339" s="137"/>
      <c r="Q339" s="137"/>
    </row>
    <row r="340" spans="1:17" ht="23.25" hidden="1" customHeight="1">
      <c r="A340" s="90"/>
      <c r="B340" s="110" t="s">
        <v>264</v>
      </c>
      <c r="C340" s="47" t="s">
        <v>265</v>
      </c>
      <c r="D340" s="37">
        <v>0</v>
      </c>
      <c r="E340" s="37">
        <v>0</v>
      </c>
      <c r="F340" s="32"/>
      <c r="G340" s="32"/>
      <c r="H340" s="32"/>
      <c r="I340" s="37">
        <v>0</v>
      </c>
      <c r="J340" s="137"/>
      <c r="K340" s="137"/>
      <c r="L340" s="137"/>
      <c r="M340" s="137"/>
      <c r="N340" s="137"/>
      <c r="O340" s="137"/>
      <c r="P340" s="137"/>
      <c r="Q340" s="137"/>
    </row>
    <row r="341" spans="1:17" ht="14.25">
      <c r="A341" s="90">
        <v>3</v>
      </c>
      <c r="B341" s="82" t="s">
        <v>266</v>
      </c>
      <c r="C341" s="159" t="s">
        <v>267</v>
      </c>
      <c r="D341" s="50">
        <f t="shared" ref="D341:Q341" si="176">D343</f>
        <v>760</v>
      </c>
      <c r="E341" s="50">
        <f t="shared" si="176"/>
        <v>1068</v>
      </c>
      <c r="F341" s="50">
        <f t="shared" si="176"/>
        <v>1068</v>
      </c>
      <c r="G341" s="50">
        <f t="shared" si="176"/>
        <v>1867</v>
      </c>
      <c r="H341" s="50">
        <f t="shared" si="176"/>
        <v>18</v>
      </c>
      <c r="I341" s="50">
        <f t="shared" si="176"/>
        <v>18</v>
      </c>
      <c r="J341" s="146">
        <f t="shared" si="176"/>
        <v>1447</v>
      </c>
      <c r="K341" s="146">
        <f>K343</f>
        <v>525</v>
      </c>
      <c r="L341" s="146">
        <f>L343</f>
        <v>325</v>
      </c>
      <c r="M341" s="146">
        <f>M343</f>
        <v>295</v>
      </c>
      <c r="N341" s="146">
        <f>N343</f>
        <v>302</v>
      </c>
      <c r="O341" s="146">
        <f t="shared" si="176"/>
        <v>786</v>
      </c>
      <c r="P341" s="146">
        <f t="shared" si="176"/>
        <v>715</v>
      </c>
      <c r="Q341" s="146">
        <f t="shared" si="176"/>
        <v>644</v>
      </c>
    </row>
    <row r="342" spans="1:17" ht="14.25">
      <c r="A342" s="90"/>
      <c r="B342" s="80" t="s">
        <v>179</v>
      </c>
      <c r="C342" s="159"/>
      <c r="D342" s="50">
        <f t="shared" ref="D342:Q342" si="177">D343</f>
        <v>760</v>
      </c>
      <c r="E342" s="50">
        <f t="shared" si="177"/>
        <v>1068</v>
      </c>
      <c r="F342" s="50">
        <f t="shared" si="177"/>
        <v>1068</v>
      </c>
      <c r="G342" s="50">
        <f t="shared" si="177"/>
        <v>1867</v>
      </c>
      <c r="H342" s="50">
        <f t="shared" si="177"/>
        <v>18</v>
      </c>
      <c r="I342" s="50">
        <f t="shared" si="177"/>
        <v>18</v>
      </c>
      <c r="J342" s="146">
        <f t="shared" si="177"/>
        <v>1447</v>
      </c>
      <c r="K342" s="146">
        <f t="shared" si="177"/>
        <v>525</v>
      </c>
      <c r="L342" s="146">
        <f t="shared" si="177"/>
        <v>325</v>
      </c>
      <c r="M342" s="146">
        <f t="shared" si="177"/>
        <v>295</v>
      </c>
      <c r="N342" s="146">
        <f t="shared" si="177"/>
        <v>302</v>
      </c>
      <c r="O342" s="146">
        <f t="shared" si="177"/>
        <v>786</v>
      </c>
      <c r="P342" s="146">
        <f t="shared" si="177"/>
        <v>715</v>
      </c>
      <c r="Q342" s="146">
        <f t="shared" si="177"/>
        <v>644</v>
      </c>
    </row>
    <row r="343" spans="1:17" ht="16.5" customHeight="1">
      <c r="A343" s="90"/>
      <c r="B343" s="89" t="s">
        <v>180</v>
      </c>
      <c r="C343" s="159">
        <v>1</v>
      </c>
      <c r="D343" s="50">
        <f t="shared" ref="D343:Q343" si="178">D345+D344</f>
        <v>760</v>
      </c>
      <c r="E343" s="50">
        <f t="shared" si="178"/>
        <v>1068</v>
      </c>
      <c r="F343" s="50">
        <f t="shared" si="178"/>
        <v>1068</v>
      </c>
      <c r="G343" s="50">
        <f t="shared" si="178"/>
        <v>1867</v>
      </c>
      <c r="H343" s="50">
        <f t="shared" si="178"/>
        <v>18</v>
      </c>
      <c r="I343" s="50">
        <f t="shared" si="178"/>
        <v>18</v>
      </c>
      <c r="J343" s="146">
        <f t="shared" si="178"/>
        <v>1447</v>
      </c>
      <c r="K343" s="146">
        <f>K345+K344</f>
        <v>525</v>
      </c>
      <c r="L343" s="146">
        <f>L345+L344</f>
        <v>325</v>
      </c>
      <c r="M343" s="146">
        <f>M345+M344</f>
        <v>295</v>
      </c>
      <c r="N343" s="146">
        <f>N345+N344</f>
        <v>302</v>
      </c>
      <c r="O343" s="146">
        <f t="shared" si="178"/>
        <v>786</v>
      </c>
      <c r="P343" s="146">
        <f t="shared" si="178"/>
        <v>715</v>
      </c>
      <c r="Q343" s="146">
        <f t="shared" si="178"/>
        <v>644</v>
      </c>
    </row>
    <row r="344" spans="1:17" ht="14.25" customHeight="1">
      <c r="A344" s="90"/>
      <c r="B344" s="89" t="s">
        <v>182</v>
      </c>
      <c r="C344" s="159" t="s">
        <v>268</v>
      </c>
      <c r="D344" s="37">
        <v>20</v>
      </c>
      <c r="E344" s="37">
        <v>18</v>
      </c>
      <c r="F344" s="32">
        <v>18</v>
      </c>
      <c r="G344" s="32">
        <v>17</v>
      </c>
      <c r="H344" s="32">
        <v>18</v>
      </c>
      <c r="I344" s="37">
        <v>18</v>
      </c>
      <c r="J344" s="137">
        <v>17</v>
      </c>
      <c r="K344" s="137">
        <v>0</v>
      </c>
      <c r="L344" s="137"/>
      <c r="M344" s="137"/>
      <c r="N344" s="137">
        <v>17</v>
      </c>
      <c r="O344" s="137">
        <v>16</v>
      </c>
      <c r="P344" s="137">
        <v>15</v>
      </c>
      <c r="Q344" s="137">
        <v>14</v>
      </c>
    </row>
    <row r="345" spans="1:17" ht="18" customHeight="1">
      <c r="A345" s="90"/>
      <c r="B345" s="89" t="s">
        <v>269</v>
      </c>
      <c r="C345" s="47">
        <v>30</v>
      </c>
      <c r="D345" s="36">
        <f t="shared" ref="D345:Q345" si="179">D346+D347</f>
        <v>740</v>
      </c>
      <c r="E345" s="36">
        <f t="shared" si="179"/>
        <v>1050</v>
      </c>
      <c r="F345" s="36">
        <f t="shared" si="179"/>
        <v>1050</v>
      </c>
      <c r="G345" s="36">
        <f t="shared" si="179"/>
        <v>1850</v>
      </c>
      <c r="H345" s="36">
        <f t="shared" si="179"/>
        <v>0</v>
      </c>
      <c r="I345" s="36">
        <f t="shared" si="179"/>
        <v>0</v>
      </c>
      <c r="J345" s="141">
        <f t="shared" si="179"/>
        <v>1430</v>
      </c>
      <c r="K345" s="141">
        <f>K346+K347</f>
        <v>525</v>
      </c>
      <c r="L345" s="141">
        <f>L346+L347</f>
        <v>325</v>
      </c>
      <c r="M345" s="141">
        <f>M346+M347</f>
        <v>295</v>
      </c>
      <c r="N345" s="141">
        <f>N346+N347</f>
        <v>285</v>
      </c>
      <c r="O345" s="141">
        <f t="shared" si="179"/>
        <v>770</v>
      </c>
      <c r="P345" s="141">
        <f t="shared" si="179"/>
        <v>700</v>
      </c>
      <c r="Q345" s="141">
        <f t="shared" si="179"/>
        <v>630</v>
      </c>
    </row>
    <row r="346" spans="1:17" ht="16.5" customHeight="1">
      <c r="A346" s="90"/>
      <c r="B346" s="89" t="s">
        <v>270</v>
      </c>
      <c r="C346" s="159" t="s">
        <v>271</v>
      </c>
      <c r="D346" s="37">
        <v>225</v>
      </c>
      <c r="E346" s="37">
        <v>300</v>
      </c>
      <c r="F346" s="32">
        <v>300</v>
      </c>
      <c r="G346" s="32">
        <v>750</v>
      </c>
      <c r="H346" s="32"/>
      <c r="I346" s="37"/>
      <c r="J346" s="137">
        <v>530</v>
      </c>
      <c r="K346" s="137">
        <v>140</v>
      </c>
      <c r="L346" s="137">
        <v>140</v>
      </c>
      <c r="M346" s="137">
        <v>130</v>
      </c>
      <c r="N346" s="137">
        <v>120</v>
      </c>
      <c r="O346" s="137">
        <v>220</v>
      </c>
      <c r="P346" s="137">
        <v>200</v>
      </c>
      <c r="Q346" s="137">
        <v>180</v>
      </c>
    </row>
    <row r="347" spans="1:17" ht="15.75" customHeight="1">
      <c r="A347" s="90"/>
      <c r="B347" s="89" t="s">
        <v>272</v>
      </c>
      <c r="C347" s="159" t="s">
        <v>59</v>
      </c>
      <c r="D347" s="37">
        <v>515</v>
      </c>
      <c r="E347" s="37">
        <v>750</v>
      </c>
      <c r="F347" s="32">
        <v>750</v>
      </c>
      <c r="G347" s="32">
        <v>1100</v>
      </c>
      <c r="H347" s="32"/>
      <c r="I347" s="37"/>
      <c r="J347" s="137">
        <v>900</v>
      </c>
      <c r="K347" s="137">
        <v>385</v>
      </c>
      <c r="L347" s="137">
        <v>185</v>
      </c>
      <c r="M347" s="137">
        <v>165</v>
      </c>
      <c r="N347" s="137">
        <v>165</v>
      </c>
      <c r="O347" s="137">
        <v>550</v>
      </c>
      <c r="P347" s="137">
        <v>500</v>
      </c>
      <c r="Q347" s="137">
        <v>450</v>
      </c>
    </row>
    <row r="348" spans="1:17" ht="22.5" customHeight="1">
      <c r="A348" s="100" t="s">
        <v>8</v>
      </c>
      <c r="B348" s="101" t="s">
        <v>577</v>
      </c>
      <c r="C348" s="164">
        <v>59.02</v>
      </c>
      <c r="D348" s="58">
        <f t="shared" ref="D348:Q348" si="180">D356+D370</f>
        <v>2725</v>
      </c>
      <c r="E348" s="58">
        <f t="shared" si="180"/>
        <v>1442</v>
      </c>
      <c r="F348" s="58">
        <f t="shared" si="180"/>
        <v>1151.25</v>
      </c>
      <c r="G348" s="58">
        <f t="shared" si="180"/>
        <v>2856</v>
      </c>
      <c r="H348" s="58">
        <f t="shared" si="180"/>
        <v>0</v>
      </c>
      <c r="I348" s="58">
        <f t="shared" si="180"/>
        <v>0</v>
      </c>
      <c r="J348" s="149">
        <f t="shared" si="180"/>
        <v>1150</v>
      </c>
      <c r="K348" s="149">
        <f>K356+K370</f>
        <v>532</v>
      </c>
      <c r="L348" s="149">
        <f>L356+L370</f>
        <v>208</v>
      </c>
      <c r="M348" s="149">
        <f>M356+M370</f>
        <v>205</v>
      </c>
      <c r="N348" s="149">
        <f>N356+N370</f>
        <v>205</v>
      </c>
      <c r="O348" s="149">
        <f t="shared" si="180"/>
        <v>833</v>
      </c>
      <c r="P348" s="149">
        <f t="shared" si="180"/>
        <v>833</v>
      </c>
      <c r="Q348" s="149">
        <f t="shared" si="180"/>
        <v>833</v>
      </c>
    </row>
    <row r="349" spans="1:17" ht="16.5" customHeight="1">
      <c r="A349" s="102"/>
      <c r="B349" s="80" t="s">
        <v>179</v>
      </c>
      <c r="C349" s="165"/>
      <c r="D349" s="58">
        <f t="shared" ref="D349:Q350" si="181">D358+D367+D372</f>
        <v>871</v>
      </c>
      <c r="E349" s="58">
        <f t="shared" si="181"/>
        <v>1177</v>
      </c>
      <c r="F349" s="58">
        <f t="shared" si="181"/>
        <v>918</v>
      </c>
      <c r="G349" s="58">
        <f t="shared" si="181"/>
        <v>1664</v>
      </c>
      <c r="H349" s="58">
        <f t="shared" si="181"/>
        <v>0</v>
      </c>
      <c r="I349" s="58">
        <f t="shared" si="181"/>
        <v>0</v>
      </c>
      <c r="J349" s="149">
        <f t="shared" si="181"/>
        <v>828</v>
      </c>
      <c r="K349" s="149">
        <f t="shared" ref="K349:N350" si="182">K358+K367+K372</f>
        <v>210</v>
      </c>
      <c r="L349" s="149">
        <f t="shared" si="182"/>
        <v>208</v>
      </c>
      <c r="M349" s="149">
        <f t="shared" si="182"/>
        <v>205</v>
      </c>
      <c r="N349" s="149">
        <f t="shared" si="182"/>
        <v>205</v>
      </c>
      <c r="O349" s="149">
        <f t="shared" si="181"/>
        <v>833</v>
      </c>
      <c r="P349" s="149">
        <f t="shared" si="181"/>
        <v>833</v>
      </c>
      <c r="Q349" s="149">
        <f t="shared" si="181"/>
        <v>833</v>
      </c>
    </row>
    <row r="350" spans="1:17" ht="15">
      <c r="A350" s="90"/>
      <c r="B350" s="89" t="s">
        <v>180</v>
      </c>
      <c r="C350" s="159">
        <v>0.01</v>
      </c>
      <c r="D350" s="36">
        <f t="shared" si="181"/>
        <v>871</v>
      </c>
      <c r="E350" s="36">
        <f t="shared" si="181"/>
        <v>1177</v>
      </c>
      <c r="F350" s="36">
        <f t="shared" si="181"/>
        <v>918</v>
      </c>
      <c r="G350" s="36">
        <f t="shared" si="181"/>
        <v>1664</v>
      </c>
      <c r="H350" s="36">
        <f t="shared" si="181"/>
        <v>0</v>
      </c>
      <c r="I350" s="36">
        <f t="shared" si="181"/>
        <v>0</v>
      </c>
      <c r="J350" s="141">
        <f t="shared" si="181"/>
        <v>828</v>
      </c>
      <c r="K350" s="141">
        <f t="shared" si="182"/>
        <v>210</v>
      </c>
      <c r="L350" s="141">
        <f t="shared" si="182"/>
        <v>208</v>
      </c>
      <c r="M350" s="141">
        <f t="shared" si="182"/>
        <v>205</v>
      </c>
      <c r="N350" s="141">
        <f t="shared" si="182"/>
        <v>205</v>
      </c>
      <c r="O350" s="141">
        <f t="shared" si="181"/>
        <v>833</v>
      </c>
      <c r="P350" s="141">
        <f t="shared" si="181"/>
        <v>833</v>
      </c>
      <c r="Q350" s="141">
        <f t="shared" si="181"/>
        <v>833</v>
      </c>
    </row>
    <row r="351" spans="1:17" ht="15">
      <c r="A351" s="90"/>
      <c r="B351" s="89" t="s">
        <v>181</v>
      </c>
      <c r="C351" s="47">
        <v>10</v>
      </c>
      <c r="D351" s="36">
        <f t="shared" ref="D351:Q351" si="183">D374</f>
        <v>0</v>
      </c>
      <c r="E351" s="36">
        <f t="shared" si="183"/>
        <v>3</v>
      </c>
      <c r="F351" s="36">
        <f t="shared" si="183"/>
        <v>3</v>
      </c>
      <c r="G351" s="36">
        <f t="shared" si="183"/>
        <v>3</v>
      </c>
      <c r="H351" s="36">
        <f t="shared" si="183"/>
        <v>0</v>
      </c>
      <c r="I351" s="36">
        <f t="shared" si="183"/>
        <v>0</v>
      </c>
      <c r="J351" s="141">
        <f t="shared" si="183"/>
        <v>3</v>
      </c>
      <c r="K351" s="141">
        <f>K374</f>
        <v>3</v>
      </c>
      <c r="L351" s="141">
        <f>L374</f>
        <v>0</v>
      </c>
      <c r="M351" s="141">
        <f>M374</f>
        <v>0</v>
      </c>
      <c r="N351" s="141">
        <f>N374</f>
        <v>0</v>
      </c>
      <c r="O351" s="141">
        <f t="shared" si="183"/>
        <v>3</v>
      </c>
      <c r="P351" s="141">
        <f t="shared" si="183"/>
        <v>3</v>
      </c>
      <c r="Q351" s="141">
        <f t="shared" si="183"/>
        <v>3</v>
      </c>
    </row>
    <row r="352" spans="1:17" ht="15">
      <c r="A352" s="90"/>
      <c r="B352" s="89" t="s">
        <v>182</v>
      </c>
      <c r="C352" s="47">
        <v>20</v>
      </c>
      <c r="D352" s="36">
        <f t="shared" ref="D352:Q352" si="184">D360+D369+D375</f>
        <v>871</v>
      </c>
      <c r="E352" s="36">
        <f t="shared" si="184"/>
        <v>1159</v>
      </c>
      <c r="F352" s="36">
        <f t="shared" si="184"/>
        <v>900</v>
      </c>
      <c r="G352" s="36">
        <f t="shared" si="184"/>
        <v>1646</v>
      </c>
      <c r="H352" s="36">
        <f t="shared" si="184"/>
        <v>0</v>
      </c>
      <c r="I352" s="36">
        <f t="shared" si="184"/>
        <v>0</v>
      </c>
      <c r="J352" s="141">
        <f t="shared" si="184"/>
        <v>820</v>
      </c>
      <c r="K352" s="141">
        <f>K360+K369+K375</f>
        <v>205</v>
      </c>
      <c r="L352" s="141">
        <f>L360+L369+L375</f>
        <v>205</v>
      </c>
      <c r="M352" s="141">
        <f>M360+M369+M375</f>
        <v>205</v>
      </c>
      <c r="N352" s="141">
        <f>N360+N369+N375</f>
        <v>205</v>
      </c>
      <c r="O352" s="141">
        <f t="shared" si="184"/>
        <v>820</v>
      </c>
      <c r="P352" s="141">
        <f t="shared" si="184"/>
        <v>820</v>
      </c>
      <c r="Q352" s="141">
        <f t="shared" si="184"/>
        <v>820</v>
      </c>
    </row>
    <row r="353" spans="1:17" ht="15">
      <c r="A353" s="90"/>
      <c r="B353" s="89" t="s">
        <v>273</v>
      </c>
      <c r="C353" s="47" t="s">
        <v>274</v>
      </c>
      <c r="D353" s="36">
        <f t="shared" ref="D353:Q353" si="185">D376</f>
        <v>0</v>
      </c>
      <c r="E353" s="36">
        <f t="shared" si="185"/>
        <v>15</v>
      </c>
      <c r="F353" s="36">
        <f t="shared" si="185"/>
        <v>15</v>
      </c>
      <c r="G353" s="36">
        <f t="shared" si="185"/>
        <v>15</v>
      </c>
      <c r="H353" s="36">
        <f t="shared" si="185"/>
        <v>0</v>
      </c>
      <c r="I353" s="36">
        <f t="shared" si="185"/>
        <v>0</v>
      </c>
      <c r="J353" s="141">
        <f t="shared" si="185"/>
        <v>5</v>
      </c>
      <c r="K353" s="141">
        <f>K376</f>
        <v>2</v>
      </c>
      <c r="L353" s="141">
        <f>L376</f>
        <v>3</v>
      </c>
      <c r="M353" s="141">
        <f>M376</f>
        <v>0</v>
      </c>
      <c r="N353" s="141">
        <f>N376</f>
        <v>0</v>
      </c>
      <c r="O353" s="141">
        <f t="shared" si="185"/>
        <v>10</v>
      </c>
      <c r="P353" s="141">
        <f t="shared" si="185"/>
        <v>10</v>
      </c>
      <c r="Q353" s="141">
        <f t="shared" si="185"/>
        <v>10</v>
      </c>
    </row>
    <row r="354" spans="1:17" ht="14.25">
      <c r="A354" s="90"/>
      <c r="B354" s="82" t="s">
        <v>191</v>
      </c>
      <c r="C354" s="47"/>
      <c r="D354" s="50">
        <f t="shared" ref="D354:Q355" si="186">D361+D377</f>
        <v>1854</v>
      </c>
      <c r="E354" s="50">
        <f t="shared" si="186"/>
        <v>265</v>
      </c>
      <c r="F354" s="50">
        <f t="shared" si="186"/>
        <v>233.25</v>
      </c>
      <c r="G354" s="50">
        <f t="shared" si="186"/>
        <v>1192</v>
      </c>
      <c r="H354" s="50">
        <f t="shared" si="186"/>
        <v>0</v>
      </c>
      <c r="I354" s="50">
        <f t="shared" si="186"/>
        <v>0</v>
      </c>
      <c r="J354" s="146">
        <f t="shared" si="186"/>
        <v>322</v>
      </c>
      <c r="K354" s="146">
        <f t="shared" ref="K354:N355" si="187">K361+K377</f>
        <v>322</v>
      </c>
      <c r="L354" s="146">
        <f t="shared" si="187"/>
        <v>0</v>
      </c>
      <c r="M354" s="146">
        <f t="shared" si="187"/>
        <v>0</v>
      </c>
      <c r="N354" s="146">
        <f t="shared" si="187"/>
        <v>0</v>
      </c>
      <c r="O354" s="146">
        <f t="shared" si="186"/>
        <v>0</v>
      </c>
      <c r="P354" s="146">
        <f t="shared" si="186"/>
        <v>0</v>
      </c>
      <c r="Q354" s="146">
        <f t="shared" si="186"/>
        <v>0</v>
      </c>
    </row>
    <row r="355" spans="1:17" ht="15">
      <c r="A355" s="90"/>
      <c r="B355" s="89" t="s">
        <v>220</v>
      </c>
      <c r="C355" s="47">
        <v>70</v>
      </c>
      <c r="D355" s="50">
        <f t="shared" si="186"/>
        <v>1854</v>
      </c>
      <c r="E355" s="50">
        <f t="shared" si="186"/>
        <v>265</v>
      </c>
      <c r="F355" s="50">
        <f t="shared" si="186"/>
        <v>233.25</v>
      </c>
      <c r="G355" s="50">
        <f t="shared" si="186"/>
        <v>1192</v>
      </c>
      <c r="H355" s="50">
        <f t="shared" si="186"/>
        <v>0</v>
      </c>
      <c r="I355" s="50">
        <f t="shared" si="186"/>
        <v>0</v>
      </c>
      <c r="J355" s="146">
        <f t="shared" si="186"/>
        <v>322</v>
      </c>
      <c r="K355" s="146">
        <f t="shared" si="187"/>
        <v>322</v>
      </c>
      <c r="L355" s="146">
        <f t="shared" si="187"/>
        <v>0</v>
      </c>
      <c r="M355" s="146">
        <f t="shared" si="187"/>
        <v>0</v>
      </c>
      <c r="N355" s="146">
        <f t="shared" si="187"/>
        <v>0</v>
      </c>
      <c r="O355" s="146">
        <f t="shared" si="186"/>
        <v>0</v>
      </c>
      <c r="P355" s="146">
        <f t="shared" si="186"/>
        <v>0</v>
      </c>
      <c r="Q355" s="146">
        <f t="shared" si="186"/>
        <v>0</v>
      </c>
    </row>
    <row r="356" spans="1:17" ht="14.25">
      <c r="A356" s="90">
        <v>1</v>
      </c>
      <c r="B356" s="82" t="s">
        <v>275</v>
      </c>
      <c r="C356" s="159">
        <v>60.02</v>
      </c>
      <c r="D356" s="50">
        <f t="shared" ref="D356:Q356" si="188">D357+D366</f>
        <v>359</v>
      </c>
      <c r="E356" s="50">
        <f t="shared" si="188"/>
        <v>603</v>
      </c>
      <c r="F356" s="50">
        <f t="shared" si="188"/>
        <v>410.25</v>
      </c>
      <c r="G356" s="50">
        <f t="shared" si="188"/>
        <v>1054</v>
      </c>
      <c r="H356" s="50">
        <f t="shared" si="188"/>
        <v>0</v>
      </c>
      <c r="I356" s="50">
        <f t="shared" si="188"/>
        <v>0</v>
      </c>
      <c r="J356" s="146">
        <f t="shared" si="188"/>
        <v>465</v>
      </c>
      <c r="K356" s="146">
        <f>K357+K366</f>
        <v>150</v>
      </c>
      <c r="L356" s="146">
        <f>L357+L366</f>
        <v>105</v>
      </c>
      <c r="M356" s="146">
        <f>M357+M366</f>
        <v>105</v>
      </c>
      <c r="N356" s="146">
        <f>N357+N366</f>
        <v>105</v>
      </c>
      <c r="O356" s="146">
        <f t="shared" si="188"/>
        <v>420</v>
      </c>
      <c r="P356" s="146">
        <f t="shared" si="188"/>
        <v>420</v>
      </c>
      <c r="Q356" s="146">
        <f t="shared" si="188"/>
        <v>420</v>
      </c>
    </row>
    <row r="357" spans="1:17" ht="14.25">
      <c r="A357" s="90" t="s">
        <v>276</v>
      </c>
      <c r="B357" s="111" t="s">
        <v>277</v>
      </c>
      <c r="C357" s="159" t="s">
        <v>278</v>
      </c>
      <c r="D357" s="50">
        <f t="shared" ref="D357:Q357" si="189">D358+D361</f>
        <v>339</v>
      </c>
      <c r="E357" s="50">
        <f t="shared" si="189"/>
        <v>583</v>
      </c>
      <c r="F357" s="50">
        <f t="shared" si="189"/>
        <v>390.25</v>
      </c>
      <c r="G357" s="50">
        <f t="shared" si="189"/>
        <v>1034</v>
      </c>
      <c r="H357" s="50">
        <f t="shared" si="189"/>
        <v>0</v>
      </c>
      <c r="I357" s="50">
        <f t="shared" si="189"/>
        <v>0</v>
      </c>
      <c r="J357" s="146">
        <f t="shared" si="189"/>
        <v>445</v>
      </c>
      <c r="K357" s="146">
        <f>K358+K361</f>
        <v>145</v>
      </c>
      <c r="L357" s="146">
        <f>L358+L361</f>
        <v>100</v>
      </c>
      <c r="M357" s="146">
        <f>M358+M361</f>
        <v>100</v>
      </c>
      <c r="N357" s="146">
        <f>N358+N361</f>
        <v>100</v>
      </c>
      <c r="O357" s="146">
        <f t="shared" si="189"/>
        <v>400</v>
      </c>
      <c r="P357" s="146">
        <f t="shared" si="189"/>
        <v>400</v>
      </c>
      <c r="Q357" s="146">
        <f t="shared" si="189"/>
        <v>400</v>
      </c>
    </row>
    <row r="358" spans="1:17" ht="14.25">
      <c r="A358" s="90"/>
      <c r="B358" s="80" t="s">
        <v>179</v>
      </c>
      <c r="C358" s="159"/>
      <c r="D358" s="50">
        <f t="shared" ref="D358:Q359" si="190">D359</f>
        <v>321</v>
      </c>
      <c r="E358" s="50">
        <f t="shared" si="190"/>
        <v>538</v>
      </c>
      <c r="F358" s="50">
        <f t="shared" si="190"/>
        <v>377</v>
      </c>
      <c r="G358" s="50">
        <f t="shared" si="190"/>
        <v>734</v>
      </c>
      <c r="H358" s="50">
        <f t="shared" si="190"/>
        <v>0</v>
      </c>
      <c r="I358" s="50">
        <f t="shared" si="190"/>
        <v>0</v>
      </c>
      <c r="J358" s="146">
        <f t="shared" si="190"/>
        <v>400</v>
      </c>
      <c r="K358" s="146">
        <f t="shared" si="190"/>
        <v>100</v>
      </c>
      <c r="L358" s="146">
        <f t="shared" si="190"/>
        <v>100</v>
      </c>
      <c r="M358" s="146">
        <f t="shared" si="190"/>
        <v>100</v>
      </c>
      <c r="N358" s="146">
        <f t="shared" si="190"/>
        <v>100</v>
      </c>
      <c r="O358" s="146">
        <f t="shared" si="190"/>
        <v>400</v>
      </c>
      <c r="P358" s="146">
        <f t="shared" si="190"/>
        <v>400</v>
      </c>
      <c r="Q358" s="146">
        <f t="shared" si="190"/>
        <v>400</v>
      </c>
    </row>
    <row r="359" spans="1:17" ht="13.5" customHeight="1">
      <c r="A359" s="90"/>
      <c r="B359" s="89" t="s">
        <v>180</v>
      </c>
      <c r="C359" s="47">
        <v>1</v>
      </c>
      <c r="D359" s="36">
        <f t="shared" si="190"/>
        <v>321</v>
      </c>
      <c r="E359" s="36">
        <f t="shared" si="190"/>
        <v>538</v>
      </c>
      <c r="F359" s="36">
        <f t="shared" si="190"/>
        <v>377</v>
      </c>
      <c r="G359" s="36">
        <f t="shared" si="190"/>
        <v>734</v>
      </c>
      <c r="H359" s="36">
        <f t="shared" si="190"/>
        <v>0</v>
      </c>
      <c r="I359" s="36">
        <f t="shared" si="190"/>
        <v>0</v>
      </c>
      <c r="J359" s="141">
        <f t="shared" si="190"/>
        <v>400</v>
      </c>
      <c r="K359" s="141">
        <f t="shared" si="190"/>
        <v>100</v>
      </c>
      <c r="L359" s="141">
        <f t="shared" si="190"/>
        <v>100</v>
      </c>
      <c r="M359" s="141">
        <f t="shared" si="190"/>
        <v>100</v>
      </c>
      <c r="N359" s="141">
        <f t="shared" si="190"/>
        <v>100</v>
      </c>
      <c r="O359" s="141">
        <f t="shared" si="190"/>
        <v>400</v>
      </c>
      <c r="P359" s="141">
        <f t="shared" si="190"/>
        <v>400</v>
      </c>
      <c r="Q359" s="141">
        <f t="shared" si="190"/>
        <v>400</v>
      </c>
    </row>
    <row r="360" spans="1:17" ht="15">
      <c r="A360" s="90"/>
      <c r="B360" s="89" t="s">
        <v>182</v>
      </c>
      <c r="C360" s="47">
        <v>20</v>
      </c>
      <c r="D360" s="37">
        <v>321</v>
      </c>
      <c r="E360" s="37">
        <v>538</v>
      </c>
      <c r="F360" s="32">
        <v>377</v>
      </c>
      <c r="G360" s="32">
        <v>734</v>
      </c>
      <c r="H360" s="32"/>
      <c r="I360" s="37"/>
      <c r="J360" s="137">
        <v>400</v>
      </c>
      <c r="K360" s="137">
        <v>100</v>
      </c>
      <c r="L360" s="137">
        <v>100</v>
      </c>
      <c r="M360" s="137">
        <v>100</v>
      </c>
      <c r="N360" s="137">
        <v>100</v>
      </c>
      <c r="O360" s="137">
        <v>400</v>
      </c>
      <c r="P360" s="137">
        <v>400</v>
      </c>
      <c r="Q360" s="137">
        <v>400</v>
      </c>
    </row>
    <row r="361" spans="1:17" ht="14.25">
      <c r="A361" s="90"/>
      <c r="B361" s="82" t="s">
        <v>191</v>
      </c>
      <c r="C361" s="47"/>
      <c r="D361" s="50">
        <f t="shared" ref="D361:Q361" si="191">D362</f>
        <v>18</v>
      </c>
      <c r="E361" s="50">
        <f t="shared" si="191"/>
        <v>45</v>
      </c>
      <c r="F361" s="50">
        <f t="shared" si="191"/>
        <v>13.25</v>
      </c>
      <c r="G361" s="50">
        <f t="shared" si="191"/>
        <v>300</v>
      </c>
      <c r="H361" s="50">
        <f t="shared" si="191"/>
        <v>0</v>
      </c>
      <c r="I361" s="50">
        <f t="shared" si="191"/>
        <v>0</v>
      </c>
      <c r="J361" s="146">
        <f t="shared" si="191"/>
        <v>45</v>
      </c>
      <c r="K361" s="146">
        <f t="shared" si="191"/>
        <v>45</v>
      </c>
      <c r="L361" s="146">
        <f t="shared" si="191"/>
        <v>0</v>
      </c>
      <c r="M361" s="146">
        <f t="shared" si="191"/>
        <v>0</v>
      </c>
      <c r="N361" s="146">
        <f t="shared" si="191"/>
        <v>0</v>
      </c>
      <c r="O361" s="146">
        <f t="shared" si="191"/>
        <v>0</v>
      </c>
      <c r="P361" s="146">
        <f t="shared" si="191"/>
        <v>0</v>
      </c>
      <c r="Q361" s="146">
        <f t="shared" si="191"/>
        <v>0</v>
      </c>
    </row>
    <row r="362" spans="1:17" ht="15">
      <c r="A362" s="90"/>
      <c r="B362" s="89" t="s">
        <v>220</v>
      </c>
      <c r="C362" s="47">
        <v>70</v>
      </c>
      <c r="D362" s="36">
        <f t="shared" ref="D362:Q362" si="192">D363+D364+D365</f>
        <v>18</v>
      </c>
      <c r="E362" s="36">
        <f t="shared" si="192"/>
        <v>45</v>
      </c>
      <c r="F362" s="36">
        <f t="shared" si="192"/>
        <v>13.25</v>
      </c>
      <c r="G362" s="36">
        <f t="shared" si="192"/>
        <v>300</v>
      </c>
      <c r="H362" s="36">
        <f t="shared" si="192"/>
        <v>0</v>
      </c>
      <c r="I362" s="36">
        <f t="shared" si="192"/>
        <v>0</v>
      </c>
      <c r="J362" s="141">
        <f t="shared" si="192"/>
        <v>45</v>
      </c>
      <c r="K362" s="141">
        <f>K363+K364+K365</f>
        <v>45</v>
      </c>
      <c r="L362" s="141">
        <f>L363+L364+L365</f>
        <v>0</v>
      </c>
      <c r="M362" s="141">
        <f>M363+M364+M365</f>
        <v>0</v>
      </c>
      <c r="N362" s="141">
        <f>N363+N364+N365</f>
        <v>0</v>
      </c>
      <c r="O362" s="141">
        <f t="shared" si="192"/>
        <v>0</v>
      </c>
      <c r="P362" s="141">
        <f t="shared" si="192"/>
        <v>0</v>
      </c>
      <c r="Q362" s="141">
        <f t="shared" si="192"/>
        <v>0</v>
      </c>
    </row>
    <row r="363" spans="1:17" ht="15">
      <c r="A363" s="90"/>
      <c r="B363" s="89" t="s">
        <v>279</v>
      </c>
      <c r="C363" s="47" t="s">
        <v>224</v>
      </c>
      <c r="D363" s="37">
        <v>18</v>
      </c>
      <c r="E363" s="37">
        <v>45</v>
      </c>
      <c r="F363" s="32">
        <v>13.25</v>
      </c>
      <c r="G363" s="32">
        <v>300</v>
      </c>
      <c r="H363" s="32"/>
      <c r="I363" s="37"/>
      <c r="J363" s="137">
        <v>45</v>
      </c>
      <c r="K363" s="137">
        <v>45</v>
      </c>
      <c r="L363" s="137"/>
      <c r="M363" s="137"/>
      <c r="N363" s="137"/>
      <c r="O363" s="137">
        <v>0</v>
      </c>
      <c r="P363" s="137">
        <v>0</v>
      </c>
      <c r="Q363" s="137">
        <v>0</v>
      </c>
    </row>
    <row r="364" spans="1:17" ht="1.5" customHeight="1">
      <c r="A364" s="90"/>
      <c r="B364" s="89" t="s">
        <v>227</v>
      </c>
      <c r="C364" s="47" t="s">
        <v>228</v>
      </c>
      <c r="D364" s="37"/>
      <c r="E364" s="37"/>
      <c r="F364" s="32"/>
      <c r="G364" s="32"/>
      <c r="H364" s="32"/>
      <c r="I364" s="37"/>
      <c r="J364" s="137"/>
      <c r="K364" s="137"/>
      <c r="L364" s="137"/>
      <c r="M364" s="137"/>
      <c r="N364" s="137"/>
      <c r="O364" s="137"/>
      <c r="P364" s="137"/>
      <c r="Q364" s="137"/>
    </row>
    <row r="365" spans="1:17" ht="15" hidden="1">
      <c r="A365" s="90"/>
      <c r="B365" s="89" t="s">
        <v>229</v>
      </c>
      <c r="C365" s="47" t="s">
        <v>230</v>
      </c>
      <c r="D365" s="37"/>
      <c r="E365" s="37"/>
      <c r="F365" s="32"/>
      <c r="G365" s="32"/>
      <c r="H365" s="32"/>
      <c r="I365" s="37"/>
      <c r="J365" s="137"/>
      <c r="K365" s="137"/>
      <c r="L365" s="137"/>
      <c r="M365" s="137"/>
      <c r="N365" s="137"/>
      <c r="O365" s="137"/>
      <c r="P365" s="137"/>
      <c r="Q365" s="137"/>
    </row>
    <row r="366" spans="1:17" ht="28.5">
      <c r="A366" s="90" t="s">
        <v>280</v>
      </c>
      <c r="B366" s="109" t="s">
        <v>281</v>
      </c>
      <c r="C366" s="159" t="s">
        <v>278</v>
      </c>
      <c r="D366" s="50">
        <f t="shared" ref="D366:Q366" si="193">D368</f>
        <v>20</v>
      </c>
      <c r="E366" s="50">
        <f t="shared" si="193"/>
        <v>20</v>
      </c>
      <c r="F366" s="50">
        <f t="shared" si="193"/>
        <v>20</v>
      </c>
      <c r="G366" s="50">
        <f t="shared" si="193"/>
        <v>20</v>
      </c>
      <c r="H366" s="50">
        <f t="shared" si="193"/>
        <v>0</v>
      </c>
      <c r="I366" s="50">
        <f t="shared" si="193"/>
        <v>0</v>
      </c>
      <c r="J366" s="146">
        <f t="shared" si="193"/>
        <v>20</v>
      </c>
      <c r="K366" s="146">
        <f>K368</f>
        <v>5</v>
      </c>
      <c r="L366" s="146">
        <f>L368</f>
        <v>5</v>
      </c>
      <c r="M366" s="146">
        <f>M368</f>
        <v>5</v>
      </c>
      <c r="N366" s="146">
        <f>N368</f>
        <v>5</v>
      </c>
      <c r="O366" s="146">
        <f t="shared" si="193"/>
        <v>20</v>
      </c>
      <c r="P366" s="146">
        <f t="shared" si="193"/>
        <v>20</v>
      </c>
      <c r="Q366" s="146">
        <f t="shared" si="193"/>
        <v>20</v>
      </c>
    </row>
    <row r="367" spans="1:17" ht="14.25">
      <c r="A367" s="90"/>
      <c r="B367" s="80" t="s">
        <v>179</v>
      </c>
      <c r="C367" s="159"/>
      <c r="D367" s="50">
        <f t="shared" ref="D367:Q368" si="194">D368</f>
        <v>20</v>
      </c>
      <c r="E367" s="50">
        <f t="shared" si="194"/>
        <v>20</v>
      </c>
      <c r="F367" s="50">
        <f t="shared" si="194"/>
        <v>20</v>
      </c>
      <c r="G367" s="50">
        <f t="shared" si="194"/>
        <v>20</v>
      </c>
      <c r="H367" s="50">
        <f t="shared" si="194"/>
        <v>0</v>
      </c>
      <c r="I367" s="50">
        <f t="shared" si="194"/>
        <v>0</v>
      </c>
      <c r="J367" s="146">
        <f t="shared" si="194"/>
        <v>20</v>
      </c>
      <c r="K367" s="146">
        <f t="shared" si="194"/>
        <v>5</v>
      </c>
      <c r="L367" s="146">
        <f t="shared" si="194"/>
        <v>5</v>
      </c>
      <c r="M367" s="146">
        <f t="shared" si="194"/>
        <v>5</v>
      </c>
      <c r="N367" s="146">
        <f t="shared" si="194"/>
        <v>5</v>
      </c>
      <c r="O367" s="146">
        <f t="shared" si="194"/>
        <v>20</v>
      </c>
      <c r="P367" s="146">
        <f t="shared" si="194"/>
        <v>20</v>
      </c>
      <c r="Q367" s="146">
        <f t="shared" si="194"/>
        <v>20</v>
      </c>
    </row>
    <row r="368" spans="1:17" ht="15">
      <c r="A368" s="90"/>
      <c r="B368" s="89" t="s">
        <v>180</v>
      </c>
      <c r="C368" s="47">
        <v>1</v>
      </c>
      <c r="D368" s="36">
        <f t="shared" si="194"/>
        <v>20</v>
      </c>
      <c r="E368" s="36">
        <f t="shared" si="194"/>
        <v>20</v>
      </c>
      <c r="F368" s="36">
        <f t="shared" si="194"/>
        <v>20</v>
      </c>
      <c r="G368" s="36">
        <f t="shared" si="194"/>
        <v>20</v>
      </c>
      <c r="H368" s="36">
        <f t="shared" si="194"/>
        <v>0</v>
      </c>
      <c r="I368" s="36">
        <f t="shared" si="194"/>
        <v>0</v>
      </c>
      <c r="J368" s="141">
        <f t="shared" si="194"/>
        <v>20</v>
      </c>
      <c r="K368" s="141">
        <f t="shared" si="194"/>
        <v>5</v>
      </c>
      <c r="L368" s="141">
        <f t="shared" si="194"/>
        <v>5</v>
      </c>
      <c r="M368" s="141">
        <f t="shared" si="194"/>
        <v>5</v>
      </c>
      <c r="N368" s="141">
        <f t="shared" si="194"/>
        <v>5</v>
      </c>
      <c r="O368" s="141">
        <f t="shared" si="194"/>
        <v>20</v>
      </c>
      <c r="P368" s="141">
        <f t="shared" si="194"/>
        <v>20</v>
      </c>
      <c r="Q368" s="141">
        <f t="shared" si="194"/>
        <v>20</v>
      </c>
    </row>
    <row r="369" spans="1:17" ht="15">
      <c r="A369" s="90"/>
      <c r="B369" s="89" t="s">
        <v>182</v>
      </c>
      <c r="C369" s="47">
        <v>20</v>
      </c>
      <c r="D369" s="37">
        <v>20</v>
      </c>
      <c r="E369" s="37">
        <v>20</v>
      </c>
      <c r="F369" s="32">
        <v>20</v>
      </c>
      <c r="G369" s="32">
        <v>20</v>
      </c>
      <c r="H369" s="32"/>
      <c r="I369" s="37"/>
      <c r="J369" s="137">
        <v>20</v>
      </c>
      <c r="K369" s="137">
        <v>5</v>
      </c>
      <c r="L369" s="137">
        <v>5</v>
      </c>
      <c r="M369" s="137">
        <v>5</v>
      </c>
      <c r="N369" s="137">
        <v>5</v>
      </c>
      <c r="O369" s="137">
        <v>20</v>
      </c>
      <c r="P369" s="137">
        <v>20</v>
      </c>
      <c r="Q369" s="137">
        <v>20</v>
      </c>
    </row>
    <row r="370" spans="1:17" ht="18.75" customHeight="1">
      <c r="A370" s="90">
        <v>2</v>
      </c>
      <c r="B370" s="82" t="s">
        <v>282</v>
      </c>
      <c r="C370" s="159">
        <v>61.02</v>
      </c>
      <c r="D370" s="50">
        <f t="shared" ref="D370:Q370" si="195">D371</f>
        <v>2366</v>
      </c>
      <c r="E370" s="50">
        <f t="shared" si="195"/>
        <v>839</v>
      </c>
      <c r="F370" s="50">
        <f t="shared" si="195"/>
        <v>741</v>
      </c>
      <c r="G370" s="50">
        <f t="shared" si="195"/>
        <v>1802</v>
      </c>
      <c r="H370" s="50">
        <f t="shared" si="195"/>
        <v>0</v>
      </c>
      <c r="I370" s="50">
        <f t="shared" si="195"/>
        <v>0</v>
      </c>
      <c r="J370" s="146">
        <f t="shared" si="195"/>
        <v>685</v>
      </c>
      <c r="K370" s="146">
        <f t="shared" si="195"/>
        <v>382</v>
      </c>
      <c r="L370" s="146">
        <f t="shared" si="195"/>
        <v>103</v>
      </c>
      <c r="M370" s="146">
        <f t="shared" si="195"/>
        <v>100</v>
      </c>
      <c r="N370" s="146">
        <f t="shared" si="195"/>
        <v>100</v>
      </c>
      <c r="O370" s="146">
        <f t="shared" si="195"/>
        <v>413</v>
      </c>
      <c r="P370" s="146">
        <f t="shared" si="195"/>
        <v>413</v>
      </c>
      <c r="Q370" s="146">
        <f t="shared" si="195"/>
        <v>413</v>
      </c>
    </row>
    <row r="371" spans="1:17" ht="28.5">
      <c r="A371" s="90" t="s">
        <v>242</v>
      </c>
      <c r="B371" s="109" t="s">
        <v>283</v>
      </c>
      <c r="C371" s="47" t="s">
        <v>284</v>
      </c>
      <c r="D371" s="50">
        <f t="shared" ref="D371:Q371" si="196">D372+D377</f>
        <v>2366</v>
      </c>
      <c r="E371" s="50">
        <f t="shared" si="196"/>
        <v>839</v>
      </c>
      <c r="F371" s="50">
        <f t="shared" si="196"/>
        <v>741</v>
      </c>
      <c r="G371" s="50">
        <f t="shared" si="196"/>
        <v>1802</v>
      </c>
      <c r="H371" s="50">
        <f t="shared" si="196"/>
        <v>0</v>
      </c>
      <c r="I371" s="50">
        <f t="shared" si="196"/>
        <v>0</v>
      </c>
      <c r="J371" s="146">
        <f t="shared" si="196"/>
        <v>685</v>
      </c>
      <c r="K371" s="146">
        <f>K372+K377</f>
        <v>382</v>
      </c>
      <c r="L371" s="146">
        <f>L372+L377</f>
        <v>103</v>
      </c>
      <c r="M371" s="146">
        <f>M372+M377</f>
        <v>100</v>
      </c>
      <c r="N371" s="146">
        <f>N372+N377</f>
        <v>100</v>
      </c>
      <c r="O371" s="146">
        <f t="shared" si="196"/>
        <v>413</v>
      </c>
      <c r="P371" s="146">
        <f t="shared" si="196"/>
        <v>413</v>
      </c>
      <c r="Q371" s="146">
        <f t="shared" si="196"/>
        <v>413</v>
      </c>
    </row>
    <row r="372" spans="1:17" ht="14.25">
      <c r="A372" s="90"/>
      <c r="B372" s="80" t="s">
        <v>179</v>
      </c>
      <c r="C372" s="47"/>
      <c r="D372" s="50">
        <f t="shared" ref="D372:Q372" si="197">D373</f>
        <v>530</v>
      </c>
      <c r="E372" s="50">
        <f t="shared" si="197"/>
        <v>619</v>
      </c>
      <c r="F372" s="50">
        <f t="shared" si="197"/>
        <v>521</v>
      </c>
      <c r="G372" s="50">
        <f t="shared" si="197"/>
        <v>910</v>
      </c>
      <c r="H372" s="50">
        <f t="shared" si="197"/>
        <v>0</v>
      </c>
      <c r="I372" s="50">
        <f t="shared" si="197"/>
        <v>0</v>
      </c>
      <c r="J372" s="146">
        <f t="shared" si="197"/>
        <v>408</v>
      </c>
      <c r="K372" s="146">
        <f t="shared" si="197"/>
        <v>105</v>
      </c>
      <c r="L372" s="146">
        <f t="shared" si="197"/>
        <v>103</v>
      </c>
      <c r="M372" s="146">
        <f t="shared" si="197"/>
        <v>100</v>
      </c>
      <c r="N372" s="146">
        <f t="shared" si="197"/>
        <v>100</v>
      </c>
      <c r="O372" s="146">
        <f t="shared" si="197"/>
        <v>413</v>
      </c>
      <c r="P372" s="146">
        <f t="shared" si="197"/>
        <v>413</v>
      </c>
      <c r="Q372" s="146">
        <f t="shared" si="197"/>
        <v>413</v>
      </c>
    </row>
    <row r="373" spans="1:17" ht="15">
      <c r="A373" s="90"/>
      <c r="B373" s="89" t="s">
        <v>180</v>
      </c>
      <c r="C373" s="47">
        <v>1</v>
      </c>
      <c r="D373" s="36">
        <f t="shared" ref="D373:Q373" si="198">D374+D375+D376</f>
        <v>530</v>
      </c>
      <c r="E373" s="36">
        <f t="shared" si="198"/>
        <v>619</v>
      </c>
      <c r="F373" s="36">
        <f t="shared" si="198"/>
        <v>521</v>
      </c>
      <c r="G373" s="36">
        <f t="shared" si="198"/>
        <v>910</v>
      </c>
      <c r="H373" s="36">
        <f t="shared" si="198"/>
        <v>0</v>
      </c>
      <c r="I373" s="36">
        <f t="shared" si="198"/>
        <v>0</v>
      </c>
      <c r="J373" s="141">
        <f t="shared" si="198"/>
        <v>408</v>
      </c>
      <c r="K373" s="141">
        <f>K374+K375+K376</f>
        <v>105</v>
      </c>
      <c r="L373" s="141">
        <f>L374+L375+L376</f>
        <v>103</v>
      </c>
      <c r="M373" s="141">
        <f>M374+M375+M376</f>
        <v>100</v>
      </c>
      <c r="N373" s="141">
        <f>N374+N375+N376</f>
        <v>100</v>
      </c>
      <c r="O373" s="141">
        <f t="shared" si="198"/>
        <v>413</v>
      </c>
      <c r="P373" s="141">
        <f t="shared" si="198"/>
        <v>413</v>
      </c>
      <c r="Q373" s="141">
        <f t="shared" si="198"/>
        <v>413</v>
      </c>
    </row>
    <row r="374" spans="1:17" ht="15">
      <c r="A374" s="90"/>
      <c r="B374" s="89" t="s">
        <v>181</v>
      </c>
      <c r="C374" s="47">
        <v>10</v>
      </c>
      <c r="D374" s="37">
        <v>0</v>
      </c>
      <c r="E374" s="37">
        <v>3</v>
      </c>
      <c r="F374" s="32">
        <v>3</v>
      </c>
      <c r="G374" s="32">
        <v>3</v>
      </c>
      <c r="H374" s="32"/>
      <c r="I374" s="37"/>
      <c r="J374" s="137">
        <v>3</v>
      </c>
      <c r="K374" s="137">
        <v>3</v>
      </c>
      <c r="L374" s="137"/>
      <c r="M374" s="137"/>
      <c r="N374" s="137"/>
      <c r="O374" s="137">
        <v>3</v>
      </c>
      <c r="P374" s="137">
        <v>3</v>
      </c>
      <c r="Q374" s="137">
        <v>3</v>
      </c>
    </row>
    <row r="375" spans="1:17" ht="15">
      <c r="A375" s="90"/>
      <c r="B375" s="89" t="s">
        <v>182</v>
      </c>
      <c r="C375" s="47">
        <v>20</v>
      </c>
      <c r="D375" s="37">
        <f>550-20</f>
        <v>530</v>
      </c>
      <c r="E375" s="37">
        <v>601</v>
      </c>
      <c r="F375" s="32">
        <v>503</v>
      </c>
      <c r="G375" s="32">
        <v>892</v>
      </c>
      <c r="H375" s="32"/>
      <c r="I375" s="37"/>
      <c r="J375" s="137">
        <v>400</v>
      </c>
      <c r="K375" s="137">
        <v>100</v>
      </c>
      <c r="L375" s="137">
        <v>100</v>
      </c>
      <c r="M375" s="137">
        <v>100</v>
      </c>
      <c r="N375" s="137">
        <v>100</v>
      </c>
      <c r="O375" s="137">
        <v>400</v>
      </c>
      <c r="P375" s="137">
        <v>400</v>
      </c>
      <c r="Q375" s="137">
        <v>400</v>
      </c>
    </row>
    <row r="376" spans="1:17" ht="15">
      <c r="A376" s="90"/>
      <c r="B376" s="89" t="s">
        <v>273</v>
      </c>
      <c r="C376" s="47">
        <v>59.02</v>
      </c>
      <c r="D376" s="37">
        <v>0</v>
      </c>
      <c r="E376" s="37">
        <v>15</v>
      </c>
      <c r="F376" s="32">
        <v>15</v>
      </c>
      <c r="G376" s="32">
        <v>15</v>
      </c>
      <c r="H376" s="32"/>
      <c r="I376" s="37"/>
      <c r="J376" s="137">
        <v>5</v>
      </c>
      <c r="K376" s="137">
        <v>2</v>
      </c>
      <c r="L376" s="137">
        <v>3</v>
      </c>
      <c r="M376" s="137"/>
      <c r="N376" s="137"/>
      <c r="O376" s="137">
        <v>10</v>
      </c>
      <c r="P376" s="137">
        <v>10</v>
      </c>
      <c r="Q376" s="137">
        <v>10</v>
      </c>
    </row>
    <row r="377" spans="1:17" ht="14.25">
      <c r="A377" s="90"/>
      <c r="B377" s="82" t="s">
        <v>191</v>
      </c>
      <c r="C377" s="47"/>
      <c r="D377" s="50">
        <f t="shared" ref="D377:Q377" si="199">D378</f>
        <v>1836</v>
      </c>
      <c r="E377" s="50">
        <f t="shared" si="199"/>
        <v>220</v>
      </c>
      <c r="F377" s="50">
        <f t="shared" si="199"/>
        <v>220</v>
      </c>
      <c r="G377" s="50">
        <f t="shared" si="199"/>
        <v>892</v>
      </c>
      <c r="H377" s="50">
        <f t="shared" si="199"/>
        <v>0</v>
      </c>
      <c r="I377" s="50">
        <f t="shared" si="199"/>
        <v>0</v>
      </c>
      <c r="J377" s="146">
        <f t="shared" si="199"/>
        <v>277</v>
      </c>
      <c r="K377" s="146">
        <f t="shared" si="199"/>
        <v>277</v>
      </c>
      <c r="L377" s="146">
        <f t="shared" si="199"/>
        <v>0</v>
      </c>
      <c r="M377" s="146">
        <f t="shared" si="199"/>
        <v>0</v>
      </c>
      <c r="N377" s="146">
        <f t="shared" si="199"/>
        <v>0</v>
      </c>
      <c r="O377" s="146">
        <f t="shared" si="199"/>
        <v>0</v>
      </c>
      <c r="P377" s="146">
        <f t="shared" si="199"/>
        <v>0</v>
      </c>
      <c r="Q377" s="146">
        <f t="shared" si="199"/>
        <v>0</v>
      </c>
    </row>
    <row r="378" spans="1:17" ht="15">
      <c r="A378" s="90"/>
      <c r="B378" s="89" t="s">
        <v>220</v>
      </c>
      <c r="C378" s="47">
        <v>70</v>
      </c>
      <c r="D378" s="36">
        <f t="shared" ref="D378:Q378" si="200">D379+D380</f>
        <v>1836</v>
      </c>
      <c r="E378" s="36">
        <f t="shared" si="200"/>
        <v>220</v>
      </c>
      <c r="F378" s="36">
        <f t="shared" si="200"/>
        <v>220</v>
      </c>
      <c r="G378" s="36">
        <f t="shared" si="200"/>
        <v>892</v>
      </c>
      <c r="H378" s="36">
        <f t="shared" si="200"/>
        <v>0</v>
      </c>
      <c r="I378" s="36">
        <f t="shared" si="200"/>
        <v>0</v>
      </c>
      <c r="J378" s="141">
        <f t="shared" si="200"/>
        <v>277</v>
      </c>
      <c r="K378" s="141">
        <f>K379+K380</f>
        <v>277</v>
      </c>
      <c r="L378" s="141">
        <f>L379+L380</f>
        <v>0</v>
      </c>
      <c r="M378" s="141">
        <f>M379+M380</f>
        <v>0</v>
      </c>
      <c r="N378" s="141">
        <f>N379+N380</f>
        <v>0</v>
      </c>
      <c r="O378" s="141">
        <f t="shared" si="200"/>
        <v>0</v>
      </c>
      <c r="P378" s="141">
        <f t="shared" si="200"/>
        <v>0</v>
      </c>
      <c r="Q378" s="141">
        <f t="shared" si="200"/>
        <v>0</v>
      </c>
    </row>
    <row r="379" spans="1:17" ht="15">
      <c r="A379" s="90"/>
      <c r="B379" s="89" t="s">
        <v>279</v>
      </c>
      <c r="C379" s="47" t="s">
        <v>481</v>
      </c>
      <c r="D379" s="37">
        <v>1799</v>
      </c>
      <c r="E379" s="37">
        <v>140</v>
      </c>
      <c r="F379" s="32">
        <v>140</v>
      </c>
      <c r="G379" s="32">
        <v>892</v>
      </c>
      <c r="H379" s="32"/>
      <c r="I379" s="37"/>
      <c r="J379" s="137">
        <v>0</v>
      </c>
      <c r="K379" s="137">
        <v>0</v>
      </c>
      <c r="L379" s="137">
        <v>0</v>
      </c>
      <c r="M379" s="137">
        <v>0</v>
      </c>
      <c r="N379" s="137">
        <v>0</v>
      </c>
      <c r="O379" s="137"/>
      <c r="P379" s="137"/>
      <c r="Q379" s="137"/>
    </row>
    <row r="380" spans="1:17" ht="15">
      <c r="A380" s="90"/>
      <c r="B380" s="89" t="s">
        <v>227</v>
      </c>
      <c r="C380" s="47" t="s">
        <v>228</v>
      </c>
      <c r="D380" s="37">
        <v>37</v>
      </c>
      <c r="E380" s="37">
        <v>80</v>
      </c>
      <c r="F380" s="32">
        <v>80</v>
      </c>
      <c r="G380" s="32"/>
      <c r="H380" s="32"/>
      <c r="I380" s="37"/>
      <c r="J380" s="137">
        <v>277</v>
      </c>
      <c r="K380" s="137">
        <v>277</v>
      </c>
      <c r="L380" s="137"/>
      <c r="M380" s="137"/>
      <c r="N380" s="137"/>
      <c r="O380" s="137"/>
      <c r="P380" s="137"/>
      <c r="Q380" s="137"/>
    </row>
    <row r="381" spans="1:17" ht="19.5" customHeight="1">
      <c r="A381" s="99" t="s">
        <v>9</v>
      </c>
      <c r="B381" s="101" t="s">
        <v>578</v>
      </c>
      <c r="C381" s="170">
        <v>64.02</v>
      </c>
      <c r="D381" s="58">
        <f t="shared" ref="D381:Q381" si="201">D397+D480+D523+D617</f>
        <v>247770</v>
      </c>
      <c r="E381" s="58">
        <f t="shared" si="201"/>
        <v>299447.92</v>
      </c>
      <c r="F381" s="58">
        <f t="shared" si="201"/>
        <v>289111.43999999994</v>
      </c>
      <c r="G381" s="58">
        <f t="shared" si="201"/>
        <v>426831.4</v>
      </c>
      <c r="H381" s="58">
        <f t="shared" si="201"/>
        <v>4158</v>
      </c>
      <c r="I381" s="58">
        <f t="shared" si="201"/>
        <v>23852</v>
      </c>
      <c r="J381" s="149">
        <f t="shared" si="201"/>
        <v>289806.66000000003</v>
      </c>
      <c r="K381" s="149">
        <f>K397+K480+K523+K617</f>
        <v>96578.66</v>
      </c>
      <c r="L381" s="149">
        <f>L397+L480+L523+L617</f>
        <v>80993</v>
      </c>
      <c r="M381" s="149">
        <f>M397+M480+M523+M617</f>
        <v>70936</v>
      </c>
      <c r="N381" s="149">
        <f>N397+N480+N523+N617</f>
        <v>41299</v>
      </c>
      <c r="O381" s="149">
        <f t="shared" si="201"/>
        <v>307985</v>
      </c>
      <c r="P381" s="149">
        <f t="shared" si="201"/>
        <v>312055</v>
      </c>
      <c r="Q381" s="149">
        <f t="shared" si="201"/>
        <v>306226</v>
      </c>
    </row>
    <row r="382" spans="1:17" ht="19.5" customHeight="1">
      <c r="A382" s="90"/>
      <c r="B382" s="80" t="s">
        <v>179</v>
      </c>
      <c r="C382" s="171"/>
      <c r="D382" s="50">
        <f t="shared" ref="D382:N382" si="202">D398+D482+D490+D524+D618</f>
        <v>241435</v>
      </c>
      <c r="E382" s="50">
        <f t="shared" si="202"/>
        <v>284812.92</v>
      </c>
      <c r="F382" s="50">
        <f t="shared" si="202"/>
        <v>277997.42</v>
      </c>
      <c r="G382" s="50">
        <f t="shared" si="202"/>
        <v>366014</v>
      </c>
      <c r="H382" s="50">
        <f t="shared" si="202"/>
        <v>4148</v>
      </c>
      <c r="I382" s="50">
        <f t="shared" si="202"/>
        <v>22008</v>
      </c>
      <c r="J382" s="146">
        <f t="shared" si="202"/>
        <v>271469.66000000003</v>
      </c>
      <c r="K382" s="146">
        <f t="shared" si="202"/>
        <v>78241.66</v>
      </c>
      <c r="L382" s="146">
        <f t="shared" si="202"/>
        <v>80993</v>
      </c>
      <c r="M382" s="146">
        <f t="shared" si="202"/>
        <v>70936</v>
      </c>
      <c r="N382" s="146">
        <f t="shared" si="202"/>
        <v>41299</v>
      </c>
      <c r="O382" s="146">
        <f t="shared" ref="O382:Q383" si="203">O398+O482+O490+O524+O618</f>
        <v>307700</v>
      </c>
      <c r="P382" s="146">
        <f t="shared" si="203"/>
        <v>311770</v>
      </c>
      <c r="Q382" s="146">
        <f t="shared" si="203"/>
        <v>306226</v>
      </c>
    </row>
    <row r="383" spans="1:17" ht="15">
      <c r="A383" s="90"/>
      <c r="B383" s="89" t="s">
        <v>180</v>
      </c>
      <c r="C383" s="47">
        <v>1</v>
      </c>
      <c r="D383" s="36">
        <f t="shared" ref="D383:N383" si="204">D399+D483+D491+D525+D619</f>
        <v>241435</v>
      </c>
      <c r="E383" s="36">
        <f t="shared" si="204"/>
        <v>284812.92</v>
      </c>
      <c r="F383" s="36">
        <f t="shared" si="204"/>
        <v>277997.42</v>
      </c>
      <c r="G383" s="36">
        <f t="shared" si="204"/>
        <v>366014</v>
      </c>
      <c r="H383" s="36">
        <f t="shared" si="204"/>
        <v>4148</v>
      </c>
      <c r="I383" s="36">
        <f t="shared" si="204"/>
        <v>22008</v>
      </c>
      <c r="J383" s="141">
        <f t="shared" si="204"/>
        <v>271469.66000000003</v>
      </c>
      <c r="K383" s="141">
        <f t="shared" si="204"/>
        <v>78241.66</v>
      </c>
      <c r="L383" s="141">
        <f t="shared" si="204"/>
        <v>80993</v>
      </c>
      <c r="M383" s="141">
        <f t="shared" si="204"/>
        <v>70936</v>
      </c>
      <c r="N383" s="141">
        <f t="shared" si="204"/>
        <v>41299</v>
      </c>
      <c r="O383" s="141">
        <f t="shared" si="203"/>
        <v>307700</v>
      </c>
      <c r="P383" s="141">
        <f t="shared" si="203"/>
        <v>311770</v>
      </c>
      <c r="Q383" s="141">
        <f t="shared" si="203"/>
        <v>306226</v>
      </c>
    </row>
    <row r="384" spans="1:17" ht="15">
      <c r="A384" s="90"/>
      <c r="B384" s="89" t="s">
        <v>181</v>
      </c>
      <c r="C384" s="47">
        <v>10</v>
      </c>
      <c r="D384" s="36">
        <f t="shared" ref="D384:Q384" si="205">D400+D620</f>
        <v>60699</v>
      </c>
      <c r="E384" s="36">
        <f t="shared" si="205"/>
        <v>90692</v>
      </c>
      <c r="F384" s="36">
        <f t="shared" si="205"/>
        <v>94762.880000000005</v>
      </c>
      <c r="G384" s="36">
        <f t="shared" si="205"/>
        <v>97674</v>
      </c>
      <c r="H384" s="36">
        <f t="shared" si="205"/>
        <v>1296</v>
      </c>
      <c r="I384" s="36">
        <f t="shared" si="205"/>
        <v>5800</v>
      </c>
      <c r="J384" s="141">
        <f t="shared" si="205"/>
        <v>54712.66</v>
      </c>
      <c r="K384" s="141">
        <f>K400+K620</f>
        <v>23722.659999999996</v>
      </c>
      <c r="L384" s="141">
        <f>L400+L620</f>
        <v>21970</v>
      </c>
      <c r="M384" s="141">
        <f>M400+M620</f>
        <v>7770</v>
      </c>
      <c r="N384" s="141">
        <f>N400+N620</f>
        <v>1250</v>
      </c>
      <c r="O384" s="141">
        <f t="shared" si="205"/>
        <v>74562</v>
      </c>
      <c r="P384" s="141">
        <f t="shared" si="205"/>
        <v>76624</v>
      </c>
      <c r="Q384" s="141">
        <f t="shared" si="205"/>
        <v>70018</v>
      </c>
    </row>
    <row r="385" spans="1:17" ht="15">
      <c r="A385" s="90"/>
      <c r="B385" s="89" t="s">
        <v>182</v>
      </c>
      <c r="C385" s="47">
        <v>20</v>
      </c>
      <c r="D385" s="36">
        <f t="shared" ref="D385:Q385" si="206">D401+D526+D621</f>
        <v>17991</v>
      </c>
      <c r="E385" s="36">
        <f t="shared" si="206"/>
        <v>19648</v>
      </c>
      <c r="F385" s="36">
        <f t="shared" si="206"/>
        <v>19716.89</v>
      </c>
      <c r="G385" s="36">
        <f t="shared" si="206"/>
        <v>21485</v>
      </c>
      <c r="H385" s="36">
        <f t="shared" si="206"/>
        <v>100</v>
      </c>
      <c r="I385" s="36">
        <f t="shared" si="206"/>
        <v>700</v>
      </c>
      <c r="J385" s="141">
        <f t="shared" si="206"/>
        <v>15229</v>
      </c>
      <c r="K385" s="141">
        <f>K401+K526+K621</f>
        <v>4693</v>
      </c>
      <c r="L385" s="141">
        <f>L401+L526+L621</f>
        <v>4467</v>
      </c>
      <c r="M385" s="141">
        <f>M401+M526+M621</f>
        <v>3792</v>
      </c>
      <c r="N385" s="141">
        <f>N401+N526+N621</f>
        <v>2277</v>
      </c>
      <c r="O385" s="141">
        <f t="shared" si="206"/>
        <v>18308</v>
      </c>
      <c r="P385" s="141">
        <f t="shared" si="206"/>
        <v>18337</v>
      </c>
      <c r="Q385" s="141">
        <f t="shared" si="206"/>
        <v>18363</v>
      </c>
    </row>
    <row r="386" spans="1:17" ht="15">
      <c r="A386" s="90"/>
      <c r="B386" s="89" t="s">
        <v>285</v>
      </c>
      <c r="C386" s="47">
        <v>51</v>
      </c>
      <c r="D386" s="36">
        <f t="shared" ref="D386:Q386" si="207">D484+D492+D527+D622+D402</f>
        <v>43558</v>
      </c>
      <c r="E386" s="36">
        <f t="shared" si="207"/>
        <v>49694.92</v>
      </c>
      <c r="F386" s="36">
        <f t="shared" si="207"/>
        <v>41697.65</v>
      </c>
      <c r="G386" s="36">
        <f t="shared" si="207"/>
        <v>70810</v>
      </c>
      <c r="H386" s="36">
        <f t="shared" si="207"/>
        <v>250</v>
      </c>
      <c r="I386" s="36">
        <f t="shared" si="207"/>
        <v>1290</v>
      </c>
      <c r="J386" s="141">
        <f t="shared" si="207"/>
        <v>42427</v>
      </c>
      <c r="K386" s="141">
        <f>K484+K492+K527+K622+K402</f>
        <v>12251</v>
      </c>
      <c r="L386" s="141">
        <f>L484+L492+L527+L622+L402</f>
        <v>12035</v>
      </c>
      <c r="M386" s="141">
        <f>M484+M492+M527+M622+M402</f>
        <v>10550</v>
      </c>
      <c r="N386" s="141">
        <f>N484+N492+N527+N622+N402</f>
        <v>7591</v>
      </c>
      <c r="O386" s="141">
        <f t="shared" si="207"/>
        <v>48880</v>
      </c>
      <c r="P386" s="141">
        <f t="shared" si="207"/>
        <v>48885</v>
      </c>
      <c r="Q386" s="141">
        <f t="shared" si="207"/>
        <v>48890</v>
      </c>
    </row>
    <row r="387" spans="1:17" ht="15">
      <c r="A387" s="90"/>
      <c r="B387" s="89" t="s">
        <v>187</v>
      </c>
      <c r="C387" s="47">
        <v>57</v>
      </c>
      <c r="D387" s="36">
        <f t="shared" ref="D387:Q387" si="208">D403+D623</f>
        <v>108871</v>
      </c>
      <c r="E387" s="36">
        <f t="shared" si="208"/>
        <v>112176</v>
      </c>
      <c r="F387" s="36">
        <f t="shared" si="208"/>
        <v>109218</v>
      </c>
      <c r="G387" s="36">
        <f t="shared" si="208"/>
        <v>163202</v>
      </c>
      <c r="H387" s="36">
        <f t="shared" si="208"/>
        <v>0</v>
      </c>
      <c r="I387" s="36">
        <f t="shared" si="208"/>
        <v>1616</v>
      </c>
      <c r="J387" s="141">
        <f t="shared" si="208"/>
        <v>145279</v>
      </c>
      <c r="K387" s="141">
        <f>K403+K623</f>
        <v>34025</v>
      </c>
      <c r="L387" s="141">
        <f>L403+L623</f>
        <v>38871</v>
      </c>
      <c r="M387" s="141">
        <f>M403+M623</f>
        <v>45224</v>
      </c>
      <c r="N387" s="141">
        <f>N403+N623</f>
        <v>27159</v>
      </c>
      <c r="O387" s="141">
        <f t="shared" si="208"/>
        <v>152150</v>
      </c>
      <c r="P387" s="141">
        <f t="shared" si="208"/>
        <v>154124</v>
      </c>
      <c r="Q387" s="141">
        <f t="shared" si="208"/>
        <v>155155</v>
      </c>
    </row>
    <row r="388" spans="1:17" ht="15">
      <c r="A388" s="90"/>
      <c r="B388" s="89" t="s">
        <v>188</v>
      </c>
      <c r="C388" s="47">
        <v>59</v>
      </c>
      <c r="D388" s="36">
        <f t="shared" ref="D388:Q388" si="209">D528+D624</f>
        <v>10316</v>
      </c>
      <c r="E388" s="36">
        <f t="shared" si="209"/>
        <v>12602</v>
      </c>
      <c r="F388" s="36">
        <f t="shared" si="209"/>
        <v>12602</v>
      </c>
      <c r="G388" s="36">
        <f t="shared" si="209"/>
        <v>12750</v>
      </c>
      <c r="H388" s="36">
        <f t="shared" si="209"/>
        <v>2502</v>
      </c>
      <c r="I388" s="36">
        <f t="shared" si="209"/>
        <v>12602</v>
      </c>
      <c r="J388" s="141">
        <f t="shared" si="209"/>
        <v>13822</v>
      </c>
      <c r="K388" s="141">
        <f>K528+K624</f>
        <v>3550</v>
      </c>
      <c r="L388" s="141">
        <f>L528+L624</f>
        <v>3650</v>
      </c>
      <c r="M388" s="141">
        <f>M528+M624</f>
        <v>3600</v>
      </c>
      <c r="N388" s="141">
        <f>N528+N624</f>
        <v>3022</v>
      </c>
      <c r="O388" s="141">
        <f t="shared" si="209"/>
        <v>13800</v>
      </c>
      <c r="P388" s="141">
        <f t="shared" si="209"/>
        <v>13800</v>
      </c>
      <c r="Q388" s="141">
        <f t="shared" si="209"/>
        <v>13800</v>
      </c>
    </row>
    <row r="389" spans="1:17" ht="15" hidden="1">
      <c r="A389" s="90"/>
      <c r="B389" s="89" t="s">
        <v>190</v>
      </c>
      <c r="C389" s="159" t="s">
        <v>286</v>
      </c>
      <c r="D389" s="36"/>
      <c r="E389" s="36"/>
      <c r="F389" s="36"/>
      <c r="G389" s="36"/>
      <c r="H389" s="36"/>
      <c r="I389" s="36"/>
      <c r="J389" s="141"/>
      <c r="K389" s="141"/>
      <c r="L389" s="141"/>
      <c r="M389" s="141"/>
      <c r="N389" s="141"/>
      <c r="O389" s="141"/>
      <c r="P389" s="141"/>
      <c r="Q389" s="141"/>
    </row>
    <row r="390" spans="1:17" ht="14.25">
      <c r="A390" s="90"/>
      <c r="B390" s="82" t="s">
        <v>191</v>
      </c>
      <c r="C390" s="47"/>
      <c r="D390" s="50">
        <f t="shared" ref="D390:Q390" si="210">D404+D486+D530+D625</f>
        <v>6335</v>
      </c>
      <c r="E390" s="50">
        <f t="shared" si="210"/>
        <v>14635</v>
      </c>
      <c r="F390" s="50">
        <f t="shared" si="210"/>
        <v>11114.02</v>
      </c>
      <c r="G390" s="50">
        <f t="shared" si="210"/>
        <v>60817.4</v>
      </c>
      <c r="H390" s="50">
        <f t="shared" si="210"/>
        <v>10</v>
      </c>
      <c r="I390" s="50">
        <f t="shared" si="210"/>
        <v>1844</v>
      </c>
      <c r="J390" s="146">
        <f t="shared" si="210"/>
        <v>18337</v>
      </c>
      <c r="K390" s="146">
        <f>K404+K486+K530+K625</f>
        <v>18337</v>
      </c>
      <c r="L390" s="146">
        <f>L404+L486+L530+L625</f>
        <v>0</v>
      </c>
      <c r="M390" s="146">
        <f>M404+M486+M530+M625</f>
        <v>0</v>
      </c>
      <c r="N390" s="146">
        <f>N404+N486+N530+N625</f>
        <v>0</v>
      </c>
      <c r="O390" s="146">
        <f t="shared" si="210"/>
        <v>285</v>
      </c>
      <c r="P390" s="146">
        <f t="shared" si="210"/>
        <v>285</v>
      </c>
      <c r="Q390" s="146">
        <f t="shared" si="210"/>
        <v>0</v>
      </c>
    </row>
    <row r="391" spans="1:17" ht="15">
      <c r="A391" s="90"/>
      <c r="B391" s="89" t="s">
        <v>287</v>
      </c>
      <c r="C391" s="47" t="s">
        <v>194</v>
      </c>
      <c r="D391" s="36">
        <f t="shared" ref="D391:Q392" si="211">D487</f>
        <v>3607</v>
      </c>
      <c r="E391" s="36">
        <f t="shared" si="211"/>
        <v>5658</v>
      </c>
      <c r="F391" s="36">
        <f t="shared" si="211"/>
        <v>5658</v>
      </c>
      <c r="G391" s="36">
        <f t="shared" si="211"/>
        <v>47823</v>
      </c>
      <c r="H391" s="36">
        <f t="shared" si="211"/>
        <v>0</v>
      </c>
      <c r="I391" s="36">
        <f t="shared" si="211"/>
        <v>0</v>
      </c>
      <c r="J391" s="141">
        <f t="shared" si="211"/>
        <v>9891</v>
      </c>
      <c r="K391" s="141">
        <f t="shared" ref="K391:N392" si="212">K487</f>
        <v>9891</v>
      </c>
      <c r="L391" s="141">
        <f t="shared" si="212"/>
        <v>0</v>
      </c>
      <c r="M391" s="141">
        <f t="shared" si="212"/>
        <v>0</v>
      </c>
      <c r="N391" s="141">
        <f t="shared" si="212"/>
        <v>0</v>
      </c>
      <c r="O391" s="141">
        <f t="shared" si="211"/>
        <v>0</v>
      </c>
      <c r="P391" s="141">
        <f t="shared" si="211"/>
        <v>0</v>
      </c>
      <c r="Q391" s="141">
        <f t="shared" si="211"/>
        <v>0</v>
      </c>
    </row>
    <row r="392" spans="1:17" ht="16.5" hidden="1" customHeight="1">
      <c r="A392" s="90"/>
      <c r="B392" s="89" t="s">
        <v>195</v>
      </c>
      <c r="C392" s="47" t="s">
        <v>196</v>
      </c>
      <c r="D392" s="36">
        <f t="shared" si="211"/>
        <v>0</v>
      </c>
      <c r="E392" s="36">
        <f t="shared" si="211"/>
        <v>0</v>
      </c>
      <c r="F392" s="36">
        <f t="shared" si="211"/>
        <v>0</v>
      </c>
      <c r="G392" s="36">
        <f t="shared" si="211"/>
        <v>0</v>
      </c>
      <c r="H392" s="36">
        <f t="shared" si="211"/>
        <v>0</v>
      </c>
      <c r="I392" s="36">
        <f t="shared" si="211"/>
        <v>0</v>
      </c>
      <c r="J392" s="141">
        <f t="shared" si="211"/>
        <v>0</v>
      </c>
      <c r="K392" s="141">
        <f t="shared" si="212"/>
        <v>0</v>
      </c>
      <c r="L392" s="141">
        <f t="shared" si="212"/>
        <v>0</v>
      </c>
      <c r="M392" s="141">
        <f t="shared" si="212"/>
        <v>0</v>
      </c>
      <c r="N392" s="141">
        <f t="shared" si="212"/>
        <v>0</v>
      </c>
      <c r="O392" s="141">
        <f t="shared" si="211"/>
        <v>0</v>
      </c>
      <c r="P392" s="141">
        <f t="shared" si="211"/>
        <v>0</v>
      </c>
      <c r="Q392" s="141">
        <f t="shared" si="211"/>
        <v>0</v>
      </c>
    </row>
    <row r="393" spans="1:17" ht="15">
      <c r="A393" s="90"/>
      <c r="B393" s="89" t="s">
        <v>197</v>
      </c>
      <c r="C393" s="47" t="s">
        <v>198</v>
      </c>
      <c r="D393" s="36">
        <f t="shared" ref="D393:Q393" si="213">D531+D626</f>
        <v>1102</v>
      </c>
      <c r="E393" s="36">
        <f t="shared" si="213"/>
        <v>5703</v>
      </c>
      <c r="F393" s="36">
        <f t="shared" si="213"/>
        <v>2295.94</v>
      </c>
      <c r="G393" s="36">
        <f t="shared" si="213"/>
        <v>8606.4</v>
      </c>
      <c r="H393" s="36">
        <f t="shared" si="213"/>
        <v>0</v>
      </c>
      <c r="I393" s="36">
        <f t="shared" si="213"/>
        <v>1031</v>
      </c>
      <c r="J393" s="141">
        <f t="shared" si="213"/>
        <v>6229</v>
      </c>
      <c r="K393" s="141">
        <f>K531+K626</f>
        <v>6229</v>
      </c>
      <c r="L393" s="141">
        <f>L531+L626</f>
        <v>0</v>
      </c>
      <c r="M393" s="141">
        <f>M531+M626</f>
        <v>0</v>
      </c>
      <c r="N393" s="141">
        <f>N531+N626</f>
        <v>0</v>
      </c>
      <c r="O393" s="141">
        <f t="shared" si="213"/>
        <v>85</v>
      </c>
      <c r="P393" s="141">
        <f t="shared" si="213"/>
        <v>85</v>
      </c>
      <c r="Q393" s="141">
        <f t="shared" si="213"/>
        <v>0</v>
      </c>
    </row>
    <row r="394" spans="1:17" ht="15" hidden="1">
      <c r="A394" s="90"/>
      <c r="B394" s="89" t="s">
        <v>288</v>
      </c>
      <c r="C394" s="47">
        <v>55</v>
      </c>
      <c r="D394" s="36">
        <f t="shared" ref="D394:Q394" si="214">D611</f>
        <v>0</v>
      </c>
      <c r="E394" s="36">
        <f t="shared" si="214"/>
        <v>0</v>
      </c>
      <c r="F394" s="36">
        <f t="shared" si="214"/>
        <v>0</v>
      </c>
      <c r="G394" s="36">
        <f t="shared" si="214"/>
        <v>0</v>
      </c>
      <c r="H394" s="36">
        <f t="shared" si="214"/>
        <v>0</v>
      </c>
      <c r="I394" s="36">
        <f t="shared" si="214"/>
        <v>0</v>
      </c>
      <c r="J394" s="141">
        <f t="shared" si="214"/>
        <v>0</v>
      </c>
      <c r="K394" s="141">
        <f>K611</f>
        <v>0</v>
      </c>
      <c r="L394" s="141">
        <f>L611</f>
        <v>0</v>
      </c>
      <c r="M394" s="141">
        <f>M611</f>
        <v>0</v>
      </c>
      <c r="N394" s="141">
        <f>N611</f>
        <v>0</v>
      </c>
      <c r="O394" s="141">
        <f t="shared" si="214"/>
        <v>0</v>
      </c>
      <c r="P394" s="141">
        <f t="shared" si="214"/>
        <v>0</v>
      </c>
      <c r="Q394" s="141">
        <f t="shared" si="214"/>
        <v>0</v>
      </c>
    </row>
    <row r="395" spans="1:17" ht="14.25">
      <c r="A395" s="90"/>
      <c r="B395" s="82" t="s">
        <v>200</v>
      </c>
      <c r="C395" s="47">
        <v>56</v>
      </c>
      <c r="D395" s="36">
        <f t="shared" ref="D395:Q395" si="215">D405+D533+D627</f>
        <v>428</v>
      </c>
      <c r="E395" s="36">
        <f t="shared" si="215"/>
        <v>460</v>
      </c>
      <c r="F395" s="36">
        <f t="shared" si="215"/>
        <v>429</v>
      </c>
      <c r="G395" s="36">
        <f t="shared" si="215"/>
        <v>450</v>
      </c>
      <c r="H395" s="36">
        <f t="shared" si="215"/>
        <v>10</v>
      </c>
      <c r="I395" s="36">
        <f t="shared" si="215"/>
        <v>460</v>
      </c>
      <c r="J395" s="141">
        <f t="shared" si="215"/>
        <v>460</v>
      </c>
      <c r="K395" s="141">
        <f>K405+K533+K627</f>
        <v>460</v>
      </c>
      <c r="L395" s="141">
        <f>L405+L533+L627</f>
        <v>0</v>
      </c>
      <c r="M395" s="141">
        <f>M405+M533+M627</f>
        <v>0</v>
      </c>
      <c r="N395" s="141">
        <f>N405+N533+N627</f>
        <v>0</v>
      </c>
      <c r="O395" s="141">
        <f t="shared" si="215"/>
        <v>200</v>
      </c>
      <c r="P395" s="141">
        <f t="shared" si="215"/>
        <v>200</v>
      </c>
      <c r="Q395" s="141">
        <f t="shared" si="215"/>
        <v>0</v>
      </c>
    </row>
    <row r="396" spans="1:17" ht="15">
      <c r="A396" s="90"/>
      <c r="B396" s="89" t="s">
        <v>220</v>
      </c>
      <c r="C396" s="47">
        <v>70</v>
      </c>
      <c r="D396" s="36">
        <f t="shared" ref="D396:Q396" si="216">D406+D628</f>
        <v>1198</v>
      </c>
      <c r="E396" s="36">
        <f t="shared" si="216"/>
        <v>2814</v>
      </c>
      <c r="F396" s="36">
        <f t="shared" si="216"/>
        <v>2731.08</v>
      </c>
      <c r="G396" s="36">
        <f t="shared" si="216"/>
        <v>3938</v>
      </c>
      <c r="H396" s="36">
        <f t="shared" si="216"/>
        <v>0</v>
      </c>
      <c r="I396" s="36">
        <f t="shared" si="216"/>
        <v>353</v>
      </c>
      <c r="J396" s="141">
        <f t="shared" si="216"/>
        <v>1757</v>
      </c>
      <c r="K396" s="141">
        <f>K406+K628</f>
        <v>1757</v>
      </c>
      <c r="L396" s="141">
        <f>L406+L628</f>
        <v>0</v>
      </c>
      <c r="M396" s="141">
        <f>M406+M628</f>
        <v>0</v>
      </c>
      <c r="N396" s="141">
        <f>N406+N628</f>
        <v>0</v>
      </c>
      <c r="O396" s="141">
        <f t="shared" si="216"/>
        <v>0</v>
      </c>
      <c r="P396" s="141">
        <f t="shared" si="216"/>
        <v>0</v>
      </c>
      <c r="Q396" s="141">
        <f t="shared" si="216"/>
        <v>0</v>
      </c>
    </row>
    <row r="397" spans="1:17" ht="14.25">
      <c r="A397" s="99">
        <v>1</v>
      </c>
      <c r="B397" s="103" t="s">
        <v>289</v>
      </c>
      <c r="C397" s="166" t="s">
        <v>290</v>
      </c>
      <c r="D397" s="50">
        <f t="shared" ref="D397:Q399" si="217">D407+D467</f>
        <v>31455</v>
      </c>
      <c r="E397" s="50">
        <f t="shared" si="217"/>
        <v>39819</v>
      </c>
      <c r="F397" s="50">
        <f t="shared" si="217"/>
        <v>28751.239999999998</v>
      </c>
      <c r="G397" s="50">
        <f t="shared" si="217"/>
        <v>16188</v>
      </c>
      <c r="H397" s="50">
        <f t="shared" si="217"/>
        <v>1296</v>
      </c>
      <c r="I397" s="50">
        <f t="shared" si="217"/>
        <v>7606</v>
      </c>
      <c r="J397" s="146">
        <f t="shared" si="217"/>
        <v>11940</v>
      </c>
      <c r="K397" s="146">
        <f t="shared" ref="K397:N399" si="218">K407+K467</f>
        <v>2200</v>
      </c>
      <c r="L397" s="146">
        <f t="shared" si="218"/>
        <v>3555</v>
      </c>
      <c r="M397" s="146">
        <f t="shared" si="218"/>
        <v>2500</v>
      </c>
      <c r="N397" s="146">
        <f t="shared" si="218"/>
        <v>3685</v>
      </c>
      <c r="O397" s="146">
        <f t="shared" si="217"/>
        <v>15658</v>
      </c>
      <c r="P397" s="146">
        <f t="shared" si="217"/>
        <v>15661</v>
      </c>
      <c r="Q397" s="146">
        <f t="shared" si="217"/>
        <v>15718</v>
      </c>
    </row>
    <row r="398" spans="1:17" ht="14.25">
      <c r="A398" s="90"/>
      <c r="B398" s="80" t="s">
        <v>179</v>
      </c>
      <c r="C398" s="159"/>
      <c r="D398" s="50">
        <f t="shared" si="217"/>
        <v>30933</v>
      </c>
      <c r="E398" s="50">
        <f t="shared" si="217"/>
        <v>39629</v>
      </c>
      <c r="F398" s="50">
        <f t="shared" si="217"/>
        <v>28573.159999999996</v>
      </c>
      <c r="G398" s="50">
        <f t="shared" si="217"/>
        <v>16084</v>
      </c>
      <c r="H398" s="50">
        <f t="shared" si="217"/>
        <v>1296</v>
      </c>
      <c r="I398" s="50">
        <f t="shared" si="217"/>
        <v>7416</v>
      </c>
      <c r="J398" s="146">
        <f t="shared" si="217"/>
        <v>11940</v>
      </c>
      <c r="K398" s="146">
        <f t="shared" si="218"/>
        <v>2200</v>
      </c>
      <c r="L398" s="146">
        <f t="shared" si="218"/>
        <v>3555</v>
      </c>
      <c r="M398" s="146">
        <f t="shared" si="218"/>
        <v>2500</v>
      </c>
      <c r="N398" s="146">
        <f t="shared" si="218"/>
        <v>3685</v>
      </c>
      <c r="O398" s="146">
        <f t="shared" si="217"/>
        <v>15658</v>
      </c>
      <c r="P398" s="146">
        <f t="shared" si="217"/>
        <v>15661</v>
      </c>
      <c r="Q398" s="146">
        <f t="shared" si="217"/>
        <v>15718</v>
      </c>
    </row>
    <row r="399" spans="1:17" ht="15">
      <c r="A399" s="90"/>
      <c r="B399" s="89" t="s">
        <v>180</v>
      </c>
      <c r="C399" s="47">
        <v>1</v>
      </c>
      <c r="D399" s="50">
        <f t="shared" si="217"/>
        <v>30933</v>
      </c>
      <c r="E399" s="50">
        <f t="shared" si="217"/>
        <v>39629</v>
      </c>
      <c r="F399" s="50">
        <f t="shared" si="217"/>
        <v>28573.159999999996</v>
      </c>
      <c r="G399" s="50">
        <f t="shared" si="217"/>
        <v>16084</v>
      </c>
      <c r="H399" s="50">
        <f t="shared" si="217"/>
        <v>1296</v>
      </c>
      <c r="I399" s="50">
        <f t="shared" si="217"/>
        <v>7416</v>
      </c>
      <c r="J399" s="146">
        <f t="shared" si="217"/>
        <v>11940</v>
      </c>
      <c r="K399" s="146">
        <f t="shared" si="218"/>
        <v>2200</v>
      </c>
      <c r="L399" s="146">
        <f t="shared" si="218"/>
        <v>3555</v>
      </c>
      <c r="M399" s="146">
        <f t="shared" si="218"/>
        <v>2500</v>
      </c>
      <c r="N399" s="146">
        <f t="shared" si="218"/>
        <v>3685</v>
      </c>
      <c r="O399" s="146">
        <f t="shared" si="217"/>
        <v>15658</v>
      </c>
      <c r="P399" s="146">
        <f t="shared" si="217"/>
        <v>15661</v>
      </c>
      <c r="Q399" s="146">
        <f t="shared" si="217"/>
        <v>15718</v>
      </c>
    </row>
    <row r="400" spans="1:17" ht="15">
      <c r="A400" s="90"/>
      <c r="B400" s="89" t="s">
        <v>181</v>
      </c>
      <c r="C400" s="47">
        <v>10</v>
      </c>
      <c r="D400" s="50">
        <f t="shared" ref="D400:Q400" si="219">D410</f>
        <v>15840</v>
      </c>
      <c r="E400" s="50">
        <f t="shared" si="219"/>
        <v>21395</v>
      </c>
      <c r="F400" s="50">
        <f t="shared" si="219"/>
        <v>20663.650000000001</v>
      </c>
      <c r="G400" s="50">
        <f t="shared" si="219"/>
        <v>3910</v>
      </c>
      <c r="H400" s="50">
        <f t="shared" si="219"/>
        <v>1296</v>
      </c>
      <c r="I400" s="50">
        <f t="shared" si="219"/>
        <v>5800</v>
      </c>
      <c r="J400" s="146">
        <f t="shared" si="219"/>
        <v>0</v>
      </c>
      <c r="K400" s="146">
        <f>K410</f>
        <v>0</v>
      </c>
      <c r="L400" s="146">
        <f>L410</f>
        <v>0</v>
      </c>
      <c r="M400" s="146">
        <f>M410</f>
        <v>0</v>
      </c>
      <c r="N400" s="146">
        <f>N410</f>
        <v>0</v>
      </c>
      <c r="O400" s="146">
        <f t="shared" si="219"/>
        <v>0</v>
      </c>
      <c r="P400" s="146">
        <f t="shared" si="219"/>
        <v>0</v>
      </c>
      <c r="Q400" s="146">
        <f t="shared" si="219"/>
        <v>0</v>
      </c>
    </row>
    <row r="401" spans="1:17" ht="15">
      <c r="A401" s="90"/>
      <c r="B401" s="89" t="s">
        <v>182</v>
      </c>
      <c r="C401" s="47">
        <v>20</v>
      </c>
      <c r="D401" s="50">
        <f t="shared" ref="D401:N401" si="220">D412</f>
        <v>2531</v>
      </c>
      <c r="E401" s="50">
        <f t="shared" si="220"/>
        <v>2300</v>
      </c>
      <c r="F401" s="50">
        <f t="shared" si="220"/>
        <v>2238.5100000000002</v>
      </c>
      <c r="G401" s="50">
        <f t="shared" si="220"/>
        <v>2395</v>
      </c>
      <c r="H401" s="50">
        <f t="shared" si="220"/>
        <v>0</v>
      </c>
      <c r="I401" s="50">
        <f t="shared" si="220"/>
        <v>0</v>
      </c>
      <c r="J401" s="146">
        <f t="shared" si="220"/>
        <v>2079</v>
      </c>
      <c r="K401" s="146">
        <f t="shared" si="220"/>
        <v>443</v>
      </c>
      <c r="L401" s="146">
        <f t="shared" si="220"/>
        <v>531</v>
      </c>
      <c r="M401" s="146">
        <f t="shared" si="220"/>
        <v>512</v>
      </c>
      <c r="N401" s="146">
        <f t="shared" si="220"/>
        <v>593</v>
      </c>
      <c r="O401" s="146">
        <f>O412</f>
        <v>2108</v>
      </c>
      <c r="P401" s="146">
        <f>P412</f>
        <v>2137</v>
      </c>
      <c r="Q401" s="146">
        <f>Q412</f>
        <v>2163</v>
      </c>
    </row>
    <row r="402" spans="1:17" ht="15">
      <c r="A402" s="90"/>
      <c r="B402" s="89" t="s">
        <v>185</v>
      </c>
      <c r="C402" s="47">
        <v>51</v>
      </c>
      <c r="D402" s="50">
        <f t="shared" ref="D402:Q402" si="221">D470</f>
        <v>3359</v>
      </c>
      <c r="E402" s="50">
        <f t="shared" si="221"/>
        <v>0</v>
      </c>
      <c r="F402" s="50">
        <f t="shared" si="221"/>
        <v>0</v>
      </c>
      <c r="G402" s="50">
        <f t="shared" si="221"/>
        <v>0</v>
      </c>
      <c r="H402" s="50">
        <f t="shared" si="221"/>
        <v>0</v>
      </c>
      <c r="I402" s="50">
        <f t="shared" si="221"/>
        <v>0</v>
      </c>
      <c r="J402" s="146">
        <f t="shared" si="221"/>
        <v>0</v>
      </c>
      <c r="K402" s="146">
        <f>K470</f>
        <v>0</v>
      </c>
      <c r="L402" s="146">
        <f>L470</f>
        <v>0</v>
      </c>
      <c r="M402" s="146">
        <f>M470</f>
        <v>0</v>
      </c>
      <c r="N402" s="146">
        <f>N470</f>
        <v>0</v>
      </c>
      <c r="O402" s="146">
        <f t="shared" si="221"/>
        <v>0</v>
      </c>
      <c r="P402" s="146">
        <f t="shared" si="221"/>
        <v>0</v>
      </c>
      <c r="Q402" s="146">
        <f t="shared" si="221"/>
        <v>0</v>
      </c>
    </row>
    <row r="403" spans="1:17" ht="15">
      <c r="A403" s="90"/>
      <c r="B403" s="89" t="s">
        <v>187</v>
      </c>
      <c r="C403" s="47">
        <v>57</v>
      </c>
      <c r="D403" s="50">
        <f t="shared" ref="D403:Q403" si="222">D413+D471</f>
        <v>9203</v>
      </c>
      <c r="E403" s="50">
        <f t="shared" si="222"/>
        <v>15934</v>
      </c>
      <c r="F403" s="50">
        <f t="shared" si="222"/>
        <v>5671</v>
      </c>
      <c r="G403" s="50">
        <f t="shared" si="222"/>
        <v>9686</v>
      </c>
      <c r="H403" s="50">
        <f t="shared" si="222"/>
        <v>0</v>
      </c>
      <c r="I403" s="50">
        <f t="shared" si="222"/>
        <v>1616</v>
      </c>
      <c r="J403" s="146">
        <f t="shared" si="222"/>
        <v>9861</v>
      </c>
      <c r="K403" s="146">
        <f>K413+K471</f>
        <v>1757</v>
      </c>
      <c r="L403" s="146">
        <f>L413+L471</f>
        <v>3024</v>
      </c>
      <c r="M403" s="146">
        <f>M413+M471</f>
        <v>1988</v>
      </c>
      <c r="N403" s="146">
        <f>N413+N471</f>
        <v>3092</v>
      </c>
      <c r="O403" s="146">
        <f t="shared" si="222"/>
        <v>13550</v>
      </c>
      <c r="P403" s="146">
        <f t="shared" si="222"/>
        <v>13524</v>
      </c>
      <c r="Q403" s="146">
        <f t="shared" si="222"/>
        <v>13555</v>
      </c>
    </row>
    <row r="404" spans="1:17" ht="14.25">
      <c r="A404" s="90"/>
      <c r="B404" s="82" t="s">
        <v>191</v>
      </c>
      <c r="C404" s="47"/>
      <c r="D404" s="50">
        <f t="shared" ref="D404:Q406" si="223">D414</f>
        <v>522</v>
      </c>
      <c r="E404" s="50">
        <f t="shared" si="223"/>
        <v>190</v>
      </c>
      <c r="F404" s="50">
        <f t="shared" si="223"/>
        <v>178.08</v>
      </c>
      <c r="G404" s="50">
        <f t="shared" si="223"/>
        <v>104</v>
      </c>
      <c r="H404" s="50">
        <f t="shared" si="223"/>
        <v>0</v>
      </c>
      <c r="I404" s="50">
        <f t="shared" si="223"/>
        <v>190</v>
      </c>
      <c r="J404" s="146">
        <f t="shared" si="223"/>
        <v>0</v>
      </c>
      <c r="K404" s="146">
        <f t="shared" ref="K404:N406" si="224">K414</f>
        <v>0</v>
      </c>
      <c r="L404" s="146">
        <f t="shared" si="224"/>
        <v>0</v>
      </c>
      <c r="M404" s="146">
        <f t="shared" si="224"/>
        <v>0</v>
      </c>
      <c r="N404" s="146">
        <f t="shared" si="224"/>
        <v>0</v>
      </c>
      <c r="O404" s="146">
        <f t="shared" si="223"/>
        <v>0</v>
      </c>
      <c r="P404" s="146">
        <f t="shared" si="223"/>
        <v>0</v>
      </c>
      <c r="Q404" s="146">
        <f t="shared" si="223"/>
        <v>0</v>
      </c>
    </row>
    <row r="405" spans="1:17" ht="13.5" customHeight="1">
      <c r="A405" s="90"/>
      <c r="B405" s="82" t="s">
        <v>200</v>
      </c>
      <c r="C405" s="47">
        <v>56</v>
      </c>
      <c r="D405" s="50">
        <f t="shared" si="223"/>
        <v>1</v>
      </c>
      <c r="E405" s="50">
        <f t="shared" si="223"/>
        <v>0</v>
      </c>
      <c r="F405" s="50">
        <f t="shared" si="223"/>
        <v>0</v>
      </c>
      <c r="G405" s="50">
        <f t="shared" si="223"/>
        <v>0</v>
      </c>
      <c r="H405" s="50">
        <f t="shared" si="223"/>
        <v>0</v>
      </c>
      <c r="I405" s="50">
        <f t="shared" si="223"/>
        <v>0</v>
      </c>
      <c r="J405" s="146">
        <f t="shared" si="223"/>
        <v>0</v>
      </c>
      <c r="K405" s="146">
        <f t="shared" si="224"/>
        <v>0</v>
      </c>
      <c r="L405" s="146">
        <f t="shared" si="224"/>
        <v>0</v>
      </c>
      <c r="M405" s="146">
        <f t="shared" si="224"/>
        <v>0</v>
      </c>
      <c r="N405" s="146">
        <f t="shared" si="224"/>
        <v>0</v>
      </c>
      <c r="O405" s="146">
        <f t="shared" si="223"/>
        <v>0</v>
      </c>
      <c r="P405" s="146">
        <f t="shared" si="223"/>
        <v>0</v>
      </c>
      <c r="Q405" s="146">
        <f t="shared" si="223"/>
        <v>0</v>
      </c>
    </row>
    <row r="406" spans="1:17" ht="15">
      <c r="A406" s="90"/>
      <c r="B406" s="89" t="s">
        <v>220</v>
      </c>
      <c r="C406" s="47">
        <v>70</v>
      </c>
      <c r="D406" s="50">
        <f t="shared" si="223"/>
        <v>521</v>
      </c>
      <c r="E406" s="50">
        <f t="shared" si="223"/>
        <v>190</v>
      </c>
      <c r="F406" s="50">
        <f t="shared" si="223"/>
        <v>178.08</v>
      </c>
      <c r="G406" s="50">
        <f t="shared" si="223"/>
        <v>104</v>
      </c>
      <c r="H406" s="50">
        <f t="shared" si="223"/>
        <v>0</v>
      </c>
      <c r="I406" s="50">
        <f t="shared" si="223"/>
        <v>190</v>
      </c>
      <c r="J406" s="146">
        <f t="shared" si="223"/>
        <v>0</v>
      </c>
      <c r="K406" s="146">
        <f t="shared" si="224"/>
        <v>0</v>
      </c>
      <c r="L406" s="146">
        <f t="shared" si="224"/>
        <v>0</v>
      </c>
      <c r="M406" s="146">
        <f t="shared" si="224"/>
        <v>0</v>
      </c>
      <c r="N406" s="146">
        <f t="shared" si="224"/>
        <v>0</v>
      </c>
      <c r="O406" s="146">
        <f t="shared" si="223"/>
        <v>0</v>
      </c>
      <c r="P406" s="146">
        <f t="shared" si="223"/>
        <v>0</v>
      </c>
      <c r="Q406" s="146">
        <f t="shared" si="223"/>
        <v>0</v>
      </c>
    </row>
    <row r="407" spans="1:17" ht="28.5">
      <c r="A407" s="90" t="s">
        <v>291</v>
      </c>
      <c r="B407" s="87" t="s">
        <v>292</v>
      </c>
      <c r="C407" s="47" t="s">
        <v>293</v>
      </c>
      <c r="D407" s="50">
        <f t="shared" ref="D407:Q408" si="225">D417+D431+D440+D449+D458+D472</f>
        <v>19086</v>
      </c>
      <c r="E407" s="50">
        <f t="shared" si="225"/>
        <v>24059</v>
      </c>
      <c r="F407" s="50">
        <f t="shared" si="225"/>
        <v>23251.239999999998</v>
      </c>
      <c r="G407" s="50">
        <f t="shared" si="225"/>
        <v>6902</v>
      </c>
      <c r="H407" s="50">
        <f t="shared" si="225"/>
        <v>1296</v>
      </c>
      <c r="I407" s="50">
        <f t="shared" si="225"/>
        <v>5990</v>
      </c>
      <c r="J407" s="146">
        <f t="shared" si="225"/>
        <v>2654</v>
      </c>
      <c r="K407" s="146">
        <f t="shared" ref="K407:N408" si="226">K417+K431+K440+K449+K458+K472</f>
        <v>500</v>
      </c>
      <c r="L407" s="146">
        <f t="shared" si="226"/>
        <v>755</v>
      </c>
      <c r="M407" s="146">
        <f t="shared" si="226"/>
        <v>700</v>
      </c>
      <c r="N407" s="146">
        <f t="shared" si="226"/>
        <v>699</v>
      </c>
      <c r="O407" s="146">
        <f t="shared" si="225"/>
        <v>2683</v>
      </c>
      <c r="P407" s="146">
        <f t="shared" si="225"/>
        <v>2712</v>
      </c>
      <c r="Q407" s="146">
        <f t="shared" si="225"/>
        <v>2738</v>
      </c>
    </row>
    <row r="408" spans="1:17" ht="14.25">
      <c r="A408" s="90"/>
      <c r="B408" s="80" t="s">
        <v>179</v>
      </c>
      <c r="C408" s="47"/>
      <c r="D408" s="50">
        <f t="shared" si="225"/>
        <v>18564</v>
      </c>
      <c r="E408" s="50">
        <f t="shared" si="225"/>
        <v>23869</v>
      </c>
      <c r="F408" s="50">
        <f t="shared" si="225"/>
        <v>23073.159999999996</v>
      </c>
      <c r="G408" s="50">
        <f t="shared" si="225"/>
        <v>6798</v>
      </c>
      <c r="H408" s="50">
        <f t="shared" si="225"/>
        <v>1296</v>
      </c>
      <c r="I408" s="50">
        <f t="shared" si="225"/>
        <v>5800</v>
      </c>
      <c r="J408" s="146">
        <f t="shared" si="225"/>
        <v>2654</v>
      </c>
      <c r="K408" s="146">
        <f t="shared" si="226"/>
        <v>500</v>
      </c>
      <c r="L408" s="146">
        <f t="shared" si="226"/>
        <v>755</v>
      </c>
      <c r="M408" s="146">
        <f t="shared" si="226"/>
        <v>700</v>
      </c>
      <c r="N408" s="146">
        <f t="shared" si="226"/>
        <v>699</v>
      </c>
      <c r="O408" s="146">
        <f t="shared" si="225"/>
        <v>2683</v>
      </c>
      <c r="P408" s="146">
        <f t="shared" si="225"/>
        <v>2712</v>
      </c>
      <c r="Q408" s="146">
        <f t="shared" si="225"/>
        <v>2738</v>
      </c>
    </row>
    <row r="409" spans="1:17" ht="15">
      <c r="A409" s="90"/>
      <c r="B409" s="89" t="s">
        <v>180</v>
      </c>
      <c r="C409" s="47">
        <v>1</v>
      </c>
      <c r="D409" s="36">
        <f t="shared" ref="D409:Q409" si="227">D419+D433+D441+D450+D459+D473</f>
        <v>18564</v>
      </c>
      <c r="E409" s="36">
        <f t="shared" si="227"/>
        <v>23869</v>
      </c>
      <c r="F409" s="36">
        <f t="shared" si="227"/>
        <v>23073.159999999996</v>
      </c>
      <c r="G409" s="36">
        <f t="shared" si="227"/>
        <v>6798</v>
      </c>
      <c r="H409" s="36">
        <f t="shared" si="227"/>
        <v>1296</v>
      </c>
      <c r="I409" s="36">
        <f t="shared" si="227"/>
        <v>5800</v>
      </c>
      <c r="J409" s="141">
        <f t="shared" si="227"/>
        <v>2654</v>
      </c>
      <c r="K409" s="141">
        <f>K419+K433+K441+K450+K459+K473</f>
        <v>500</v>
      </c>
      <c r="L409" s="141">
        <f>L419+L433+L441+L450+L459+L473</f>
        <v>755</v>
      </c>
      <c r="M409" s="141">
        <f>M419+M433+M441+M450+M459+M473</f>
        <v>700</v>
      </c>
      <c r="N409" s="141">
        <f>N419+N433+N441+N450+N459+N473</f>
        <v>699</v>
      </c>
      <c r="O409" s="141">
        <f t="shared" si="227"/>
        <v>2683</v>
      </c>
      <c r="P409" s="141">
        <f t="shared" si="227"/>
        <v>2712</v>
      </c>
      <c r="Q409" s="141">
        <f t="shared" si="227"/>
        <v>2738</v>
      </c>
    </row>
    <row r="410" spans="1:17" ht="15">
      <c r="A410" s="90"/>
      <c r="B410" s="89" t="s">
        <v>579</v>
      </c>
      <c r="C410" s="47">
        <v>10</v>
      </c>
      <c r="D410" s="36">
        <f t="shared" ref="D410:Q412" si="228">D420+D434+D443+D452+D461+D475</f>
        <v>15840</v>
      </c>
      <c r="E410" s="36">
        <f t="shared" si="228"/>
        <v>21395</v>
      </c>
      <c r="F410" s="36">
        <f t="shared" si="228"/>
        <v>20663.650000000001</v>
      </c>
      <c r="G410" s="36">
        <f t="shared" si="228"/>
        <v>3910</v>
      </c>
      <c r="H410" s="36">
        <f t="shared" si="228"/>
        <v>1296</v>
      </c>
      <c r="I410" s="36">
        <f t="shared" si="228"/>
        <v>5800</v>
      </c>
      <c r="J410" s="141">
        <f t="shared" si="228"/>
        <v>0</v>
      </c>
      <c r="K410" s="141">
        <f t="shared" ref="K410:N412" si="229">K420+K434+K443+K452+K461+K475</f>
        <v>0</v>
      </c>
      <c r="L410" s="141">
        <f t="shared" si="229"/>
        <v>0</v>
      </c>
      <c r="M410" s="141">
        <f t="shared" si="229"/>
        <v>0</v>
      </c>
      <c r="N410" s="141">
        <f t="shared" si="229"/>
        <v>0</v>
      </c>
      <c r="O410" s="141">
        <f t="shared" si="228"/>
        <v>0</v>
      </c>
      <c r="P410" s="141">
        <f t="shared" si="228"/>
        <v>0</v>
      </c>
      <c r="Q410" s="141">
        <f t="shared" si="228"/>
        <v>0</v>
      </c>
    </row>
    <row r="411" spans="1:17" ht="15" hidden="1">
      <c r="A411" s="90"/>
      <c r="B411" s="89" t="s">
        <v>580</v>
      </c>
      <c r="C411" s="47"/>
      <c r="D411" s="36">
        <f t="shared" si="228"/>
        <v>0</v>
      </c>
      <c r="E411" s="36">
        <f t="shared" si="228"/>
        <v>104</v>
      </c>
      <c r="F411" s="36">
        <f t="shared" si="228"/>
        <v>0</v>
      </c>
      <c r="G411" s="36">
        <f t="shared" si="228"/>
        <v>0</v>
      </c>
      <c r="H411" s="36">
        <f t="shared" si="228"/>
        <v>0</v>
      </c>
      <c r="I411" s="36">
        <f t="shared" si="228"/>
        <v>0</v>
      </c>
      <c r="J411" s="141">
        <f t="shared" si="228"/>
        <v>0</v>
      </c>
      <c r="K411" s="141">
        <f t="shared" si="229"/>
        <v>0</v>
      </c>
      <c r="L411" s="141">
        <f t="shared" si="229"/>
        <v>0</v>
      </c>
      <c r="M411" s="141">
        <f t="shared" si="229"/>
        <v>0</v>
      </c>
      <c r="N411" s="141">
        <f t="shared" si="229"/>
        <v>0</v>
      </c>
      <c r="O411" s="141">
        <f t="shared" si="228"/>
        <v>0</v>
      </c>
      <c r="P411" s="141">
        <f t="shared" si="228"/>
        <v>0</v>
      </c>
      <c r="Q411" s="141">
        <f t="shared" si="228"/>
        <v>0</v>
      </c>
    </row>
    <row r="412" spans="1:17" ht="15">
      <c r="A412" s="90"/>
      <c r="B412" s="89" t="s">
        <v>182</v>
      </c>
      <c r="C412" s="47">
        <v>20</v>
      </c>
      <c r="D412" s="36">
        <f t="shared" si="228"/>
        <v>2531</v>
      </c>
      <c r="E412" s="36">
        <f t="shared" si="228"/>
        <v>2300</v>
      </c>
      <c r="F412" s="36">
        <f>F422+F436+F445+F454+F463+F477</f>
        <v>2238.5100000000002</v>
      </c>
      <c r="G412" s="36">
        <f>G422+G436+G445+G454+G463+G477</f>
        <v>2395</v>
      </c>
      <c r="H412" s="36">
        <f>H422+H436+H445+H454+H463+H477</f>
        <v>0</v>
      </c>
      <c r="I412" s="36">
        <f>I422+I436+I445+I454+I463+I477</f>
        <v>0</v>
      </c>
      <c r="J412" s="141">
        <f t="shared" si="228"/>
        <v>2079</v>
      </c>
      <c r="K412" s="141">
        <f t="shared" si="229"/>
        <v>443</v>
      </c>
      <c r="L412" s="141">
        <f t="shared" si="229"/>
        <v>531</v>
      </c>
      <c r="M412" s="141">
        <f t="shared" si="229"/>
        <v>512</v>
      </c>
      <c r="N412" s="141">
        <f t="shared" si="229"/>
        <v>593</v>
      </c>
      <c r="O412" s="141">
        <f t="shared" si="228"/>
        <v>2108</v>
      </c>
      <c r="P412" s="141">
        <f t="shared" si="228"/>
        <v>2137</v>
      </c>
      <c r="Q412" s="141">
        <f t="shared" si="228"/>
        <v>2163</v>
      </c>
    </row>
    <row r="413" spans="1:17" ht="15">
      <c r="A413" s="90"/>
      <c r="B413" s="89" t="s">
        <v>294</v>
      </c>
      <c r="C413" s="47" t="s">
        <v>295</v>
      </c>
      <c r="D413" s="36">
        <f t="shared" ref="D413:Q413" si="230">D423+D437+D446+D455+D464</f>
        <v>193</v>
      </c>
      <c r="E413" s="36">
        <f t="shared" si="230"/>
        <v>174</v>
      </c>
      <c r="F413" s="36">
        <f t="shared" si="230"/>
        <v>171</v>
      </c>
      <c r="G413" s="36">
        <f t="shared" si="230"/>
        <v>400</v>
      </c>
      <c r="H413" s="36">
        <f t="shared" si="230"/>
        <v>0</v>
      </c>
      <c r="I413" s="36">
        <f t="shared" si="230"/>
        <v>0</v>
      </c>
      <c r="J413" s="141">
        <f t="shared" si="230"/>
        <v>575</v>
      </c>
      <c r="K413" s="141">
        <f>K423+K437+K446+K455+K464</f>
        <v>57</v>
      </c>
      <c r="L413" s="141">
        <f>L423+L437+L446+L455+L464</f>
        <v>224</v>
      </c>
      <c r="M413" s="141">
        <f>M423+M437+M446+M455+M464</f>
        <v>188</v>
      </c>
      <c r="N413" s="141">
        <f>N423+N437+N446+N455+N464</f>
        <v>106</v>
      </c>
      <c r="O413" s="141">
        <f t="shared" si="230"/>
        <v>575</v>
      </c>
      <c r="P413" s="141">
        <f t="shared" si="230"/>
        <v>575</v>
      </c>
      <c r="Q413" s="141">
        <f t="shared" si="230"/>
        <v>575</v>
      </c>
    </row>
    <row r="414" spans="1:17" ht="16.5" hidden="1" customHeight="1">
      <c r="A414" s="90"/>
      <c r="B414" s="82" t="s">
        <v>191</v>
      </c>
      <c r="C414" s="47"/>
      <c r="D414" s="36">
        <f t="shared" ref="D414:Q414" si="231">D425+D438+D447+D456+D465+D478</f>
        <v>522</v>
      </c>
      <c r="E414" s="36">
        <f t="shared" si="231"/>
        <v>190</v>
      </c>
      <c r="F414" s="36">
        <f t="shared" si="231"/>
        <v>178.08</v>
      </c>
      <c r="G414" s="36">
        <f t="shared" si="231"/>
        <v>104</v>
      </c>
      <c r="H414" s="36">
        <f t="shared" si="231"/>
        <v>0</v>
      </c>
      <c r="I414" s="36">
        <f t="shared" si="231"/>
        <v>190</v>
      </c>
      <c r="J414" s="141">
        <f t="shared" si="231"/>
        <v>0</v>
      </c>
      <c r="K414" s="141">
        <f>K425+K438+K447+K456+K465+K478</f>
        <v>0</v>
      </c>
      <c r="L414" s="141">
        <f>L425+L438+L447+L456+L465+L478</f>
        <v>0</v>
      </c>
      <c r="M414" s="141">
        <f>M425+M438+M447+M456+M465+M478</f>
        <v>0</v>
      </c>
      <c r="N414" s="141">
        <f>N425+N438+N447+N456+N465+N478</f>
        <v>0</v>
      </c>
      <c r="O414" s="141">
        <f t="shared" si="231"/>
        <v>0</v>
      </c>
      <c r="P414" s="141">
        <f t="shared" si="231"/>
        <v>0</v>
      </c>
      <c r="Q414" s="141">
        <f t="shared" si="231"/>
        <v>0</v>
      </c>
    </row>
    <row r="415" spans="1:17" ht="16.5" hidden="1" customHeight="1">
      <c r="A415" s="90"/>
      <c r="B415" s="72" t="s">
        <v>200</v>
      </c>
      <c r="C415" s="172">
        <v>56</v>
      </c>
      <c r="D415" s="36">
        <f t="shared" ref="D415:Q415" si="232">D426</f>
        <v>1</v>
      </c>
      <c r="E415" s="36">
        <f t="shared" si="232"/>
        <v>0</v>
      </c>
      <c r="F415" s="36">
        <f t="shared" si="232"/>
        <v>0</v>
      </c>
      <c r="G415" s="36">
        <f t="shared" si="232"/>
        <v>0</v>
      </c>
      <c r="H415" s="36">
        <f t="shared" si="232"/>
        <v>0</v>
      </c>
      <c r="I415" s="36">
        <f t="shared" si="232"/>
        <v>0</v>
      </c>
      <c r="J415" s="141">
        <f t="shared" si="232"/>
        <v>0</v>
      </c>
      <c r="K415" s="141">
        <f>K426</f>
        <v>0</v>
      </c>
      <c r="L415" s="141">
        <f>L426</f>
        <v>0</v>
      </c>
      <c r="M415" s="141">
        <f>M426</f>
        <v>0</v>
      </c>
      <c r="N415" s="141">
        <f>N426</f>
        <v>0</v>
      </c>
      <c r="O415" s="141">
        <f t="shared" si="232"/>
        <v>0</v>
      </c>
      <c r="P415" s="141">
        <f t="shared" si="232"/>
        <v>0</v>
      </c>
      <c r="Q415" s="141">
        <f t="shared" si="232"/>
        <v>0</v>
      </c>
    </row>
    <row r="416" spans="1:17" ht="16.5" hidden="1" customHeight="1">
      <c r="A416" s="90"/>
      <c r="B416" s="88" t="s">
        <v>220</v>
      </c>
      <c r="C416" s="47">
        <v>70</v>
      </c>
      <c r="D416" s="36">
        <f t="shared" ref="D416:Q416" si="233">D430+D439+D448+D457+D466+D479</f>
        <v>521</v>
      </c>
      <c r="E416" s="36">
        <f t="shared" si="233"/>
        <v>190</v>
      </c>
      <c r="F416" s="36">
        <f t="shared" si="233"/>
        <v>178.08</v>
      </c>
      <c r="G416" s="36">
        <f t="shared" si="233"/>
        <v>104</v>
      </c>
      <c r="H416" s="36">
        <f t="shared" si="233"/>
        <v>0</v>
      </c>
      <c r="I416" s="36">
        <f t="shared" si="233"/>
        <v>190</v>
      </c>
      <c r="J416" s="141">
        <f t="shared" si="233"/>
        <v>0</v>
      </c>
      <c r="K416" s="141">
        <f>K430+K439+K448+K457+K466+K479</f>
        <v>0</v>
      </c>
      <c r="L416" s="141">
        <f>L430+L439+L448+L457+L466+L479</f>
        <v>0</v>
      </c>
      <c r="M416" s="141">
        <f>M430+M439+M448+M457+M466+M479</f>
        <v>0</v>
      </c>
      <c r="N416" s="141">
        <f>N430+N439+N448+N457+N466+N479</f>
        <v>0</v>
      </c>
      <c r="O416" s="141">
        <f t="shared" si="233"/>
        <v>0</v>
      </c>
      <c r="P416" s="141">
        <f t="shared" si="233"/>
        <v>0</v>
      </c>
      <c r="Q416" s="141">
        <f t="shared" si="233"/>
        <v>0</v>
      </c>
    </row>
    <row r="417" spans="1:17" ht="28.5" customHeight="1">
      <c r="A417" s="90" t="s">
        <v>296</v>
      </c>
      <c r="B417" s="109" t="s">
        <v>297</v>
      </c>
      <c r="C417" s="159" t="s">
        <v>298</v>
      </c>
      <c r="D417" s="50">
        <f t="shared" ref="D417:Q417" si="234">D418+D425</f>
        <v>5775</v>
      </c>
      <c r="E417" s="50">
        <f t="shared" si="234"/>
        <v>7056</v>
      </c>
      <c r="F417" s="50">
        <f t="shared" si="234"/>
        <v>6713.24</v>
      </c>
      <c r="G417" s="50">
        <f t="shared" si="234"/>
        <v>1533</v>
      </c>
      <c r="H417" s="50">
        <f t="shared" si="234"/>
        <v>1296</v>
      </c>
      <c r="I417" s="50">
        <f t="shared" si="234"/>
        <v>5955</v>
      </c>
      <c r="J417" s="146">
        <f t="shared" si="234"/>
        <v>982</v>
      </c>
      <c r="K417" s="146">
        <f>K418+K425</f>
        <v>188</v>
      </c>
      <c r="L417" s="146">
        <f>L418+L425</f>
        <v>297</v>
      </c>
      <c r="M417" s="146">
        <f>M418+M425</f>
        <v>263</v>
      </c>
      <c r="N417" s="146">
        <f>N418+N425</f>
        <v>234</v>
      </c>
      <c r="O417" s="146">
        <f t="shared" si="234"/>
        <v>1001</v>
      </c>
      <c r="P417" s="146">
        <f t="shared" si="234"/>
        <v>1020</v>
      </c>
      <c r="Q417" s="146">
        <f t="shared" si="234"/>
        <v>1016</v>
      </c>
    </row>
    <row r="418" spans="1:17" ht="14.25">
      <c r="A418" s="90"/>
      <c r="B418" s="80" t="s">
        <v>179</v>
      </c>
      <c r="C418" s="47"/>
      <c r="D418" s="50">
        <f t="shared" ref="D418:Q418" si="235">D419</f>
        <v>5774</v>
      </c>
      <c r="E418" s="50">
        <f t="shared" si="235"/>
        <v>6901</v>
      </c>
      <c r="F418" s="50">
        <f t="shared" si="235"/>
        <v>6569.44</v>
      </c>
      <c r="G418" s="50">
        <f t="shared" si="235"/>
        <v>1533</v>
      </c>
      <c r="H418" s="50">
        <f t="shared" si="235"/>
        <v>1296</v>
      </c>
      <c r="I418" s="50">
        <f t="shared" si="235"/>
        <v>5800</v>
      </c>
      <c r="J418" s="146">
        <f t="shared" si="235"/>
        <v>982</v>
      </c>
      <c r="K418" s="146">
        <f t="shared" si="235"/>
        <v>188</v>
      </c>
      <c r="L418" s="146">
        <f t="shared" si="235"/>
        <v>297</v>
      </c>
      <c r="M418" s="146">
        <f t="shared" si="235"/>
        <v>263</v>
      </c>
      <c r="N418" s="146">
        <f t="shared" si="235"/>
        <v>234</v>
      </c>
      <c r="O418" s="146">
        <f t="shared" si="235"/>
        <v>1001</v>
      </c>
      <c r="P418" s="146">
        <f t="shared" si="235"/>
        <v>1020</v>
      </c>
      <c r="Q418" s="146">
        <f t="shared" si="235"/>
        <v>1016</v>
      </c>
    </row>
    <row r="419" spans="1:17" ht="15">
      <c r="A419" s="90"/>
      <c r="B419" s="89" t="s">
        <v>180</v>
      </c>
      <c r="C419" s="47">
        <v>1</v>
      </c>
      <c r="D419" s="36">
        <f t="shared" ref="D419:Q419" si="236">D420+D422+D423</f>
        <v>5774</v>
      </c>
      <c r="E419" s="36">
        <f t="shared" si="236"/>
        <v>6901</v>
      </c>
      <c r="F419" s="36">
        <f t="shared" si="236"/>
        <v>6569.44</v>
      </c>
      <c r="G419" s="36">
        <f>G420+G422+G423+G424</f>
        <v>1533</v>
      </c>
      <c r="H419" s="36">
        <f t="shared" si="236"/>
        <v>1296</v>
      </c>
      <c r="I419" s="36">
        <f t="shared" si="236"/>
        <v>5800</v>
      </c>
      <c r="J419" s="141">
        <f t="shared" si="236"/>
        <v>982</v>
      </c>
      <c r="K419" s="141">
        <f>K420+K422+K423</f>
        <v>188</v>
      </c>
      <c r="L419" s="141">
        <f>L420+L422+L423</f>
        <v>297</v>
      </c>
      <c r="M419" s="141">
        <f>M420+M422+M423</f>
        <v>263</v>
      </c>
      <c r="N419" s="141">
        <f>N420+N422+N423</f>
        <v>234</v>
      </c>
      <c r="O419" s="141">
        <f t="shared" si="236"/>
        <v>1001</v>
      </c>
      <c r="P419" s="141">
        <f t="shared" si="236"/>
        <v>1020</v>
      </c>
      <c r="Q419" s="141">
        <f t="shared" si="236"/>
        <v>1016</v>
      </c>
    </row>
    <row r="420" spans="1:17" ht="0.75" customHeight="1">
      <c r="A420" s="90"/>
      <c r="B420" s="89" t="s">
        <v>579</v>
      </c>
      <c r="C420" s="47">
        <v>10</v>
      </c>
      <c r="D420" s="37">
        <v>4584</v>
      </c>
      <c r="E420" s="37">
        <v>5941</v>
      </c>
      <c r="F420" s="32">
        <v>5609.45</v>
      </c>
      <c r="G420" s="32">
        <v>396</v>
      </c>
      <c r="H420" s="32">
        <f>1200+220-124</f>
        <v>1296</v>
      </c>
      <c r="I420" s="37">
        <v>5800</v>
      </c>
      <c r="J420" s="137">
        <v>0</v>
      </c>
      <c r="K420" s="137">
        <v>0</v>
      </c>
      <c r="L420" s="137">
        <v>0</v>
      </c>
      <c r="M420" s="137">
        <v>0</v>
      </c>
      <c r="N420" s="137">
        <v>0</v>
      </c>
      <c r="O420" s="137"/>
      <c r="P420" s="137"/>
      <c r="Q420" s="137"/>
    </row>
    <row r="421" spans="1:17" ht="15" hidden="1">
      <c r="A421" s="90"/>
      <c r="B421" s="89" t="s">
        <v>580</v>
      </c>
      <c r="C421" s="47"/>
      <c r="D421" s="37">
        <v>0</v>
      </c>
      <c r="E421" s="37">
        <v>50</v>
      </c>
      <c r="F421" s="32"/>
      <c r="G421" s="32">
        <v>0</v>
      </c>
      <c r="H421" s="32"/>
      <c r="I421" s="37"/>
      <c r="J421" s="137">
        <v>0</v>
      </c>
      <c r="K421" s="137">
        <v>0</v>
      </c>
      <c r="L421" s="137">
        <v>0</v>
      </c>
      <c r="M421" s="137">
        <v>0</v>
      </c>
      <c r="N421" s="137">
        <v>0</v>
      </c>
      <c r="O421" s="137"/>
      <c r="P421" s="137"/>
      <c r="Q421" s="137"/>
    </row>
    <row r="422" spans="1:17" ht="15" customHeight="1">
      <c r="A422" s="90"/>
      <c r="B422" s="89" t="s">
        <v>182</v>
      </c>
      <c r="C422" s="47">
        <v>20</v>
      </c>
      <c r="D422" s="37">
        <v>1096</v>
      </c>
      <c r="E422" s="37">
        <v>900</v>
      </c>
      <c r="F422" s="32">
        <v>900</v>
      </c>
      <c r="G422" s="32">
        <v>946</v>
      </c>
      <c r="H422" s="32"/>
      <c r="I422" s="37"/>
      <c r="J422" s="137">
        <f>798+86-175</f>
        <v>709</v>
      </c>
      <c r="K422" s="137">
        <f>123+50</f>
        <v>173</v>
      </c>
      <c r="L422" s="137">
        <f>271-100</f>
        <v>171</v>
      </c>
      <c r="M422" s="137">
        <f>237-75</f>
        <v>162</v>
      </c>
      <c r="N422" s="137">
        <v>203</v>
      </c>
      <c r="O422" s="137">
        <f>884-19-2+40-175</f>
        <v>728</v>
      </c>
      <c r="P422" s="137">
        <f>884+38-175</f>
        <v>747</v>
      </c>
      <c r="Q422" s="137">
        <f>884+34-175</f>
        <v>743</v>
      </c>
    </row>
    <row r="423" spans="1:17" ht="13.5" customHeight="1">
      <c r="A423" s="90"/>
      <c r="B423" s="89" t="s">
        <v>299</v>
      </c>
      <c r="C423" s="47" t="s">
        <v>300</v>
      </c>
      <c r="D423" s="37">
        <v>94</v>
      </c>
      <c r="E423" s="37">
        <v>60</v>
      </c>
      <c r="F423" s="32">
        <v>59.99</v>
      </c>
      <c r="G423" s="32">
        <v>98</v>
      </c>
      <c r="H423" s="32"/>
      <c r="I423" s="37"/>
      <c r="J423" s="137">
        <f>98+175</f>
        <v>273</v>
      </c>
      <c r="K423" s="137">
        <v>15</v>
      </c>
      <c r="L423" s="137">
        <f>26+100</f>
        <v>126</v>
      </c>
      <c r="M423" s="137">
        <f>26+75</f>
        <v>101</v>
      </c>
      <c r="N423" s="137">
        <v>31</v>
      </c>
      <c r="O423" s="137">
        <f>98+175</f>
        <v>273</v>
      </c>
      <c r="P423" s="137">
        <f>98+175</f>
        <v>273</v>
      </c>
      <c r="Q423" s="137">
        <f>98+175</f>
        <v>273</v>
      </c>
    </row>
    <row r="424" spans="1:17" ht="13.5" hidden="1" customHeight="1">
      <c r="A424" s="90"/>
      <c r="B424" s="89" t="s">
        <v>491</v>
      </c>
      <c r="C424" s="47">
        <v>59</v>
      </c>
      <c r="D424" s="37"/>
      <c r="E424" s="37"/>
      <c r="F424" s="32"/>
      <c r="G424" s="32">
        <v>93</v>
      </c>
      <c r="H424" s="32"/>
      <c r="I424" s="37"/>
      <c r="J424" s="137"/>
      <c r="K424" s="137"/>
      <c r="L424" s="137"/>
      <c r="M424" s="137"/>
      <c r="N424" s="137"/>
      <c r="O424" s="137"/>
      <c r="P424" s="137"/>
      <c r="Q424" s="137"/>
    </row>
    <row r="425" spans="1:17" ht="16.5" customHeight="1">
      <c r="A425" s="90"/>
      <c r="B425" s="82" t="s">
        <v>191</v>
      </c>
      <c r="C425" s="47"/>
      <c r="D425" s="36">
        <f t="shared" ref="D425:Q425" si="237">D426+D430</f>
        <v>1</v>
      </c>
      <c r="E425" s="36">
        <f t="shared" si="237"/>
        <v>155</v>
      </c>
      <c r="F425" s="36">
        <f t="shared" si="237"/>
        <v>143.80000000000001</v>
      </c>
      <c r="G425" s="36">
        <f t="shared" si="237"/>
        <v>0</v>
      </c>
      <c r="H425" s="36">
        <f t="shared" si="237"/>
        <v>0</v>
      </c>
      <c r="I425" s="36">
        <f t="shared" si="237"/>
        <v>155</v>
      </c>
      <c r="J425" s="141">
        <f t="shared" si="237"/>
        <v>0</v>
      </c>
      <c r="K425" s="141">
        <f>K426+K430</f>
        <v>0</v>
      </c>
      <c r="L425" s="141">
        <f>L426+L430</f>
        <v>0</v>
      </c>
      <c r="M425" s="141">
        <f>M426+M430</f>
        <v>0</v>
      </c>
      <c r="N425" s="141">
        <f>N426+N430</f>
        <v>0</v>
      </c>
      <c r="O425" s="141">
        <f t="shared" si="237"/>
        <v>0</v>
      </c>
      <c r="P425" s="141">
        <f t="shared" si="237"/>
        <v>0</v>
      </c>
      <c r="Q425" s="141">
        <f t="shared" si="237"/>
        <v>0</v>
      </c>
    </row>
    <row r="426" spans="1:17" ht="9.75" hidden="1" customHeight="1">
      <c r="A426" s="97"/>
      <c r="B426" s="72" t="s">
        <v>200</v>
      </c>
      <c r="C426" s="172">
        <v>56</v>
      </c>
      <c r="D426" s="54">
        <f>D427+D428+D429</f>
        <v>1</v>
      </c>
      <c r="E426" s="54">
        <f>E427+E428+E429</f>
        <v>0</v>
      </c>
      <c r="F426" s="32"/>
      <c r="G426" s="32"/>
      <c r="H426" s="32"/>
      <c r="I426" s="54">
        <f>I427+I428+I429</f>
        <v>0</v>
      </c>
      <c r="J426" s="137"/>
      <c r="K426" s="137"/>
      <c r="L426" s="137"/>
      <c r="M426" s="137"/>
      <c r="N426" s="137"/>
      <c r="O426" s="137"/>
      <c r="P426" s="137"/>
      <c r="Q426" s="137"/>
    </row>
    <row r="427" spans="1:17" ht="15.75" hidden="1" customHeight="1">
      <c r="A427" s="90"/>
      <c r="B427" s="77" t="s">
        <v>232</v>
      </c>
      <c r="C427" s="167" t="s">
        <v>233</v>
      </c>
      <c r="D427" s="37">
        <v>0</v>
      </c>
      <c r="E427" s="37">
        <v>0</v>
      </c>
      <c r="F427" s="32"/>
      <c r="G427" s="32"/>
      <c r="H427" s="32"/>
      <c r="I427" s="37">
        <v>0</v>
      </c>
      <c r="J427" s="137"/>
      <c r="K427" s="137"/>
      <c r="L427" s="137"/>
      <c r="M427" s="137"/>
      <c r="N427" s="137"/>
      <c r="O427" s="137"/>
      <c r="P427" s="137"/>
      <c r="Q427" s="137"/>
    </row>
    <row r="428" spans="1:17" ht="18.75" hidden="1" customHeight="1">
      <c r="A428" s="90"/>
      <c r="B428" s="89" t="s">
        <v>234</v>
      </c>
      <c r="C428" s="167" t="s">
        <v>235</v>
      </c>
      <c r="D428" s="37">
        <v>0</v>
      </c>
      <c r="E428" s="37">
        <v>0</v>
      </c>
      <c r="F428" s="32"/>
      <c r="G428" s="32"/>
      <c r="H428" s="32"/>
      <c r="I428" s="37">
        <v>0</v>
      </c>
      <c r="J428" s="137"/>
      <c r="K428" s="137"/>
      <c r="L428" s="137"/>
      <c r="M428" s="137"/>
      <c r="N428" s="137"/>
      <c r="O428" s="137"/>
      <c r="P428" s="137"/>
      <c r="Q428" s="137"/>
    </row>
    <row r="429" spans="1:17" ht="13.5" hidden="1" customHeight="1">
      <c r="A429" s="90"/>
      <c r="B429" s="89" t="s">
        <v>239</v>
      </c>
      <c r="C429" s="167" t="s">
        <v>237</v>
      </c>
      <c r="D429" s="37">
        <v>1</v>
      </c>
      <c r="E429" s="37">
        <v>0</v>
      </c>
      <c r="F429" s="32"/>
      <c r="G429" s="32"/>
      <c r="H429" s="32"/>
      <c r="I429" s="37">
        <v>0</v>
      </c>
      <c r="J429" s="137"/>
      <c r="K429" s="137"/>
      <c r="L429" s="137"/>
      <c r="M429" s="137"/>
      <c r="N429" s="137"/>
      <c r="O429" s="137"/>
      <c r="P429" s="137"/>
      <c r="Q429" s="137"/>
    </row>
    <row r="430" spans="1:17" ht="19.5" hidden="1" customHeight="1">
      <c r="A430" s="90"/>
      <c r="B430" s="89" t="s">
        <v>220</v>
      </c>
      <c r="C430" s="47">
        <v>70</v>
      </c>
      <c r="D430" s="37">
        <v>0</v>
      </c>
      <c r="E430" s="37">
        <f>20+135</f>
        <v>155</v>
      </c>
      <c r="F430" s="32">
        <v>143.80000000000001</v>
      </c>
      <c r="G430" s="32">
        <v>0</v>
      </c>
      <c r="H430" s="32"/>
      <c r="I430" s="37">
        <f>20+135</f>
        <v>155</v>
      </c>
      <c r="J430" s="137">
        <v>0</v>
      </c>
      <c r="K430" s="137">
        <v>0</v>
      </c>
      <c r="L430" s="137">
        <v>0</v>
      </c>
      <c r="M430" s="137">
        <v>0</v>
      </c>
      <c r="N430" s="137">
        <v>0</v>
      </c>
      <c r="O430" s="137"/>
      <c r="P430" s="137"/>
      <c r="Q430" s="137"/>
    </row>
    <row r="431" spans="1:17" ht="26.25" customHeight="1">
      <c r="A431" s="90" t="s">
        <v>301</v>
      </c>
      <c r="B431" s="109" t="s">
        <v>302</v>
      </c>
      <c r="C431" s="159" t="s">
        <v>303</v>
      </c>
      <c r="D431" s="50">
        <f t="shared" ref="D431:Q431" si="238">D432+D438</f>
        <v>2769</v>
      </c>
      <c r="E431" s="50">
        <f t="shared" si="238"/>
        <v>3010</v>
      </c>
      <c r="F431" s="50">
        <f t="shared" si="238"/>
        <v>3035.5</v>
      </c>
      <c r="G431" s="50">
        <f t="shared" si="238"/>
        <v>825</v>
      </c>
      <c r="H431" s="50">
        <f t="shared" si="238"/>
        <v>0</v>
      </c>
      <c r="I431" s="50">
        <f t="shared" si="238"/>
        <v>0</v>
      </c>
      <c r="J431" s="146">
        <f t="shared" si="238"/>
        <v>565</v>
      </c>
      <c r="K431" s="146">
        <f>K432+K438</f>
        <v>100</v>
      </c>
      <c r="L431" s="146">
        <f>L432+L438</f>
        <v>165</v>
      </c>
      <c r="M431" s="146">
        <f>M432+M438</f>
        <v>150</v>
      </c>
      <c r="N431" s="146">
        <f>N432+N438</f>
        <v>150</v>
      </c>
      <c r="O431" s="146">
        <f t="shared" si="238"/>
        <v>565</v>
      </c>
      <c r="P431" s="146">
        <f t="shared" si="238"/>
        <v>565</v>
      </c>
      <c r="Q431" s="146">
        <f t="shared" si="238"/>
        <v>565</v>
      </c>
    </row>
    <row r="432" spans="1:17" ht="14.25">
      <c r="A432" s="90"/>
      <c r="B432" s="80" t="s">
        <v>179</v>
      </c>
      <c r="C432" s="47"/>
      <c r="D432" s="50">
        <f t="shared" ref="D432:Q432" si="239">D433</f>
        <v>2670</v>
      </c>
      <c r="E432" s="50">
        <f t="shared" si="239"/>
        <v>3010</v>
      </c>
      <c r="F432" s="50">
        <f t="shared" si="239"/>
        <v>3035.5</v>
      </c>
      <c r="G432" s="50">
        <f t="shared" si="239"/>
        <v>721</v>
      </c>
      <c r="H432" s="50">
        <f t="shared" si="239"/>
        <v>0</v>
      </c>
      <c r="I432" s="50">
        <f t="shared" si="239"/>
        <v>0</v>
      </c>
      <c r="J432" s="146">
        <f t="shared" si="239"/>
        <v>565</v>
      </c>
      <c r="K432" s="146">
        <f t="shared" si="239"/>
        <v>100</v>
      </c>
      <c r="L432" s="146">
        <f t="shared" si="239"/>
        <v>165</v>
      </c>
      <c r="M432" s="146">
        <f t="shared" si="239"/>
        <v>150</v>
      </c>
      <c r="N432" s="146">
        <f t="shared" si="239"/>
        <v>150</v>
      </c>
      <c r="O432" s="146">
        <f t="shared" si="239"/>
        <v>565</v>
      </c>
      <c r="P432" s="146">
        <f t="shared" si="239"/>
        <v>565</v>
      </c>
      <c r="Q432" s="146">
        <f t="shared" si="239"/>
        <v>565</v>
      </c>
    </row>
    <row r="433" spans="1:17" ht="15">
      <c r="A433" s="90"/>
      <c r="B433" s="89" t="s">
        <v>180</v>
      </c>
      <c r="C433" s="47">
        <v>1</v>
      </c>
      <c r="D433" s="36">
        <f t="shared" ref="D433:Q433" si="240">D434+D436+D437</f>
        <v>2670</v>
      </c>
      <c r="E433" s="36">
        <f t="shared" si="240"/>
        <v>3010</v>
      </c>
      <c r="F433" s="36">
        <f t="shared" si="240"/>
        <v>3035.5</v>
      </c>
      <c r="G433" s="36">
        <f t="shared" si="240"/>
        <v>721</v>
      </c>
      <c r="H433" s="36">
        <f t="shared" si="240"/>
        <v>0</v>
      </c>
      <c r="I433" s="36">
        <f t="shared" si="240"/>
        <v>0</v>
      </c>
      <c r="J433" s="141">
        <f t="shared" si="240"/>
        <v>565</v>
      </c>
      <c r="K433" s="141">
        <f>K434+K436+K437</f>
        <v>100</v>
      </c>
      <c r="L433" s="141">
        <f>L434+L436+L437</f>
        <v>165</v>
      </c>
      <c r="M433" s="141">
        <f>M434+M436+M437</f>
        <v>150</v>
      </c>
      <c r="N433" s="141">
        <f>N434+N436+N437</f>
        <v>150</v>
      </c>
      <c r="O433" s="141">
        <f t="shared" si="240"/>
        <v>565</v>
      </c>
      <c r="P433" s="141">
        <f t="shared" si="240"/>
        <v>565</v>
      </c>
      <c r="Q433" s="141">
        <f t="shared" si="240"/>
        <v>565</v>
      </c>
    </row>
    <row r="434" spans="1:17" ht="12.75" hidden="1" customHeight="1">
      <c r="A434" s="90"/>
      <c r="B434" s="89" t="s">
        <v>579</v>
      </c>
      <c r="C434" s="47">
        <v>10</v>
      </c>
      <c r="D434" s="37">
        <v>2113</v>
      </c>
      <c r="E434" s="37">
        <v>2450</v>
      </c>
      <c r="F434" s="32">
        <v>2478</v>
      </c>
      <c r="G434" s="32">
        <v>134</v>
      </c>
      <c r="H434" s="32"/>
      <c r="I434" s="37"/>
      <c r="J434" s="137">
        <v>0</v>
      </c>
      <c r="K434" s="137">
        <v>0</v>
      </c>
      <c r="L434" s="137">
        <v>0</v>
      </c>
      <c r="M434" s="137">
        <v>0</v>
      </c>
      <c r="N434" s="137">
        <v>0</v>
      </c>
      <c r="O434" s="137"/>
      <c r="P434" s="137"/>
      <c r="Q434" s="137"/>
    </row>
    <row r="435" spans="1:17" ht="12.75" hidden="1" customHeight="1">
      <c r="A435" s="90"/>
      <c r="B435" s="89" t="s">
        <v>580</v>
      </c>
      <c r="C435" s="47"/>
      <c r="D435" s="37">
        <v>0</v>
      </c>
      <c r="E435" s="37">
        <v>30</v>
      </c>
      <c r="F435" s="32"/>
      <c r="G435" s="32"/>
      <c r="H435" s="32"/>
      <c r="I435" s="37"/>
      <c r="J435" s="137"/>
      <c r="K435" s="137"/>
      <c r="L435" s="137"/>
      <c r="M435" s="137"/>
      <c r="N435" s="137"/>
      <c r="O435" s="137"/>
      <c r="P435" s="137"/>
      <c r="Q435" s="137"/>
    </row>
    <row r="436" spans="1:17" ht="15">
      <c r="A436" s="90"/>
      <c r="B436" s="89" t="s">
        <v>182</v>
      </c>
      <c r="C436" s="47">
        <v>20</v>
      </c>
      <c r="D436" s="37">
        <v>516</v>
      </c>
      <c r="E436" s="37">
        <v>512</v>
      </c>
      <c r="F436" s="32">
        <v>510.38</v>
      </c>
      <c r="G436" s="32">
        <v>452</v>
      </c>
      <c r="H436" s="32"/>
      <c r="I436" s="37"/>
      <c r="J436" s="137">
        <f>380+50</f>
        <v>430</v>
      </c>
      <c r="K436" s="137">
        <v>85</v>
      </c>
      <c r="L436" s="137">
        <v>120</v>
      </c>
      <c r="M436" s="137">
        <v>110</v>
      </c>
      <c r="N436" s="137">
        <v>115</v>
      </c>
      <c r="O436" s="137">
        <v>430</v>
      </c>
      <c r="P436" s="137">
        <v>430</v>
      </c>
      <c r="Q436" s="137">
        <v>430</v>
      </c>
    </row>
    <row r="437" spans="1:17" ht="15" customHeight="1">
      <c r="A437" s="90"/>
      <c r="B437" s="89" t="s">
        <v>299</v>
      </c>
      <c r="C437" s="47" t="s">
        <v>300</v>
      </c>
      <c r="D437" s="37">
        <v>41</v>
      </c>
      <c r="E437" s="37">
        <v>48</v>
      </c>
      <c r="F437" s="32">
        <v>47.12</v>
      </c>
      <c r="G437" s="32">
        <v>135</v>
      </c>
      <c r="H437" s="32"/>
      <c r="I437" s="37"/>
      <c r="J437" s="137">
        <v>135</v>
      </c>
      <c r="K437" s="137">
        <v>15</v>
      </c>
      <c r="L437" s="137">
        <v>45</v>
      </c>
      <c r="M437" s="137">
        <v>40</v>
      </c>
      <c r="N437" s="137">
        <v>35</v>
      </c>
      <c r="O437" s="137">
        <v>135</v>
      </c>
      <c r="P437" s="137">
        <v>135</v>
      </c>
      <c r="Q437" s="137">
        <v>135</v>
      </c>
    </row>
    <row r="438" spans="1:17" ht="18.75" customHeight="1">
      <c r="A438" s="90"/>
      <c r="B438" s="82" t="s">
        <v>191</v>
      </c>
      <c r="C438" s="47"/>
      <c r="D438" s="36">
        <f t="shared" ref="D438:Q438" si="241">D439</f>
        <v>99</v>
      </c>
      <c r="E438" s="36">
        <f t="shared" si="241"/>
        <v>0</v>
      </c>
      <c r="F438" s="36">
        <f t="shared" si="241"/>
        <v>0</v>
      </c>
      <c r="G438" s="36">
        <f t="shared" si="241"/>
        <v>104</v>
      </c>
      <c r="H438" s="36">
        <f t="shared" si="241"/>
        <v>0</v>
      </c>
      <c r="I438" s="36">
        <f t="shared" si="241"/>
        <v>0</v>
      </c>
      <c r="J438" s="141">
        <f t="shared" si="241"/>
        <v>0</v>
      </c>
      <c r="K438" s="141">
        <f t="shared" si="241"/>
        <v>0</v>
      </c>
      <c r="L438" s="141">
        <f t="shared" si="241"/>
        <v>0</v>
      </c>
      <c r="M438" s="141">
        <f t="shared" si="241"/>
        <v>0</v>
      </c>
      <c r="N438" s="141">
        <f t="shared" si="241"/>
        <v>0</v>
      </c>
      <c r="O438" s="141">
        <f t="shared" si="241"/>
        <v>0</v>
      </c>
      <c r="P438" s="141">
        <f t="shared" si="241"/>
        <v>0</v>
      </c>
      <c r="Q438" s="141">
        <f t="shared" si="241"/>
        <v>0</v>
      </c>
    </row>
    <row r="439" spans="1:17" ht="12.75" hidden="1" customHeight="1">
      <c r="A439" s="90"/>
      <c r="B439" s="89" t="s">
        <v>220</v>
      </c>
      <c r="C439" s="47">
        <v>70</v>
      </c>
      <c r="D439" s="37">
        <v>99</v>
      </c>
      <c r="E439" s="37"/>
      <c r="F439" s="32">
        <v>0</v>
      </c>
      <c r="G439" s="32">
        <v>104</v>
      </c>
      <c r="H439" s="32"/>
      <c r="I439" s="37"/>
      <c r="J439" s="137">
        <v>0</v>
      </c>
      <c r="K439" s="137">
        <v>0</v>
      </c>
      <c r="L439" s="137">
        <v>0</v>
      </c>
      <c r="M439" s="137">
        <v>0</v>
      </c>
      <c r="N439" s="137">
        <v>0</v>
      </c>
      <c r="O439" s="137">
        <v>0</v>
      </c>
      <c r="P439" s="137">
        <v>0</v>
      </c>
      <c r="Q439" s="137">
        <v>0</v>
      </c>
    </row>
    <row r="440" spans="1:17" ht="42.75">
      <c r="A440" s="90" t="s">
        <v>304</v>
      </c>
      <c r="B440" s="109" t="s">
        <v>305</v>
      </c>
      <c r="C440" s="159" t="s">
        <v>306</v>
      </c>
      <c r="D440" s="50">
        <f t="shared" ref="D440:Q440" si="242">D441+D447</f>
        <v>2026</v>
      </c>
      <c r="E440" s="50">
        <f t="shared" si="242"/>
        <v>2305</v>
      </c>
      <c r="F440" s="50">
        <f t="shared" si="242"/>
        <v>2105.8199999999997</v>
      </c>
      <c r="G440" s="50">
        <f t="shared" si="242"/>
        <v>497</v>
      </c>
      <c r="H440" s="50">
        <f t="shared" si="242"/>
        <v>0</v>
      </c>
      <c r="I440" s="50">
        <f t="shared" si="242"/>
        <v>0</v>
      </c>
      <c r="J440" s="146">
        <f t="shared" si="242"/>
        <v>345</v>
      </c>
      <c r="K440" s="146">
        <f>K441+K447</f>
        <v>60</v>
      </c>
      <c r="L440" s="146">
        <f>L441+L447</f>
        <v>95</v>
      </c>
      <c r="M440" s="146">
        <f>M441+M447</f>
        <v>90</v>
      </c>
      <c r="N440" s="146">
        <f>N441+N447</f>
        <v>100</v>
      </c>
      <c r="O440" s="146">
        <f t="shared" si="242"/>
        <v>345</v>
      </c>
      <c r="P440" s="146">
        <f t="shared" si="242"/>
        <v>345</v>
      </c>
      <c r="Q440" s="146">
        <f t="shared" si="242"/>
        <v>345</v>
      </c>
    </row>
    <row r="441" spans="1:17" ht="14.25">
      <c r="A441" s="90"/>
      <c r="B441" s="80" t="s">
        <v>179</v>
      </c>
      <c r="C441" s="47"/>
      <c r="D441" s="50">
        <f t="shared" ref="D441:Q441" si="243">D442</f>
        <v>1628</v>
      </c>
      <c r="E441" s="50">
        <f t="shared" si="243"/>
        <v>2305</v>
      </c>
      <c r="F441" s="50">
        <f t="shared" si="243"/>
        <v>2105.8199999999997</v>
      </c>
      <c r="G441" s="50">
        <f t="shared" si="243"/>
        <v>497</v>
      </c>
      <c r="H441" s="50">
        <f t="shared" si="243"/>
        <v>0</v>
      </c>
      <c r="I441" s="50">
        <f t="shared" si="243"/>
        <v>0</v>
      </c>
      <c r="J441" s="146">
        <f t="shared" si="243"/>
        <v>345</v>
      </c>
      <c r="K441" s="146">
        <f t="shared" si="243"/>
        <v>60</v>
      </c>
      <c r="L441" s="146">
        <f t="shared" si="243"/>
        <v>95</v>
      </c>
      <c r="M441" s="146">
        <f t="shared" si="243"/>
        <v>90</v>
      </c>
      <c r="N441" s="146">
        <f t="shared" si="243"/>
        <v>100</v>
      </c>
      <c r="O441" s="146">
        <f t="shared" si="243"/>
        <v>345</v>
      </c>
      <c r="P441" s="146">
        <f t="shared" si="243"/>
        <v>345</v>
      </c>
      <c r="Q441" s="146">
        <f t="shared" si="243"/>
        <v>345</v>
      </c>
    </row>
    <row r="442" spans="1:17" ht="15">
      <c r="A442" s="90"/>
      <c r="B442" s="89" t="s">
        <v>180</v>
      </c>
      <c r="C442" s="47">
        <v>1</v>
      </c>
      <c r="D442" s="36">
        <f t="shared" ref="D442:Q442" si="244">D443+D445+D446</f>
        <v>1628</v>
      </c>
      <c r="E442" s="36">
        <f t="shared" si="244"/>
        <v>2305</v>
      </c>
      <c r="F442" s="36">
        <f t="shared" si="244"/>
        <v>2105.8199999999997</v>
      </c>
      <c r="G442" s="36">
        <f t="shared" si="244"/>
        <v>497</v>
      </c>
      <c r="H442" s="36">
        <f t="shared" si="244"/>
        <v>0</v>
      </c>
      <c r="I442" s="36">
        <f t="shared" si="244"/>
        <v>0</v>
      </c>
      <c r="J442" s="141">
        <f t="shared" si="244"/>
        <v>345</v>
      </c>
      <c r="K442" s="141">
        <f>K443+K445+K446</f>
        <v>60</v>
      </c>
      <c r="L442" s="141">
        <f>L443+L445+L446</f>
        <v>95</v>
      </c>
      <c r="M442" s="141">
        <f>M443+M445+M446</f>
        <v>90</v>
      </c>
      <c r="N442" s="141">
        <f>N443+N445+N446</f>
        <v>100</v>
      </c>
      <c r="O442" s="141">
        <f t="shared" si="244"/>
        <v>345</v>
      </c>
      <c r="P442" s="141">
        <f t="shared" si="244"/>
        <v>345</v>
      </c>
      <c r="Q442" s="141">
        <f t="shared" si="244"/>
        <v>345</v>
      </c>
    </row>
    <row r="443" spans="1:17" ht="15">
      <c r="A443" s="90"/>
      <c r="B443" s="89" t="s">
        <v>579</v>
      </c>
      <c r="C443" s="47">
        <v>10</v>
      </c>
      <c r="D443" s="37">
        <v>1329</v>
      </c>
      <c r="E443" s="37">
        <v>2005</v>
      </c>
      <c r="F443" s="32">
        <v>1839.06</v>
      </c>
      <c r="G443" s="32">
        <v>132</v>
      </c>
      <c r="H443" s="32"/>
      <c r="I443" s="37"/>
      <c r="J443" s="137">
        <v>0</v>
      </c>
      <c r="K443" s="137">
        <v>0</v>
      </c>
      <c r="L443" s="137">
        <v>0</v>
      </c>
      <c r="M443" s="137">
        <v>0</v>
      </c>
      <c r="N443" s="137">
        <v>0</v>
      </c>
      <c r="O443" s="137"/>
      <c r="P443" s="137"/>
      <c r="Q443" s="137"/>
    </row>
    <row r="444" spans="1:17" ht="0.75" customHeight="1">
      <c r="A444" s="90"/>
      <c r="B444" s="89" t="s">
        <v>580</v>
      </c>
      <c r="C444" s="47"/>
      <c r="D444" s="37">
        <v>0</v>
      </c>
      <c r="E444" s="37">
        <v>2</v>
      </c>
      <c r="F444" s="32"/>
      <c r="G444" s="32">
        <v>0</v>
      </c>
      <c r="H444" s="32"/>
      <c r="I444" s="37"/>
      <c r="J444" s="137">
        <v>0</v>
      </c>
      <c r="K444" s="137">
        <v>0</v>
      </c>
      <c r="L444" s="137">
        <v>0</v>
      </c>
      <c r="M444" s="137">
        <v>0</v>
      </c>
      <c r="N444" s="137">
        <v>0</v>
      </c>
      <c r="O444" s="137"/>
      <c r="P444" s="137"/>
      <c r="Q444" s="137"/>
    </row>
    <row r="445" spans="1:17" ht="15">
      <c r="A445" s="90"/>
      <c r="B445" s="89" t="s">
        <v>182</v>
      </c>
      <c r="C445" s="47">
        <v>20</v>
      </c>
      <c r="D445" s="37">
        <v>282</v>
      </c>
      <c r="E445" s="37">
        <v>280</v>
      </c>
      <c r="F445" s="32">
        <v>248.87</v>
      </c>
      <c r="G445" s="32">
        <v>295</v>
      </c>
      <c r="H445" s="32"/>
      <c r="I445" s="37"/>
      <c r="J445" s="137">
        <f>250+25</f>
        <v>275</v>
      </c>
      <c r="K445" s="137">
        <v>50</v>
      </c>
      <c r="L445" s="137">
        <v>70</v>
      </c>
      <c r="M445" s="137">
        <v>70</v>
      </c>
      <c r="N445" s="137">
        <v>85</v>
      </c>
      <c r="O445" s="137">
        <v>275</v>
      </c>
      <c r="P445" s="137">
        <v>275</v>
      </c>
      <c r="Q445" s="137">
        <v>275</v>
      </c>
    </row>
    <row r="446" spans="1:17" ht="14.25" customHeight="1">
      <c r="A446" s="90"/>
      <c r="B446" s="89" t="s">
        <v>307</v>
      </c>
      <c r="C446" s="47" t="s">
        <v>308</v>
      </c>
      <c r="D446" s="37">
        <v>17</v>
      </c>
      <c r="E446" s="37">
        <v>20</v>
      </c>
      <c r="F446" s="32">
        <v>17.89</v>
      </c>
      <c r="G446" s="32">
        <v>70</v>
      </c>
      <c r="H446" s="32"/>
      <c r="I446" s="37"/>
      <c r="J446" s="137">
        <v>70</v>
      </c>
      <c r="K446" s="137">
        <v>10</v>
      </c>
      <c r="L446" s="137">
        <v>25</v>
      </c>
      <c r="M446" s="137">
        <v>20</v>
      </c>
      <c r="N446" s="137">
        <v>15</v>
      </c>
      <c r="O446" s="137">
        <v>70</v>
      </c>
      <c r="P446" s="137">
        <v>70</v>
      </c>
      <c r="Q446" s="137">
        <v>70</v>
      </c>
    </row>
    <row r="447" spans="1:17" ht="12.75" customHeight="1">
      <c r="A447" s="90"/>
      <c r="B447" s="82" t="s">
        <v>191</v>
      </c>
      <c r="C447" s="47"/>
      <c r="D447" s="50">
        <f t="shared" ref="D447:Q447" si="245">D448</f>
        <v>398</v>
      </c>
      <c r="E447" s="50">
        <f t="shared" si="245"/>
        <v>0</v>
      </c>
      <c r="F447" s="50">
        <f t="shared" si="245"/>
        <v>0</v>
      </c>
      <c r="G447" s="50">
        <f t="shared" si="245"/>
        <v>0</v>
      </c>
      <c r="H447" s="50">
        <f t="shared" si="245"/>
        <v>0</v>
      </c>
      <c r="I447" s="50">
        <f t="shared" si="245"/>
        <v>0</v>
      </c>
      <c r="J447" s="146">
        <f t="shared" si="245"/>
        <v>0</v>
      </c>
      <c r="K447" s="146">
        <f t="shared" si="245"/>
        <v>0</v>
      </c>
      <c r="L447" s="146">
        <f t="shared" si="245"/>
        <v>0</v>
      </c>
      <c r="M447" s="146">
        <f t="shared" si="245"/>
        <v>0</v>
      </c>
      <c r="N447" s="146">
        <f t="shared" si="245"/>
        <v>0</v>
      </c>
      <c r="O447" s="146">
        <f t="shared" si="245"/>
        <v>0</v>
      </c>
      <c r="P447" s="146">
        <f t="shared" si="245"/>
        <v>0</v>
      </c>
      <c r="Q447" s="146">
        <f t="shared" si="245"/>
        <v>0</v>
      </c>
    </row>
    <row r="448" spans="1:17" ht="15.75" hidden="1" customHeight="1">
      <c r="A448" s="90"/>
      <c r="B448" s="72" t="s">
        <v>309</v>
      </c>
      <c r="C448" s="172">
        <v>70</v>
      </c>
      <c r="D448" s="37">
        <v>398</v>
      </c>
      <c r="E448" s="37"/>
      <c r="F448" s="32"/>
      <c r="G448" s="32"/>
      <c r="H448" s="32"/>
      <c r="I448" s="37"/>
      <c r="J448" s="137"/>
      <c r="K448" s="137"/>
      <c r="L448" s="137"/>
      <c r="M448" s="137"/>
      <c r="N448" s="137"/>
      <c r="O448" s="137"/>
      <c r="P448" s="137"/>
      <c r="Q448" s="137"/>
    </row>
    <row r="449" spans="1:17" ht="14.25">
      <c r="A449" s="90" t="s">
        <v>310</v>
      </c>
      <c r="B449" s="111" t="s">
        <v>311</v>
      </c>
      <c r="C449" s="159" t="s">
        <v>312</v>
      </c>
      <c r="D449" s="50">
        <f t="shared" ref="D449:Q449" si="246">D450+D456</f>
        <v>1622</v>
      </c>
      <c r="E449" s="50">
        <f t="shared" si="246"/>
        <v>2366</v>
      </c>
      <c r="F449" s="50">
        <f t="shared" si="246"/>
        <v>2245.29</v>
      </c>
      <c r="G449" s="50">
        <f t="shared" si="246"/>
        <v>321</v>
      </c>
      <c r="H449" s="50">
        <f t="shared" si="246"/>
        <v>0</v>
      </c>
      <c r="I449" s="50">
        <f t="shared" si="246"/>
        <v>5</v>
      </c>
      <c r="J449" s="146">
        <f t="shared" si="246"/>
        <v>212</v>
      </c>
      <c r="K449" s="146">
        <f>K450+K456</f>
        <v>52</v>
      </c>
      <c r="L449" s="146">
        <f>L450+L456</f>
        <v>54</v>
      </c>
      <c r="M449" s="146">
        <f>M450+M456</f>
        <v>53</v>
      </c>
      <c r="N449" s="146">
        <f>N450+N456</f>
        <v>53</v>
      </c>
      <c r="O449" s="146">
        <f t="shared" si="246"/>
        <v>212</v>
      </c>
      <c r="P449" s="146">
        <f t="shared" si="246"/>
        <v>212</v>
      </c>
      <c r="Q449" s="146">
        <f t="shared" si="246"/>
        <v>212</v>
      </c>
    </row>
    <row r="450" spans="1:17" ht="14.25">
      <c r="A450" s="90"/>
      <c r="B450" s="80" t="s">
        <v>179</v>
      </c>
      <c r="C450" s="47"/>
      <c r="D450" s="50">
        <f t="shared" ref="D450:Q450" si="247">D451</f>
        <v>1622</v>
      </c>
      <c r="E450" s="50">
        <f t="shared" si="247"/>
        <v>2361</v>
      </c>
      <c r="F450" s="50">
        <f t="shared" si="247"/>
        <v>2241.0099999999998</v>
      </c>
      <c r="G450" s="50">
        <f t="shared" si="247"/>
        <v>321</v>
      </c>
      <c r="H450" s="50">
        <f t="shared" si="247"/>
        <v>0</v>
      </c>
      <c r="I450" s="50">
        <f t="shared" si="247"/>
        <v>0</v>
      </c>
      <c r="J450" s="146">
        <f t="shared" si="247"/>
        <v>212</v>
      </c>
      <c r="K450" s="146">
        <f t="shared" si="247"/>
        <v>52</v>
      </c>
      <c r="L450" s="146">
        <f t="shared" si="247"/>
        <v>54</v>
      </c>
      <c r="M450" s="146">
        <f t="shared" si="247"/>
        <v>53</v>
      </c>
      <c r="N450" s="146">
        <f t="shared" si="247"/>
        <v>53</v>
      </c>
      <c r="O450" s="146">
        <f t="shared" si="247"/>
        <v>212</v>
      </c>
      <c r="P450" s="146">
        <f t="shared" si="247"/>
        <v>212</v>
      </c>
      <c r="Q450" s="146">
        <f t="shared" si="247"/>
        <v>212</v>
      </c>
    </row>
    <row r="451" spans="1:17" ht="15">
      <c r="A451" s="90"/>
      <c r="B451" s="89" t="s">
        <v>180</v>
      </c>
      <c r="C451" s="47">
        <v>1</v>
      </c>
      <c r="D451" s="36">
        <f t="shared" ref="D451:Q451" si="248">D452+D454+D455</f>
        <v>1622</v>
      </c>
      <c r="E451" s="36">
        <f t="shared" si="248"/>
        <v>2361</v>
      </c>
      <c r="F451" s="36">
        <f t="shared" si="248"/>
        <v>2241.0099999999998</v>
      </c>
      <c r="G451" s="36">
        <f t="shared" si="248"/>
        <v>321</v>
      </c>
      <c r="H451" s="36">
        <f t="shared" si="248"/>
        <v>0</v>
      </c>
      <c r="I451" s="36">
        <f t="shared" si="248"/>
        <v>0</v>
      </c>
      <c r="J451" s="141">
        <f t="shared" si="248"/>
        <v>212</v>
      </c>
      <c r="K451" s="141">
        <f>K452+K454+K455</f>
        <v>52</v>
      </c>
      <c r="L451" s="141">
        <f>L452+L454+L455</f>
        <v>54</v>
      </c>
      <c r="M451" s="141">
        <f>M452+M454+M455</f>
        <v>53</v>
      </c>
      <c r="N451" s="141">
        <f>N452+N454+N455</f>
        <v>53</v>
      </c>
      <c r="O451" s="141">
        <f t="shared" si="248"/>
        <v>212</v>
      </c>
      <c r="P451" s="141">
        <f t="shared" si="248"/>
        <v>212</v>
      </c>
      <c r="Q451" s="141">
        <f t="shared" si="248"/>
        <v>212</v>
      </c>
    </row>
    <row r="452" spans="1:17" ht="12" hidden="1" customHeight="1">
      <c r="A452" s="90"/>
      <c r="B452" s="89" t="s">
        <v>579</v>
      </c>
      <c r="C452" s="47">
        <v>10</v>
      </c>
      <c r="D452" s="37">
        <v>1400</v>
      </c>
      <c r="E452" s="37">
        <v>2161</v>
      </c>
      <c r="F452" s="32">
        <v>2052.54</v>
      </c>
      <c r="G452" s="32">
        <v>104</v>
      </c>
      <c r="H452" s="32"/>
      <c r="I452" s="37"/>
      <c r="J452" s="137">
        <v>0</v>
      </c>
      <c r="K452" s="137">
        <v>0</v>
      </c>
      <c r="L452" s="137">
        <v>0</v>
      </c>
      <c r="M452" s="137">
        <v>0</v>
      </c>
      <c r="N452" s="137">
        <v>0</v>
      </c>
      <c r="O452" s="137"/>
      <c r="P452" s="137"/>
      <c r="Q452" s="137"/>
    </row>
    <row r="453" spans="1:17" ht="15" hidden="1">
      <c r="A453" s="90"/>
      <c r="B453" s="89" t="s">
        <v>580</v>
      </c>
      <c r="C453" s="47"/>
      <c r="D453" s="37">
        <v>0</v>
      </c>
      <c r="E453" s="37">
        <v>3</v>
      </c>
      <c r="F453" s="32"/>
      <c r="G453" s="32">
        <v>0</v>
      </c>
      <c r="H453" s="32"/>
      <c r="I453" s="37"/>
      <c r="J453" s="137">
        <v>0</v>
      </c>
      <c r="K453" s="137">
        <v>0</v>
      </c>
      <c r="L453" s="137">
        <v>0</v>
      </c>
      <c r="M453" s="137">
        <v>0</v>
      </c>
      <c r="N453" s="137">
        <v>0</v>
      </c>
      <c r="O453" s="137"/>
      <c r="P453" s="137"/>
      <c r="Q453" s="137"/>
    </row>
    <row r="454" spans="1:17" ht="16.5" customHeight="1">
      <c r="A454" s="90"/>
      <c r="B454" s="89" t="s">
        <v>182</v>
      </c>
      <c r="C454" s="47">
        <v>20</v>
      </c>
      <c r="D454" s="37">
        <v>222</v>
      </c>
      <c r="E454" s="37">
        <v>200</v>
      </c>
      <c r="F454" s="32">
        <v>188.47</v>
      </c>
      <c r="G454" s="32">
        <v>205</v>
      </c>
      <c r="H454" s="32"/>
      <c r="I454" s="37"/>
      <c r="J454" s="137">
        <f>175+231-206</f>
        <v>200</v>
      </c>
      <c r="K454" s="137">
        <f>100-50</f>
        <v>50</v>
      </c>
      <c r="L454" s="137">
        <v>50</v>
      </c>
      <c r="M454" s="137">
        <v>50</v>
      </c>
      <c r="N454" s="137">
        <v>50</v>
      </c>
      <c r="O454" s="137">
        <v>200</v>
      </c>
      <c r="P454" s="137">
        <v>200</v>
      </c>
      <c r="Q454" s="137">
        <v>200</v>
      </c>
    </row>
    <row r="455" spans="1:17" ht="15" customHeight="1">
      <c r="A455" s="90"/>
      <c r="B455" s="89" t="s">
        <v>294</v>
      </c>
      <c r="C455" s="47" t="s">
        <v>212</v>
      </c>
      <c r="D455" s="37">
        <v>0</v>
      </c>
      <c r="E455" s="37">
        <v>0</v>
      </c>
      <c r="F455" s="32"/>
      <c r="G455" s="32">
        <v>12</v>
      </c>
      <c r="H455" s="32"/>
      <c r="I455" s="37">
        <v>0</v>
      </c>
      <c r="J455" s="137">
        <v>12</v>
      </c>
      <c r="K455" s="137">
        <v>2</v>
      </c>
      <c r="L455" s="137">
        <v>4</v>
      </c>
      <c r="M455" s="137">
        <v>3</v>
      </c>
      <c r="N455" s="137">
        <v>3</v>
      </c>
      <c r="O455" s="137">
        <v>12</v>
      </c>
      <c r="P455" s="137">
        <v>12</v>
      </c>
      <c r="Q455" s="137">
        <v>12</v>
      </c>
    </row>
    <row r="456" spans="1:17" ht="12.75" customHeight="1">
      <c r="A456" s="90"/>
      <c r="B456" s="82" t="s">
        <v>191</v>
      </c>
      <c r="C456" s="47"/>
      <c r="D456" s="36">
        <f t="shared" ref="D456:Q456" si="249">D457</f>
        <v>0</v>
      </c>
      <c r="E456" s="36">
        <f t="shared" si="249"/>
        <v>5</v>
      </c>
      <c r="F456" s="36">
        <f t="shared" si="249"/>
        <v>4.28</v>
      </c>
      <c r="G456" s="36">
        <f t="shared" si="249"/>
        <v>0</v>
      </c>
      <c r="H456" s="36">
        <f t="shared" si="249"/>
        <v>0</v>
      </c>
      <c r="I456" s="36">
        <f t="shared" si="249"/>
        <v>5</v>
      </c>
      <c r="J456" s="141">
        <f t="shared" si="249"/>
        <v>0</v>
      </c>
      <c r="K456" s="141">
        <f t="shared" si="249"/>
        <v>0</v>
      </c>
      <c r="L456" s="141">
        <f t="shared" si="249"/>
        <v>0</v>
      </c>
      <c r="M456" s="141">
        <f t="shared" si="249"/>
        <v>0</v>
      </c>
      <c r="N456" s="141">
        <f t="shared" si="249"/>
        <v>0</v>
      </c>
      <c r="O456" s="141">
        <f t="shared" si="249"/>
        <v>0</v>
      </c>
      <c r="P456" s="141">
        <f t="shared" si="249"/>
        <v>0</v>
      </c>
      <c r="Q456" s="141">
        <f t="shared" si="249"/>
        <v>0</v>
      </c>
    </row>
    <row r="457" spans="1:17" ht="18" hidden="1" customHeight="1">
      <c r="A457" s="90"/>
      <c r="B457" s="89" t="s">
        <v>220</v>
      </c>
      <c r="C457" s="47">
        <v>70</v>
      </c>
      <c r="D457" s="37">
        <v>0</v>
      </c>
      <c r="E457" s="37">
        <v>5</v>
      </c>
      <c r="F457" s="32">
        <v>4.28</v>
      </c>
      <c r="G457" s="32"/>
      <c r="H457" s="32"/>
      <c r="I457" s="37">
        <v>5</v>
      </c>
      <c r="J457" s="137"/>
      <c r="K457" s="137"/>
      <c r="L457" s="137"/>
      <c r="M457" s="137"/>
      <c r="N457" s="137"/>
      <c r="O457" s="137">
        <v>0</v>
      </c>
      <c r="P457" s="137">
        <v>0</v>
      </c>
      <c r="Q457" s="137">
        <v>0</v>
      </c>
    </row>
    <row r="458" spans="1:17" ht="15" customHeight="1">
      <c r="A458" s="90" t="s">
        <v>313</v>
      </c>
      <c r="B458" s="111" t="s">
        <v>527</v>
      </c>
      <c r="C458" s="159" t="s">
        <v>312</v>
      </c>
      <c r="D458" s="50">
        <f t="shared" ref="D458:Q458" si="250">D459+D465</f>
        <v>1812</v>
      </c>
      <c r="E458" s="50">
        <f t="shared" si="250"/>
        <v>2480</v>
      </c>
      <c r="F458" s="50">
        <f t="shared" si="250"/>
        <v>2474</v>
      </c>
      <c r="G458" s="50">
        <f t="shared" si="250"/>
        <v>3244</v>
      </c>
      <c r="H458" s="50">
        <f t="shared" si="250"/>
        <v>0</v>
      </c>
      <c r="I458" s="50">
        <f t="shared" si="250"/>
        <v>15</v>
      </c>
      <c r="J458" s="146">
        <f t="shared" si="250"/>
        <v>420</v>
      </c>
      <c r="K458" s="146">
        <f>K459+K465</f>
        <v>75</v>
      </c>
      <c r="L458" s="146">
        <f>L459+L465</f>
        <v>109</v>
      </c>
      <c r="M458" s="146">
        <f>M459+M465</f>
        <v>109</v>
      </c>
      <c r="N458" s="146">
        <f>N459+N465</f>
        <v>127</v>
      </c>
      <c r="O458" s="146">
        <f t="shared" si="250"/>
        <v>420</v>
      </c>
      <c r="P458" s="146">
        <f t="shared" si="250"/>
        <v>420</v>
      </c>
      <c r="Q458" s="146">
        <f t="shared" si="250"/>
        <v>420</v>
      </c>
    </row>
    <row r="459" spans="1:17" ht="15" customHeight="1">
      <c r="A459" s="90"/>
      <c r="B459" s="80" t="s">
        <v>179</v>
      </c>
      <c r="C459" s="47"/>
      <c r="D459" s="36">
        <f t="shared" ref="D459:Q459" si="251">D460</f>
        <v>1812</v>
      </c>
      <c r="E459" s="36">
        <f t="shared" si="251"/>
        <v>2465</v>
      </c>
      <c r="F459" s="36">
        <f t="shared" si="251"/>
        <v>2459</v>
      </c>
      <c r="G459" s="36">
        <f t="shared" si="251"/>
        <v>3244</v>
      </c>
      <c r="H459" s="36">
        <f t="shared" si="251"/>
        <v>0</v>
      </c>
      <c r="I459" s="36">
        <f t="shared" si="251"/>
        <v>0</v>
      </c>
      <c r="J459" s="141">
        <f t="shared" si="251"/>
        <v>420</v>
      </c>
      <c r="K459" s="141">
        <f t="shared" si="251"/>
        <v>75</v>
      </c>
      <c r="L459" s="141">
        <f t="shared" si="251"/>
        <v>109</v>
      </c>
      <c r="M459" s="141">
        <f t="shared" si="251"/>
        <v>109</v>
      </c>
      <c r="N459" s="141">
        <f t="shared" si="251"/>
        <v>127</v>
      </c>
      <c r="O459" s="141">
        <f t="shared" si="251"/>
        <v>420</v>
      </c>
      <c r="P459" s="141">
        <f t="shared" si="251"/>
        <v>420</v>
      </c>
      <c r="Q459" s="141">
        <f t="shared" si="251"/>
        <v>420</v>
      </c>
    </row>
    <row r="460" spans="1:17" ht="15" customHeight="1">
      <c r="A460" s="90"/>
      <c r="B460" s="89" t="s">
        <v>180</v>
      </c>
      <c r="C460" s="47">
        <v>1</v>
      </c>
      <c r="D460" s="36">
        <f t="shared" ref="D460:Q460" si="252">D461+D463+D464</f>
        <v>1812</v>
      </c>
      <c r="E460" s="36">
        <f t="shared" si="252"/>
        <v>2465</v>
      </c>
      <c r="F460" s="36">
        <f t="shared" si="252"/>
        <v>2459</v>
      </c>
      <c r="G460" s="36">
        <f t="shared" si="252"/>
        <v>3244</v>
      </c>
      <c r="H460" s="36">
        <f t="shared" si="252"/>
        <v>0</v>
      </c>
      <c r="I460" s="36">
        <f t="shared" si="252"/>
        <v>0</v>
      </c>
      <c r="J460" s="141">
        <f t="shared" si="252"/>
        <v>420</v>
      </c>
      <c r="K460" s="141">
        <f>K461+K463+K464</f>
        <v>75</v>
      </c>
      <c r="L460" s="141">
        <f>L461+L463+L464</f>
        <v>109</v>
      </c>
      <c r="M460" s="141">
        <f>M461+M463+M464</f>
        <v>109</v>
      </c>
      <c r="N460" s="141">
        <f>N461+N463+N464</f>
        <v>127</v>
      </c>
      <c r="O460" s="141">
        <f t="shared" si="252"/>
        <v>420</v>
      </c>
      <c r="P460" s="141">
        <f t="shared" si="252"/>
        <v>420</v>
      </c>
      <c r="Q460" s="141">
        <f t="shared" si="252"/>
        <v>420</v>
      </c>
    </row>
    <row r="461" spans="1:17" ht="15" hidden="1" customHeight="1">
      <c r="A461" s="90"/>
      <c r="B461" s="89" t="s">
        <v>579</v>
      </c>
      <c r="C461" s="47">
        <v>10</v>
      </c>
      <c r="D461" s="37">
        <v>1449</v>
      </c>
      <c r="E461" s="37">
        <v>2120</v>
      </c>
      <c r="F461" s="32">
        <v>2120</v>
      </c>
      <c r="G461" s="32">
        <v>2796</v>
      </c>
      <c r="H461" s="32"/>
      <c r="I461" s="37"/>
      <c r="J461" s="137">
        <v>0</v>
      </c>
      <c r="K461" s="137">
        <v>0</v>
      </c>
      <c r="L461" s="137">
        <v>0</v>
      </c>
      <c r="M461" s="137">
        <v>0</v>
      </c>
      <c r="N461" s="137">
        <v>0</v>
      </c>
      <c r="O461" s="137"/>
      <c r="P461" s="137"/>
      <c r="Q461" s="137"/>
    </row>
    <row r="462" spans="1:17" ht="15" hidden="1" customHeight="1">
      <c r="A462" s="90"/>
      <c r="B462" s="89" t="s">
        <v>580</v>
      </c>
      <c r="C462" s="47"/>
      <c r="D462" s="37">
        <v>0</v>
      </c>
      <c r="E462" s="37">
        <v>0</v>
      </c>
      <c r="F462" s="32"/>
      <c r="G462" s="32"/>
      <c r="H462" s="32"/>
      <c r="I462" s="37"/>
      <c r="J462" s="137"/>
      <c r="K462" s="137"/>
      <c r="L462" s="137"/>
      <c r="M462" s="137"/>
      <c r="N462" s="137"/>
      <c r="O462" s="137"/>
      <c r="P462" s="137"/>
      <c r="Q462" s="137"/>
    </row>
    <row r="463" spans="1:17" ht="15" customHeight="1">
      <c r="A463" s="90"/>
      <c r="B463" s="89" t="s">
        <v>182</v>
      </c>
      <c r="C463" s="47">
        <v>20</v>
      </c>
      <c r="D463" s="37">
        <v>322</v>
      </c>
      <c r="E463" s="37">
        <v>299</v>
      </c>
      <c r="F463" s="32">
        <v>293</v>
      </c>
      <c r="G463" s="32">
        <v>363</v>
      </c>
      <c r="H463" s="32"/>
      <c r="I463" s="37"/>
      <c r="J463" s="137">
        <f>305+30</f>
        <v>335</v>
      </c>
      <c r="K463" s="137">
        <v>60</v>
      </c>
      <c r="L463" s="137">
        <v>85</v>
      </c>
      <c r="M463" s="137">
        <v>85</v>
      </c>
      <c r="N463" s="137">
        <v>105</v>
      </c>
      <c r="O463" s="137">
        <v>335</v>
      </c>
      <c r="P463" s="137">
        <v>335</v>
      </c>
      <c r="Q463" s="137">
        <v>335</v>
      </c>
    </row>
    <row r="464" spans="1:17" ht="14.25" customHeight="1">
      <c r="A464" s="90"/>
      <c r="B464" s="89" t="s">
        <v>294</v>
      </c>
      <c r="C464" s="47" t="s">
        <v>212</v>
      </c>
      <c r="D464" s="37">
        <v>41</v>
      </c>
      <c r="E464" s="37">
        <v>46</v>
      </c>
      <c r="F464" s="32">
        <v>46</v>
      </c>
      <c r="G464" s="32">
        <v>85</v>
      </c>
      <c r="H464" s="32"/>
      <c r="I464" s="37"/>
      <c r="J464" s="137">
        <v>85</v>
      </c>
      <c r="K464" s="137">
        <v>15</v>
      </c>
      <c r="L464" s="137">
        <v>24</v>
      </c>
      <c r="M464" s="137">
        <v>24</v>
      </c>
      <c r="N464" s="137">
        <v>22</v>
      </c>
      <c r="O464" s="137">
        <v>85</v>
      </c>
      <c r="P464" s="137">
        <v>85</v>
      </c>
      <c r="Q464" s="137">
        <v>85</v>
      </c>
    </row>
    <row r="465" spans="1:17" ht="11.25" customHeight="1">
      <c r="A465" s="90"/>
      <c r="B465" s="82" t="s">
        <v>191</v>
      </c>
      <c r="C465" s="47"/>
      <c r="D465" s="36">
        <f t="shared" ref="D465:Q465" si="253">D466</f>
        <v>0</v>
      </c>
      <c r="E465" s="36">
        <f t="shared" si="253"/>
        <v>15</v>
      </c>
      <c r="F465" s="36">
        <f t="shared" si="253"/>
        <v>15</v>
      </c>
      <c r="G465" s="36">
        <f t="shared" si="253"/>
        <v>0</v>
      </c>
      <c r="H465" s="36">
        <f t="shared" si="253"/>
        <v>0</v>
      </c>
      <c r="I465" s="36">
        <f t="shared" si="253"/>
        <v>15</v>
      </c>
      <c r="J465" s="141">
        <f t="shared" si="253"/>
        <v>0</v>
      </c>
      <c r="K465" s="141">
        <f t="shared" si="253"/>
        <v>0</v>
      </c>
      <c r="L465" s="141">
        <f t="shared" si="253"/>
        <v>0</v>
      </c>
      <c r="M465" s="141">
        <f t="shared" si="253"/>
        <v>0</v>
      </c>
      <c r="N465" s="141">
        <f t="shared" si="253"/>
        <v>0</v>
      </c>
      <c r="O465" s="141">
        <f t="shared" si="253"/>
        <v>0</v>
      </c>
      <c r="P465" s="141">
        <f t="shared" si="253"/>
        <v>0</v>
      </c>
      <c r="Q465" s="141">
        <f t="shared" si="253"/>
        <v>0</v>
      </c>
    </row>
    <row r="466" spans="1:17" ht="24.75" hidden="1" customHeight="1">
      <c r="A466" s="90"/>
      <c r="B466" s="89" t="s">
        <v>220</v>
      </c>
      <c r="C466" s="47">
        <v>70</v>
      </c>
      <c r="D466" s="37">
        <v>0</v>
      </c>
      <c r="E466" s="37">
        <v>15</v>
      </c>
      <c r="F466" s="32">
        <v>15</v>
      </c>
      <c r="G466" s="32"/>
      <c r="H466" s="32"/>
      <c r="I466" s="37">
        <v>15</v>
      </c>
      <c r="J466" s="137"/>
      <c r="K466" s="137"/>
      <c r="L466" s="137"/>
      <c r="M466" s="137"/>
      <c r="N466" s="137"/>
      <c r="O466" s="137"/>
      <c r="P466" s="137"/>
      <c r="Q466" s="137"/>
    </row>
    <row r="467" spans="1:17" ht="28.5">
      <c r="A467" s="90" t="s">
        <v>314</v>
      </c>
      <c r="B467" s="109" t="s">
        <v>571</v>
      </c>
      <c r="C467" s="47" t="s">
        <v>315</v>
      </c>
      <c r="D467" s="50">
        <f t="shared" ref="D467:Q468" si="254">D468</f>
        <v>12369</v>
      </c>
      <c r="E467" s="50">
        <f t="shared" si="254"/>
        <v>15760</v>
      </c>
      <c r="F467" s="50">
        <f t="shared" si="254"/>
        <v>5500</v>
      </c>
      <c r="G467" s="50">
        <f t="shared" si="254"/>
        <v>9286</v>
      </c>
      <c r="H467" s="50">
        <f t="shared" si="254"/>
        <v>0</v>
      </c>
      <c r="I467" s="50">
        <f t="shared" si="254"/>
        <v>1616</v>
      </c>
      <c r="J467" s="146">
        <f t="shared" si="254"/>
        <v>9286</v>
      </c>
      <c r="K467" s="146">
        <f t="shared" si="254"/>
        <v>1700</v>
      </c>
      <c r="L467" s="146">
        <f t="shared" si="254"/>
        <v>2800</v>
      </c>
      <c r="M467" s="146">
        <f t="shared" si="254"/>
        <v>1800</v>
      </c>
      <c r="N467" s="146">
        <f t="shared" si="254"/>
        <v>2986</v>
      </c>
      <c r="O467" s="146">
        <f t="shared" si="254"/>
        <v>12975</v>
      </c>
      <c r="P467" s="146">
        <f t="shared" si="254"/>
        <v>12949</v>
      </c>
      <c r="Q467" s="146">
        <f t="shared" si="254"/>
        <v>12980</v>
      </c>
    </row>
    <row r="468" spans="1:17" ht="14.25">
      <c r="A468" s="90"/>
      <c r="B468" s="80" t="s">
        <v>179</v>
      </c>
      <c r="C468" s="47"/>
      <c r="D468" s="50">
        <f t="shared" si="254"/>
        <v>12369</v>
      </c>
      <c r="E468" s="50">
        <f t="shared" si="254"/>
        <v>15760</v>
      </c>
      <c r="F468" s="50">
        <f t="shared" si="254"/>
        <v>5500</v>
      </c>
      <c r="G468" s="50">
        <f t="shared" si="254"/>
        <v>9286</v>
      </c>
      <c r="H468" s="50">
        <f t="shared" si="254"/>
        <v>0</v>
      </c>
      <c r="I468" s="50">
        <f t="shared" si="254"/>
        <v>1616</v>
      </c>
      <c r="J468" s="146">
        <f t="shared" si="254"/>
        <v>9286</v>
      </c>
      <c r="K468" s="146">
        <f t="shared" si="254"/>
        <v>1700</v>
      </c>
      <c r="L468" s="146">
        <f t="shared" si="254"/>
        <v>2800</v>
      </c>
      <c r="M468" s="146">
        <f t="shared" si="254"/>
        <v>1800</v>
      </c>
      <c r="N468" s="146">
        <f t="shared" si="254"/>
        <v>2986</v>
      </c>
      <c r="O468" s="146">
        <f t="shared" si="254"/>
        <v>12975</v>
      </c>
      <c r="P468" s="146">
        <f t="shared" si="254"/>
        <v>12949</v>
      </c>
      <c r="Q468" s="146">
        <f t="shared" si="254"/>
        <v>12980</v>
      </c>
    </row>
    <row r="469" spans="1:17" ht="14.25" customHeight="1">
      <c r="A469" s="90"/>
      <c r="B469" s="89" t="s">
        <v>180</v>
      </c>
      <c r="C469" s="47">
        <v>1</v>
      </c>
      <c r="D469" s="36">
        <f t="shared" ref="D469:Q469" si="255">D471+D470</f>
        <v>12369</v>
      </c>
      <c r="E469" s="36">
        <f t="shared" si="255"/>
        <v>15760</v>
      </c>
      <c r="F469" s="36">
        <f t="shared" si="255"/>
        <v>5500</v>
      </c>
      <c r="G469" s="36">
        <f t="shared" si="255"/>
        <v>9286</v>
      </c>
      <c r="H469" s="36">
        <f t="shared" si="255"/>
        <v>0</v>
      </c>
      <c r="I469" s="36">
        <f t="shared" si="255"/>
        <v>1616</v>
      </c>
      <c r="J469" s="141">
        <f t="shared" si="255"/>
        <v>9286</v>
      </c>
      <c r="K469" s="141">
        <f>K471+K470</f>
        <v>1700</v>
      </c>
      <c r="L469" s="141">
        <f>L471+L470</f>
        <v>2800</v>
      </c>
      <c r="M469" s="141">
        <f>M471+M470</f>
        <v>1800</v>
      </c>
      <c r="N469" s="141">
        <f>N471+N470</f>
        <v>2986</v>
      </c>
      <c r="O469" s="141">
        <f t="shared" si="255"/>
        <v>12975</v>
      </c>
      <c r="P469" s="141">
        <f t="shared" si="255"/>
        <v>12949</v>
      </c>
      <c r="Q469" s="141">
        <f t="shared" si="255"/>
        <v>12980</v>
      </c>
    </row>
    <row r="470" spans="1:17" ht="0.75" customHeight="1">
      <c r="A470" s="90"/>
      <c r="B470" s="110" t="s">
        <v>316</v>
      </c>
      <c r="C470" s="47" t="s">
        <v>317</v>
      </c>
      <c r="D470" s="37">
        <v>3359</v>
      </c>
      <c r="E470" s="37"/>
      <c r="F470" s="32"/>
      <c r="G470" s="32"/>
      <c r="H470" s="32"/>
      <c r="I470" s="37"/>
      <c r="J470" s="137"/>
      <c r="K470" s="137"/>
      <c r="L470" s="137"/>
      <c r="M470" s="137"/>
      <c r="N470" s="137"/>
      <c r="O470" s="137"/>
      <c r="P470" s="137"/>
      <c r="Q470" s="137"/>
    </row>
    <row r="471" spans="1:17" ht="18.75" customHeight="1">
      <c r="A471" s="77"/>
      <c r="B471" s="77" t="s">
        <v>318</v>
      </c>
      <c r="C471" s="47" t="s">
        <v>319</v>
      </c>
      <c r="D471" s="37">
        <v>9010</v>
      </c>
      <c r="E471" s="37">
        <f>E22+E23</f>
        <v>15760</v>
      </c>
      <c r="F471" s="37">
        <v>5500</v>
      </c>
      <c r="G471" s="37">
        <v>9286</v>
      </c>
      <c r="H471" s="37">
        <f>H22+H23</f>
        <v>0</v>
      </c>
      <c r="I471" s="37">
        <f>I22+I23</f>
        <v>1616</v>
      </c>
      <c r="J471" s="140">
        <v>9286</v>
      </c>
      <c r="K471" s="140">
        <v>1700</v>
      </c>
      <c r="L471" s="140">
        <f>3500-700</f>
        <v>2800</v>
      </c>
      <c r="M471" s="140">
        <f>1500+300</f>
        <v>1800</v>
      </c>
      <c r="N471" s="140">
        <f>2586+400</f>
        <v>2986</v>
      </c>
      <c r="O471" s="140">
        <f>O22</f>
        <v>12975</v>
      </c>
      <c r="P471" s="140">
        <f>P22</f>
        <v>12949</v>
      </c>
      <c r="Q471" s="140">
        <f>Q22</f>
        <v>12980</v>
      </c>
    </row>
    <row r="472" spans="1:17" ht="27" customHeight="1">
      <c r="A472" s="90" t="s">
        <v>320</v>
      </c>
      <c r="B472" s="109" t="s">
        <v>321</v>
      </c>
      <c r="C472" s="47" t="s">
        <v>322</v>
      </c>
      <c r="D472" s="50">
        <f t="shared" ref="D472:Q472" si="256">D473+D478</f>
        <v>5082</v>
      </c>
      <c r="E472" s="50">
        <f t="shared" si="256"/>
        <v>6842</v>
      </c>
      <c r="F472" s="50">
        <f t="shared" si="256"/>
        <v>6677.39</v>
      </c>
      <c r="G472" s="50">
        <f t="shared" si="256"/>
        <v>482</v>
      </c>
      <c r="H472" s="50">
        <f t="shared" si="256"/>
        <v>0</v>
      </c>
      <c r="I472" s="50">
        <f t="shared" si="256"/>
        <v>15</v>
      </c>
      <c r="J472" s="146">
        <f t="shared" si="256"/>
        <v>130</v>
      </c>
      <c r="K472" s="146">
        <f>K473+K478</f>
        <v>25</v>
      </c>
      <c r="L472" s="146">
        <f>L473+L478</f>
        <v>35</v>
      </c>
      <c r="M472" s="146">
        <f>M473+M478</f>
        <v>35</v>
      </c>
      <c r="N472" s="146">
        <f>N473+N478</f>
        <v>35</v>
      </c>
      <c r="O472" s="146">
        <f t="shared" si="256"/>
        <v>140</v>
      </c>
      <c r="P472" s="146">
        <f t="shared" si="256"/>
        <v>150</v>
      </c>
      <c r="Q472" s="146">
        <f t="shared" si="256"/>
        <v>180</v>
      </c>
    </row>
    <row r="473" spans="1:17" ht="12" customHeight="1">
      <c r="A473" s="90"/>
      <c r="B473" s="80" t="s">
        <v>179</v>
      </c>
      <c r="C473" s="47"/>
      <c r="D473" s="50">
        <f t="shared" ref="D473:Q473" si="257">D474</f>
        <v>5058</v>
      </c>
      <c r="E473" s="50">
        <f t="shared" si="257"/>
        <v>6827</v>
      </c>
      <c r="F473" s="50">
        <f t="shared" si="257"/>
        <v>6662.39</v>
      </c>
      <c r="G473" s="50">
        <f t="shared" si="257"/>
        <v>482</v>
      </c>
      <c r="H473" s="50">
        <f t="shared" si="257"/>
        <v>0</v>
      </c>
      <c r="I473" s="50">
        <f t="shared" si="257"/>
        <v>0</v>
      </c>
      <c r="J473" s="146">
        <f t="shared" si="257"/>
        <v>130</v>
      </c>
      <c r="K473" s="146">
        <f t="shared" si="257"/>
        <v>25</v>
      </c>
      <c r="L473" s="146">
        <f t="shared" si="257"/>
        <v>35</v>
      </c>
      <c r="M473" s="146">
        <f t="shared" si="257"/>
        <v>35</v>
      </c>
      <c r="N473" s="146">
        <f t="shared" si="257"/>
        <v>35</v>
      </c>
      <c r="O473" s="146">
        <f t="shared" si="257"/>
        <v>140</v>
      </c>
      <c r="P473" s="146">
        <f t="shared" si="257"/>
        <v>150</v>
      </c>
      <c r="Q473" s="146">
        <f t="shared" si="257"/>
        <v>180</v>
      </c>
    </row>
    <row r="474" spans="1:17" ht="14.25" customHeight="1">
      <c r="A474" s="90"/>
      <c r="B474" s="89" t="s">
        <v>180</v>
      </c>
      <c r="C474" s="47"/>
      <c r="D474" s="36">
        <f t="shared" ref="D474:Q474" si="258">D475+D477</f>
        <v>5058</v>
      </c>
      <c r="E474" s="36">
        <f t="shared" si="258"/>
        <v>6827</v>
      </c>
      <c r="F474" s="36">
        <f t="shared" si="258"/>
        <v>6662.39</v>
      </c>
      <c r="G474" s="36">
        <f t="shared" si="258"/>
        <v>482</v>
      </c>
      <c r="H474" s="36">
        <f t="shared" si="258"/>
        <v>0</v>
      </c>
      <c r="I474" s="36">
        <f t="shared" si="258"/>
        <v>0</v>
      </c>
      <c r="J474" s="141">
        <f t="shared" si="258"/>
        <v>130</v>
      </c>
      <c r="K474" s="141">
        <f>K475+K477</f>
        <v>25</v>
      </c>
      <c r="L474" s="141">
        <f>L475+L477</f>
        <v>35</v>
      </c>
      <c r="M474" s="141">
        <f>M475+M477</f>
        <v>35</v>
      </c>
      <c r="N474" s="141">
        <f>N475+N477</f>
        <v>35</v>
      </c>
      <c r="O474" s="141">
        <f t="shared" si="258"/>
        <v>140</v>
      </c>
      <c r="P474" s="141">
        <f t="shared" si="258"/>
        <v>150</v>
      </c>
      <c r="Q474" s="141">
        <f t="shared" si="258"/>
        <v>180</v>
      </c>
    </row>
    <row r="475" spans="1:17" ht="12" hidden="1" customHeight="1">
      <c r="A475" s="90"/>
      <c r="B475" s="89" t="s">
        <v>579</v>
      </c>
      <c r="C475" s="47">
        <v>10</v>
      </c>
      <c r="D475" s="37">
        <v>4965</v>
      </c>
      <c r="E475" s="37">
        <v>6718</v>
      </c>
      <c r="F475" s="32">
        <v>6564.6</v>
      </c>
      <c r="G475" s="32">
        <v>348</v>
      </c>
      <c r="H475" s="32"/>
      <c r="I475" s="37"/>
      <c r="J475" s="137">
        <v>0</v>
      </c>
      <c r="K475" s="137">
        <v>0</v>
      </c>
      <c r="L475" s="137">
        <v>0</v>
      </c>
      <c r="M475" s="137">
        <v>0</v>
      </c>
      <c r="N475" s="137">
        <v>0</v>
      </c>
      <c r="O475" s="137"/>
      <c r="P475" s="137"/>
      <c r="Q475" s="137"/>
    </row>
    <row r="476" spans="1:17" ht="12" hidden="1" customHeight="1">
      <c r="A476" s="90"/>
      <c r="B476" s="89" t="s">
        <v>580</v>
      </c>
      <c r="C476" s="47"/>
      <c r="D476" s="37">
        <v>0</v>
      </c>
      <c r="E476" s="37">
        <v>19</v>
      </c>
      <c r="F476" s="32"/>
      <c r="G476" s="32">
        <v>0</v>
      </c>
      <c r="H476" s="32"/>
      <c r="I476" s="37"/>
      <c r="J476" s="137">
        <v>0</v>
      </c>
      <c r="K476" s="137">
        <v>0</v>
      </c>
      <c r="L476" s="137">
        <v>0</v>
      </c>
      <c r="M476" s="137">
        <v>0</v>
      </c>
      <c r="N476" s="137">
        <v>0</v>
      </c>
      <c r="O476" s="137"/>
      <c r="P476" s="137"/>
      <c r="Q476" s="137"/>
    </row>
    <row r="477" spans="1:17" ht="12.75" customHeight="1">
      <c r="A477" s="90"/>
      <c r="B477" s="89" t="s">
        <v>182</v>
      </c>
      <c r="C477" s="47">
        <v>20</v>
      </c>
      <c r="D477" s="37">
        <v>93</v>
      </c>
      <c r="E477" s="37">
        <v>109</v>
      </c>
      <c r="F477" s="32">
        <v>97.79</v>
      </c>
      <c r="G477" s="32">
        <v>134</v>
      </c>
      <c r="H477" s="32"/>
      <c r="I477" s="37"/>
      <c r="J477" s="137">
        <f>115+15</f>
        <v>130</v>
      </c>
      <c r="K477" s="137">
        <v>25</v>
      </c>
      <c r="L477" s="137">
        <v>35</v>
      </c>
      <c r="M477" s="137">
        <v>35</v>
      </c>
      <c r="N477" s="137">
        <v>35</v>
      </c>
      <c r="O477" s="137">
        <v>140</v>
      </c>
      <c r="P477" s="137">
        <v>150</v>
      </c>
      <c r="Q477" s="137">
        <v>180</v>
      </c>
    </row>
    <row r="478" spans="1:17" ht="15" hidden="1" customHeight="1">
      <c r="A478" s="90"/>
      <c r="B478" s="82" t="s">
        <v>191</v>
      </c>
      <c r="C478" s="47"/>
      <c r="D478" s="36">
        <f t="shared" ref="D478:Q478" si="259">D479</f>
        <v>24</v>
      </c>
      <c r="E478" s="36">
        <f t="shared" si="259"/>
        <v>15</v>
      </c>
      <c r="F478" s="36">
        <f t="shared" si="259"/>
        <v>15</v>
      </c>
      <c r="G478" s="36">
        <f t="shared" si="259"/>
        <v>0</v>
      </c>
      <c r="H478" s="36">
        <f t="shared" si="259"/>
        <v>0</v>
      </c>
      <c r="I478" s="36">
        <f t="shared" si="259"/>
        <v>15</v>
      </c>
      <c r="J478" s="141">
        <f t="shared" si="259"/>
        <v>0</v>
      </c>
      <c r="K478" s="141">
        <f t="shared" si="259"/>
        <v>0</v>
      </c>
      <c r="L478" s="141">
        <f t="shared" si="259"/>
        <v>0</v>
      </c>
      <c r="M478" s="141">
        <f t="shared" si="259"/>
        <v>0</v>
      </c>
      <c r="N478" s="141">
        <f t="shared" si="259"/>
        <v>0</v>
      </c>
      <c r="O478" s="141">
        <f t="shared" si="259"/>
        <v>0</v>
      </c>
      <c r="P478" s="141">
        <f t="shared" si="259"/>
        <v>0</v>
      </c>
      <c r="Q478" s="141">
        <f t="shared" si="259"/>
        <v>0</v>
      </c>
    </row>
    <row r="479" spans="1:17" ht="0.75" customHeight="1">
      <c r="A479" s="90"/>
      <c r="B479" s="89" t="s">
        <v>220</v>
      </c>
      <c r="C479" s="47">
        <v>70</v>
      </c>
      <c r="D479" s="37">
        <v>24</v>
      </c>
      <c r="E479" s="37">
        <v>15</v>
      </c>
      <c r="F479" s="32">
        <v>15</v>
      </c>
      <c r="G479" s="32"/>
      <c r="H479" s="32"/>
      <c r="I479" s="37">
        <v>15</v>
      </c>
      <c r="J479" s="137"/>
      <c r="K479" s="137"/>
      <c r="L479" s="137"/>
      <c r="M479" s="137"/>
      <c r="N479" s="137"/>
      <c r="O479" s="137"/>
      <c r="P479" s="137"/>
      <c r="Q479" s="137"/>
    </row>
    <row r="480" spans="1:17" ht="14.25">
      <c r="A480" s="99">
        <v>2</v>
      </c>
      <c r="B480" s="103" t="s">
        <v>323</v>
      </c>
      <c r="C480" s="166">
        <v>66.02</v>
      </c>
      <c r="D480" s="50">
        <f t="shared" ref="D480:Q480" si="260">D481+D489</f>
        <v>15401</v>
      </c>
      <c r="E480" s="50">
        <f t="shared" si="260"/>
        <v>19123</v>
      </c>
      <c r="F480" s="50">
        <f t="shared" si="260"/>
        <v>19754.419999999998</v>
      </c>
      <c r="G480" s="50">
        <f t="shared" si="260"/>
        <v>65601</v>
      </c>
      <c r="H480" s="50">
        <f t="shared" si="260"/>
        <v>0</v>
      </c>
      <c r="I480" s="50">
        <f t="shared" si="260"/>
        <v>0</v>
      </c>
      <c r="J480" s="146">
        <f t="shared" si="260"/>
        <v>16971</v>
      </c>
      <c r="K480" s="146">
        <f>K481+K489</f>
        <v>12256</v>
      </c>
      <c r="L480" s="146">
        <f>L481+L489</f>
        <v>2435</v>
      </c>
      <c r="M480" s="146">
        <f>M481+M489</f>
        <v>1405</v>
      </c>
      <c r="N480" s="146">
        <f>N481+N489</f>
        <v>875</v>
      </c>
      <c r="O480" s="146">
        <f t="shared" si="260"/>
        <v>11030</v>
      </c>
      <c r="P480" s="146">
        <f t="shared" si="260"/>
        <v>11035</v>
      </c>
      <c r="Q480" s="146">
        <f t="shared" si="260"/>
        <v>11040</v>
      </c>
    </row>
    <row r="481" spans="1:17" ht="14.25">
      <c r="A481" s="90" t="s">
        <v>324</v>
      </c>
      <c r="B481" s="82" t="s">
        <v>325</v>
      </c>
      <c r="C481" s="47" t="s">
        <v>326</v>
      </c>
      <c r="D481" s="50">
        <f t="shared" ref="D481:Q481" si="261">D482+D486</f>
        <v>13036</v>
      </c>
      <c r="E481" s="50">
        <f t="shared" si="261"/>
        <v>15658</v>
      </c>
      <c r="F481" s="50">
        <f t="shared" si="261"/>
        <v>15658</v>
      </c>
      <c r="G481" s="50">
        <f t="shared" si="261"/>
        <v>57823</v>
      </c>
      <c r="H481" s="50">
        <f t="shared" si="261"/>
        <v>0</v>
      </c>
      <c r="I481" s="50">
        <f t="shared" si="261"/>
        <v>0</v>
      </c>
      <c r="J481" s="146">
        <f t="shared" si="261"/>
        <v>11891</v>
      </c>
      <c r="K481" s="146">
        <f>K482+K486</f>
        <v>10891</v>
      </c>
      <c r="L481" s="146">
        <f>L482+L486</f>
        <v>1000</v>
      </c>
      <c r="M481" s="146">
        <f>M482+M486</f>
        <v>0</v>
      </c>
      <c r="N481" s="146">
        <f>N482+N486</f>
        <v>0</v>
      </c>
      <c r="O481" s="146">
        <f t="shared" si="261"/>
        <v>5000</v>
      </c>
      <c r="P481" s="146">
        <f t="shared" si="261"/>
        <v>5000</v>
      </c>
      <c r="Q481" s="146">
        <f t="shared" si="261"/>
        <v>5000</v>
      </c>
    </row>
    <row r="482" spans="1:17" ht="14.25">
      <c r="A482" s="90"/>
      <c r="B482" s="80" t="s">
        <v>179</v>
      </c>
      <c r="C482" s="47"/>
      <c r="D482" s="50">
        <f t="shared" ref="D482:Q484" si="262">D483</f>
        <v>9429</v>
      </c>
      <c r="E482" s="50">
        <f t="shared" si="262"/>
        <v>10000</v>
      </c>
      <c r="F482" s="50">
        <f t="shared" si="262"/>
        <v>10000</v>
      </c>
      <c r="G482" s="50">
        <f t="shared" si="262"/>
        <v>10000</v>
      </c>
      <c r="H482" s="50">
        <f t="shared" si="262"/>
        <v>0</v>
      </c>
      <c r="I482" s="50">
        <f t="shared" si="262"/>
        <v>0</v>
      </c>
      <c r="J482" s="146">
        <f t="shared" si="262"/>
        <v>2000</v>
      </c>
      <c r="K482" s="146">
        <f t="shared" si="262"/>
        <v>1000</v>
      </c>
      <c r="L482" s="146">
        <f t="shared" si="262"/>
        <v>1000</v>
      </c>
      <c r="M482" s="146">
        <f t="shared" si="262"/>
        <v>0</v>
      </c>
      <c r="N482" s="146">
        <f t="shared" si="262"/>
        <v>0</v>
      </c>
      <c r="O482" s="146">
        <f t="shared" si="262"/>
        <v>5000</v>
      </c>
      <c r="P482" s="146">
        <f t="shared" si="262"/>
        <v>5000</v>
      </c>
      <c r="Q482" s="146">
        <f t="shared" si="262"/>
        <v>5000</v>
      </c>
    </row>
    <row r="483" spans="1:17" ht="15">
      <c r="A483" s="90"/>
      <c r="B483" s="89" t="s">
        <v>180</v>
      </c>
      <c r="C483" s="47">
        <v>1</v>
      </c>
      <c r="D483" s="36">
        <f t="shared" si="262"/>
        <v>9429</v>
      </c>
      <c r="E483" s="36">
        <f t="shared" si="262"/>
        <v>10000</v>
      </c>
      <c r="F483" s="36">
        <f t="shared" si="262"/>
        <v>10000</v>
      </c>
      <c r="G483" s="36">
        <f t="shared" si="262"/>
        <v>10000</v>
      </c>
      <c r="H483" s="36">
        <f t="shared" si="262"/>
        <v>0</v>
      </c>
      <c r="I483" s="36">
        <f t="shared" si="262"/>
        <v>0</v>
      </c>
      <c r="J483" s="141">
        <f t="shared" si="262"/>
        <v>2000</v>
      </c>
      <c r="K483" s="141">
        <f t="shared" si="262"/>
        <v>1000</v>
      </c>
      <c r="L483" s="141">
        <f t="shared" si="262"/>
        <v>1000</v>
      </c>
      <c r="M483" s="141">
        <f t="shared" si="262"/>
        <v>0</v>
      </c>
      <c r="N483" s="141">
        <f t="shared" si="262"/>
        <v>0</v>
      </c>
      <c r="O483" s="141">
        <f t="shared" si="262"/>
        <v>5000</v>
      </c>
      <c r="P483" s="141">
        <f t="shared" si="262"/>
        <v>5000</v>
      </c>
      <c r="Q483" s="141">
        <f t="shared" si="262"/>
        <v>5000</v>
      </c>
    </row>
    <row r="484" spans="1:17" ht="15">
      <c r="A484" s="90"/>
      <c r="B484" s="89" t="s">
        <v>327</v>
      </c>
      <c r="C484" s="159" t="s">
        <v>328</v>
      </c>
      <c r="D484" s="36">
        <f t="shared" si="262"/>
        <v>9429</v>
      </c>
      <c r="E484" s="36">
        <f t="shared" si="262"/>
        <v>10000</v>
      </c>
      <c r="F484" s="36">
        <f t="shared" si="262"/>
        <v>10000</v>
      </c>
      <c r="G484" s="36">
        <f t="shared" si="262"/>
        <v>10000</v>
      </c>
      <c r="H484" s="36">
        <f t="shared" si="262"/>
        <v>0</v>
      </c>
      <c r="I484" s="36">
        <f t="shared" si="262"/>
        <v>0</v>
      </c>
      <c r="J484" s="141">
        <f t="shared" si="262"/>
        <v>2000</v>
      </c>
      <c r="K484" s="141">
        <f t="shared" si="262"/>
        <v>1000</v>
      </c>
      <c r="L484" s="141">
        <f t="shared" si="262"/>
        <v>1000</v>
      </c>
      <c r="M484" s="141">
        <f t="shared" si="262"/>
        <v>0</v>
      </c>
      <c r="N484" s="141">
        <f t="shared" si="262"/>
        <v>0</v>
      </c>
      <c r="O484" s="141">
        <f t="shared" si="262"/>
        <v>5000</v>
      </c>
      <c r="P484" s="141">
        <f t="shared" si="262"/>
        <v>5000</v>
      </c>
      <c r="Q484" s="141">
        <f t="shared" si="262"/>
        <v>5000</v>
      </c>
    </row>
    <row r="485" spans="1:17" ht="15">
      <c r="A485" s="90"/>
      <c r="B485" s="89" t="s">
        <v>329</v>
      </c>
      <c r="C485" s="159" t="s">
        <v>330</v>
      </c>
      <c r="D485" s="37">
        <v>9429</v>
      </c>
      <c r="E485" s="37">
        <v>10000</v>
      </c>
      <c r="F485" s="32">
        <v>10000</v>
      </c>
      <c r="G485" s="32">
        <v>10000</v>
      </c>
      <c r="H485" s="32"/>
      <c r="I485" s="37"/>
      <c r="J485" s="137">
        <v>2000</v>
      </c>
      <c r="K485" s="137">
        <v>1000</v>
      </c>
      <c r="L485" s="137">
        <v>1000</v>
      </c>
      <c r="M485" s="137">
        <v>0</v>
      </c>
      <c r="N485" s="137">
        <v>0</v>
      </c>
      <c r="O485" s="137">
        <v>5000</v>
      </c>
      <c r="P485" s="137">
        <v>5000</v>
      </c>
      <c r="Q485" s="137">
        <v>5000</v>
      </c>
    </row>
    <row r="486" spans="1:17" ht="14.25">
      <c r="A486" s="90"/>
      <c r="B486" s="82" t="s">
        <v>191</v>
      </c>
      <c r="C486" s="47"/>
      <c r="D486" s="37">
        <f t="shared" ref="D486:Q486" si="263">D487+D488</f>
        <v>3607</v>
      </c>
      <c r="E486" s="36">
        <f t="shared" si="263"/>
        <v>5658</v>
      </c>
      <c r="F486" s="36">
        <f t="shared" si="263"/>
        <v>5658</v>
      </c>
      <c r="G486" s="36">
        <f t="shared" si="263"/>
        <v>47823</v>
      </c>
      <c r="H486" s="36">
        <f t="shared" si="263"/>
        <v>0</v>
      </c>
      <c r="I486" s="36">
        <f t="shared" si="263"/>
        <v>0</v>
      </c>
      <c r="J486" s="141">
        <f t="shared" si="263"/>
        <v>9891</v>
      </c>
      <c r="K486" s="141">
        <f>K487+K488</f>
        <v>9891</v>
      </c>
      <c r="L486" s="141">
        <f>L487+L488</f>
        <v>0</v>
      </c>
      <c r="M486" s="141">
        <f>M487+M488</f>
        <v>0</v>
      </c>
      <c r="N486" s="141">
        <f>N487+N488</f>
        <v>0</v>
      </c>
      <c r="O486" s="141">
        <f t="shared" si="263"/>
        <v>0</v>
      </c>
      <c r="P486" s="141">
        <f t="shared" si="263"/>
        <v>0</v>
      </c>
      <c r="Q486" s="141">
        <f t="shared" si="263"/>
        <v>0</v>
      </c>
    </row>
    <row r="487" spans="1:17" ht="19.5" customHeight="1">
      <c r="A487" s="90"/>
      <c r="B487" s="89" t="s">
        <v>287</v>
      </c>
      <c r="C487" s="47" t="s">
        <v>194</v>
      </c>
      <c r="D487" s="37">
        <v>3607</v>
      </c>
      <c r="E487" s="37">
        <v>5658</v>
      </c>
      <c r="F487" s="32">
        <v>5658</v>
      </c>
      <c r="G487" s="32">
        <v>47823</v>
      </c>
      <c r="H487" s="32"/>
      <c r="I487" s="37"/>
      <c r="J487" s="137">
        <f>9100+250+332+144+65</f>
        <v>9891</v>
      </c>
      <c r="K487" s="137">
        <f>9826+65</f>
        <v>9891</v>
      </c>
      <c r="L487" s="137"/>
      <c r="M487" s="137"/>
      <c r="N487" s="137"/>
      <c r="O487" s="137"/>
      <c r="P487" s="137"/>
      <c r="Q487" s="137"/>
    </row>
    <row r="488" spans="1:17" ht="0.75" customHeight="1">
      <c r="A488" s="90"/>
      <c r="B488" s="89" t="s">
        <v>195</v>
      </c>
      <c r="C488" s="47" t="s">
        <v>196</v>
      </c>
      <c r="D488" s="37">
        <v>0</v>
      </c>
      <c r="E488" s="37">
        <v>0</v>
      </c>
      <c r="F488" s="32"/>
      <c r="G488" s="32"/>
      <c r="H488" s="32"/>
      <c r="I488" s="37">
        <v>0</v>
      </c>
      <c r="J488" s="137"/>
      <c r="K488" s="137"/>
      <c r="L488" s="137"/>
      <c r="M488" s="137"/>
      <c r="N488" s="137"/>
      <c r="O488" s="137"/>
      <c r="P488" s="137"/>
      <c r="Q488" s="137"/>
    </row>
    <row r="489" spans="1:17" ht="28.5">
      <c r="A489" s="90" t="s">
        <v>331</v>
      </c>
      <c r="B489" s="87" t="s">
        <v>332</v>
      </c>
      <c r="C489" s="47" t="s">
        <v>333</v>
      </c>
      <c r="D489" s="50">
        <f t="shared" ref="D489:Q492" si="264">D493+D499+D505+D511+D517</f>
        <v>2365</v>
      </c>
      <c r="E489" s="50">
        <f t="shared" si="264"/>
        <v>3465</v>
      </c>
      <c r="F489" s="50">
        <f t="shared" si="264"/>
        <v>4096.42</v>
      </c>
      <c r="G489" s="50">
        <f t="shared" si="264"/>
        <v>7778</v>
      </c>
      <c r="H489" s="50">
        <f t="shared" si="264"/>
        <v>0</v>
      </c>
      <c r="I489" s="50">
        <f t="shared" si="264"/>
        <v>0</v>
      </c>
      <c r="J489" s="146">
        <f t="shared" si="264"/>
        <v>5080</v>
      </c>
      <c r="K489" s="146">
        <f t="shared" ref="K489:N492" si="265">K493+K499+K505+K511+K517</f>
        <v>1365</v>
      </c>
      <c r="L489" s="146">
        <f t="shared" si="265"/>
        <v>1435</v>
      </c>
      <c r="M489" s="146">
        <f t="shared" si="265"/>
        <v>1405</v>
      </c>
      <c r="N489" s="146">
        <f t="shared" si="265"/>
        <v>875</v>
      </c>
      <c r="O489" s="146">
        <f t="shared" si="264"/>
        <v>6030</v>
      </c>
      <c r="P489" s="146">
        <f t="shared" si="264"/>
        <v>6035</v>
      </c>
      <c r="Q489" s="146">
        <f t="shared" si="264"/>
        <v>6040</v>
      </c>
    </row>
    <row r="490" spans="1:17" ht="14.25">
      <c r="A490" s="90"/>
      <c r="B490" s="80" t="s">
        <v>179</v>
      </c>
      <c r="C490" s="47"/>
      <c r="D490" s="50">
        <f t="shared" si="264"/>
        <v>2365</v>
      </c>
      <c r="E490" s="50">
        <f t="shared" si="264"/>
        <v>3465</v>
      </c>
      <c r="F490" s="50">
        <f t="shared" si="264"/>
        <v>4096.42</v>
      </c>
      <c r="G490" s="50">
        <f t="shared" si="264"/>
        <v>7778</v>
      </c>
      <c r="H490" s="50">
        <f t="shared" si="264"/>
        <v>0</v>
      </c>
      <c r="I490" s="50">
        <f t="shared" si="264"/>
        <v>0</v>
      </c>
      <c r="J490" s="146">
        <f t="shared" si="264"/>
        <v>5080</v>
      </c>
      <c r="K490" s="146">
        <f t="shared" si="265"/>
        <v>1365</v>
      </c>
      <c r="L490" s="146">
        <f t="shared" si="265"/>
        <v>1435</v>
      </c>
      <c r="M490" s="146">
        <f t="shared" si="265"/>
        <v>1405</v>
      </c>
      <c r="N490" s="146">
        <f t="shared" si="265"/>
        <v>875</v>
      </c>
      <c r="O490" s="146">
        <f t="shared" si="264"/>
        <v>6030</v>
      </c>
      <c r="P490" s="146">
        <f t="shared" si="264"/>
        <v>6035</v>
      </c>
      <c r="Q490" s="146">
        <f t="shared" si="264"/>
        <v>6040</v>
      </c>
    </row>
    <row r="491" spans="1:17" ht="15">
      <c r="A491" s="90"/>
      <c r="B491" s="89" t="s">
        <v>180</v>
      </c>
      <c r="C491" s="47"/>
      <c r="D491" s="36">
        <f t="shared" si="264"/>
        <v>2365</v>
      </c>
      <c r="E491" s="36">
        <f t="shared" si="264"/>
        <v>3465</v>
      </c>
      <c r="F491" s="36">
        <f t="shared" si="264"/>
        <v>4096.42</v>
      </c>
      <c r="G491" s="36">
        <f t="shared" si="264"/>
        <v>7778</v>
      </c>
      <c r="H491" s="36">
        <f t="shared" si="264"/>
        <v>0</v>
      </c>
      <c r="I491" s="36">
        <f t="shared" si="264"/>
        <v>0</v>
      </c>
      <c r="J491" s="141">
        <f t="shared" si="264"/>
        <v>5080</v>
      </c>
      <c r="K491" s="141">
        <f t="shared" si="265"/>
        <v>1365</v>
      </c>
      <c r="L491" s="141">
        <f t="shared" si="265"/>
        <v>1435</v>
      </c>
      <c r="M491" s="141">
        <f t="shared" si="265"/>
        <v>1405</v>
      </c>
      <c r="N491" s="141">
        <f t="shared" si="265"/>
        <v>875</v>
      </c>
      <c r="O491" s="141">
        <f t="shared" si="264"/>
        <v>6030</v>
      </c>
      <c r="P491" s="141">
        <f t="shared" si="264"/>
        <v>6035</v>
      </c>
      <c r="Q491" s="141">
        <f t="shared" si="264"/>
        <v>6040</v>
      </c>
    </row>
    <row r="492" spans="1:17" ht="15">
      <c r="A492" s="90"/>
      <c r="B492" s="89" t="s">
        <v>334</v>
      </c>
      <c r="C492" s="47" t="s">
        <v>335</v>
      </c>
      <c r="D492" s="36">
        <f t="shared" si="264"/>
        <v>2365</v>
      </c>
      <c r="E492" s="36">
        <f t="shared" si="264"/>
        <v>3465</v>
      </c>
      <c r="F492" s="36">
        <f t="shared" si="264"/>
        <v>4096.42</v>
      </c>
      <c r="G492" s="36">
        <f t="shared" si="264"/>
        <v>7778</v>
      </c>
      <c r="H492" s="36">
        <f t="shared" si="264"/>
        <v>0</v>
      </c>
      <c r="I492" s="36">
        <f t="shared" si="264"/>
        <v>0</v>
      </c>
      <c r="J492" s="141">
        <f t="shared" si="264"/>
        <v>5080</v>
      </c>
      <c r="K492" s="141">
        <f t="shared" si="265"/>
        <v>1365</v>
      </c>
      <c r="L492" s="141">
        <f t="shared" si="265"/>
        <v>1435</v>
      </c>
      <c r="M492" s="141">
        <f t="shared" si="265"/>
        <v>1405</v>
      </c>
      <c r="N492" s="141">
        <f t="shared" si="265"/>
        <v>875</v>
      </c>
      <c r="O492" s="141">
        <f t="shared" si="264"/>
        <v>6030</v>
      </c>
      <c r="P492" s="141">
        <f t="shared" si="264"/>
        <v>6035</v>
      </c>
      <c r="Q492" s="141">
        <f t="shared" si="264"/>
        <v>6040</v>
      </c>
    </row>
    <row r="493" spans="1:17" ht="28.5">
      <c r="A493" s="90" t="s">
        <v>336</v>
      </c>
      <c r="B493" s="109" t="s">
        <v>337</v>
      </c>
      <c r="C493" s="47" t="s">
        <v>333</v>
      </c>
      <c r="D493" s="50">
        <f t="shared" ref="D493:Q495" si="266">D494</f>
        <v>631</v>
      </c>
      <c r="E493" s="50">
        <f t="shared" si="266"/>
        <v>1020</v>
      </c>
      <c r="F493" s="50">
        <f t="shared" si="266"/>
        <v>1001</v>
      </c>
      <c r="G493" s="50">
        <f t="shared" si="266"/>
        <v>1895</v>
      </c>
      <c r="H493" s="50">
        <f t="shared" si="266"/>
        <v>0</v>
      </c>
      <c r="I493" s="50">
        <f t="shared" si="266"/>
        <v>0</v>
      </c>
      <c r="J493" s="146">
        <f t="shared" si="266"/>
        <v>1030</v>
      </c>
      <c r="K493" s="146">
        <f t="shared" si="266"/>
        <v>310</v>
      </c>
      <c r="L493" s="146">
        <f t="shared" si="266"/>
        <v>330</v>
      </c>
      <c r="M493" s="146">
        <f t="shared" si="266"/>
        <v>310</v>
      </c>
      <c r="N493" s="146">
        <f t="shared" si="266"/>
        <v>80</v>
      </c>
      <c r="O493" s="146">
        <f t="shared" si="266"/>
        <v>1230</v>
      </c>
      <c r="P493" s="146">
        <f t="shared" si="266"/>
        <v>1230</v>
      </c>
      <c r="Q493" s="146">
        <f t="shared" si="266"/>
        <v>1230</v>
      </c>
    </row>
    <row r="494" spans="1:17" ht="14.25">
      <c r="A494" s="90"/>
      <c r="B494" s="80" t="s">
        <v>179</v>
      </c>
      <c r="C494" s="47"/>
      <c r="D494" s="50">
        <f t="shared" si="266"/>
        <v>631</v>
      </c>
      <c r="E494" s="50">
        <f t="shared" si="266"/>
        <v>1020</v>
      </c>
      <c r="F494" s="50">
        <f t="shared" si="266"/>
        <v>1001</v>
      </c>
      <c r="G494" s="50">
        <f t="shared" si="266"/>
        <v>1895</v>
      </c>
      <c r="H494" s="50">
        <f t="shared" si="266"/>
        <v>0</v>
      </c>
      <c r="I494" s="50">
        <f t="shared" si="266"/>
        <v>0</v>
      </c>
      <c r="J494" s="146">
        <f t="shared" si="266"/>
        <v>1030</v>
      </c>
      <c r="K494" s="146">
        <f t="shared" si="266"/>
        <v>310</v>
      </c>
      <c r="L494" s="146">
        <f t="shared" si="266"/>
        <v>330</v>
      </c>
      <c r="M494" s="146">
        <f t="shared" si="266"/>
        <v>310</v>
      </c>
      <c r="N494" s="146">
        <f t="shared" si="266"/>
        <v>80</v>
      </c>
      <c r="O494" s="146">
        <f t="shared" si="266"/>
        <v>1230</v>
      </c>
      <c r="P494" s="146">
        <f t="shared" si="266"/>
        <v>1230</v>
      </c>
      <c r="Q494" s="146">
        <f t="shared" si="266"/>
        <v>1230</v>
      </c>
    </row>
    <row r="495" spans="1:17" ht="15">
      <c r="A495" s="90"/>
      <c r="B495" s="89" t="s">
        <v>180</v>
      </c>
      <c r="C495" s="47">
        <v>0.1</v>
      </c>
      <c r="D495" s="36">
        <f t="shared" si="266"/>
        <v>631</v>
      </c>
      <c r="E495" s="36">
        <f t="shared" si="266"/>
        <v>1020</v>
      </c>
      <c r="F495" s="36">
        <f t="shared" si="266"/>
        <v>1001</v>
      </c>
      <c r="G495" s="36">
        <f t="shared" si="266"/>
        <v>1895</v>
      </c>
      <c r="H495" s="36">
        <f t="shared" si="266"/>
        <v>0</v>
      </c>
      <c r="I495" s="36">
        <f t="shared" si="266"/>
        <v>0</v>
      </c>
      <c r="J495" s="141">
        <f t="shared" si="266"/>
        <v>1030</v>
      </c>
      <c r="K495" s="141">
        <f t="shared" si="266"/>
        <v>310</v>
      </c>
      <c r="L495" s="141">
        <f t="shared" si="266"/>
        <v>330</v>
      </c>
      <c r="M495" s="141">
        <f t="shared" si="266"/>
        <v>310</v>
      </c>
      <c r="N495" s="141">
        <f t="shared" si="266"/>
        <v>80</v>
      </c>
      <c r="O495" s="141">
        <f t="shared" si="266"/>
        <v>1230</v>
      </c>
      <c r="P495" s="141">
        <f t="shared" si="266"/>
        <v>1230</v>
      </c>
      <c r="Q495" s="141">
        <f t="shared" si="266"/>
        <v>1230</v>
      </c>
    </row>
    <row r="496" spans="1:17" ht="15">
      <c r="A496" s="90"/>
      <c r="B496" s="89" t="s">
        <v>334</v>
      </c>
      <c r="C496" s="47" t="s">
        <v>335</v>
      </c>
      <c r="D496" s="36">
        <f t="shared" ref="D496:Q496" si="267">D497+D498</f>
        <v>631</v>
      </c>
      <c r="E496" s="36">
        <f t="shared" si="267"/>
        <v>1020</v>
      </c>
      <c r="F496" s="36">
        <f t="shared" si="267"/>
        <v>1001</v>
      </c>
      <c r="G496" s="36">
        <f t="shared" si="267"/>
        <v>1895</v>
      </c>
      <c r="H496" s="36">
        <f t="shared" si="267"/>
        <v>0</v>
      </c>
      <c r="I496" s="36">
        <f t="shared" si="267"/>
        <v>0</v>
      </c>
      <c r="J496" s="141">
        <f t="shared" si="267"/>
        <v>1030</v>
      </c>
      <c r="K496" s="141">
        <f>K497+K498</f>
        <v>310</v>
      </c>
      <c r="L496" s="141">
        <f>L497+L498</f>
        <v>330</v>
      </c>
      <c r="M496" s="141">
        <f>M497+M498</f>
        <v>310</v>
      </c>
      <c r="N496" s="141">
        <f>N497+N498</f>
        <v>80</v>
      </c>
      <c r="O496" s="141">
        <f t="shared" si="267"/>
        <v>1230</v>
      </c>
      <c r="P496" s="141">
        <f t="shared" si="267"/>
        <v>1230</v>
      </c>
      <c r="Q496" s="141">
        <f t="shared" si="267"/>
        <v>1230</v>
      </c>
    </row>
    <row r="497" spans="1:17" ht="15">
      <c r="A497" s="90"/>
      <c r="B497" s="89" t="s">
        <v>181</v>
      </c>
      <c r="C497" s="47">
        <v>10</v>
      </c>
      <c r="D497" s="37">
        <v>619</v>
      </c>
      <c r="E497" s="37">
        <v>997</v>
      </c>
      <c r="F497" s="32">
        <v>979</v>
      </c>
      <c r="G497" s="32">
        <v>1865</v>
      </c>
      <c r="H497" s="32"/>
      <c r="I497" s="37"/>
      <c r="J497" s="137">
        <v>1000</v>
      </c>
      <c r="K497" s="137">
        <v>300</v>
      </c>
      <c r="L497" s="137">
        <v>320</v>
      </c>
      <c r="M497" s="137">
        <v>300</v>
      </c>
      <c r="N497" s="137">
        <v>80</v>
      </c>
      <c r="O497" s="137">
        <v>1200</v>
      </c>
      <c r="P497" s="137">
        <v>1200</v>
      </c>
      <c r="Q497" s="137">
        <v>1200</v>
      </c>
    </row>
    <row r="498" spans="1:17" ht="15">
      <c r="A498" s="90"/>
      <c r="B498" s="89" t="s">
        <v>182</v>
      </c>
      <c r="C498" s="47">
        <v>20</v>
      </c>
      <c r="D498" s="37">
        <v>12</v>
      </c>
      <c r="E498" s="37">
        <v>23</v>
      </c>
      <c r="F498" s="32">
        <v>22</v>
      </c>
      <c r="G498" s="32">
        <v>30</v>
      </c>
      <c r="H498" s="32"/>
      <c r="I498" s="37"/>
      <c r="J498" s="137">
        <v>30</v>
      </c>
      <c r="K498" s="137">
        <v>10</v>
      </c>
      <c r="L498" s="137">
        <v>10</v>
      </c>
      <c r="M498" s="137">
        <v>10</v>
      </c>
      <c r="N498" s="137"/>
      <c r="O498" s="137">
        <v>30</v>
      </c>
      <c r="P498" s="137">
        <v>30</v>
      </c>
      <c r="Q498" s="137">
        <v>30</v>
      </c>
    </row>
    <row r="499" spans="1:17" ht="28.5">
      <c r="A499" s="90" t="s">
        <v>338</v>
      </c>
      <c r="B499" s="109" t="s">
        <v>339</v>
      </c>
      <c r="C499" s="47" t="s">
        <v>333</v>
      </c>
      <c r="D499" s="50">
        <f t="shared" ref="D499:Q501" si="268">D500</f>
        <v>320</v>
      </c>
      <c r="E499" s="50">
        <f t="shared" si="268"/>
        <v>526</v>
      </c>
      <c r="F499" s="50">
        <f t="shared" si="268"/>
        <v>503.42</v>
      </c>
      <c r="G499" s="50">
        <f t="shared" si="268"/>
        <v>536</v>
      </c>
      <c r="H499" s="50">
        <f t="shared" si="268"/>
        <v>0</v>
      </c>
      <c r="I499" s="50">
        <f t="shared" si="268"/>
        <v>0</v>
      </c>
      <c r="J499" s="146">
        <f t="shared" si="268"/>
        <v>510</v>
      </c>
      <c r="K499" s="146">
        <f t="shared" si="268"/>
        <v>135</v>
      </c>
      <c r="L499" s="146">
        <f t="shared" si="268"/>
        <v>135</v>
      </c>
      <c r="M499" s="146">
        <f t="shared" si="268"/>
        <v>125</v>
      </c>
      <c r="N499" s="146">
        <f t="shared" si="268"/>
        <v>115</v>
      </c>
      <c r="O499" s="146">
        <f t="shared" si="268"/>
        <v>560</v>
      </c>
      <c r="P499" s="146">
        <f t="shared" si="268"/>
        <v>565</v>
      </c>
      <c r="Q499" s="146">
        <f t="shared" si="268"/>
        <v>570</v>
      </c>
    </row>
    <row r="500" spans="1:17" ht="14.25">
      <c r="A500" s="90"/>
      <c r="B500" s="80" t="s">
        <v>179</v>
      </c>
      <c r="C500" s="47"/>
      <c r="D500" s="36">
        <f t="shared" si="268"/>
        <v>320</v>
      </c>
      <c r="E500" s="36">
        <f t="shared" si="268"/>
        <v>526</v>
      </c>
      <c r="F500" s="36">
        <f t="shared" si="268"/>
        <v>503.42</v>
      </c>
      <c r="G500" s="36">
        <f t="shared" si="268"/>
        <v>536</v>
      </c>
      <c r="H500" s="36">
        <f t="shared" si="268"/>
        <v>0</v>
      </c>
      <c r="I500" s="36">
        <f t="shared" si="268"/>
        <v>0</v>
      </c>
      <c r="J500" s="141">
        <f t="shared" si="268"/>
        <v>510</v>
      </c>
      <c r="K500" s="141">
        <f t="shared" si="268"/>
        <v>135</v>
      </c>
      <c r="L500" s="141">
        <f t="shared" si="268"/>
        <v>135</v>
      </c>
      <c r="M500" s="141">
        <f t="shared" si="268"/>
        <v>125</v>
      </c>
      <c r="N500" s="141">
        <f t="shared" si="268"/>
        <v>115</v>
      </c>
      <c r="O500" s="141">
        <f t="shared" si="268"/>
        <v>560</v>
      </c>
      <c r="P500" s="141">
        <f t="shared" si="268"/>
        <v>565</v>
      </c>
      <c r="Q500" s="141">
        <f t="shared" si="268"/>
        <v>570</v>
      </c>
    </row>
    <row r="501" spans="1:17" ht="15">
      <c r="A501" s="90"/>
      <c r="B501" s="89" t="s">
        <v>180</v>
      </c>
      <c r="C501" s="47"/>
      <c r="D501" s="36">
        <f t="shared" si="268"/>
        <v>320</v>
      </c>
      <c r="E501" s="36">
        <f t="shared" si="268"/>
        <v>526</v>
      </c>
      <c r="F501" s="36">
        <f t="shared" si="268"/>
        <v>503.42</v>
      </c>
      <c r="G501" s="36">
        <f t="shared" si="268"/>
        <v>536</v>
      </c>
      <c r="H501" s="36">
        <f t="shared" si="268"/>
        <v>0</v>
      </c>
      <c r="I501" s="36">
        <f t="shared" si="268"/>
        <v>0</v>
      </c>
      <c r="J501" s="141">
        <f t="shared" si="268"/>
        <v>510</v>
      </c>
      <c r="K501" s="141">
        <f t="shared" si="268"/>
        <v>135</v>
      </c>
      <c r="L501" s="141">
        <f t="shared" si="268"/>
        <v>135</v>
      </c>
      <c r="M501" s="141">
        <f t="shared" si="268"/>
        <v>125</v>
      </c>
      <c r="N501" s="141">
        <f t="shared" si="268"/>
        <v>115</v>
      </c>
      <c r="O501" s="141">
        <f t="shared" si="268"/>
        <v>560</v>
      </c>
      <c r="P501" s="141">
        <f t="shared" si="268"/>
        <v>565</v>
      </c>
      <c r="Q501" s="141">
        <f t="shared" si="268"/>
        <v>570</v>
      </c>
    </row>
    <row r="502" spans="1:17" ht="15">
      <c r="A502" s="90"/>
      <c r="B502" s="89" t="s">
        <v>334</v>
      </c>
      <c r="C502" s="47" t="s">
        <v>335</v>
      </c>
      <c r="D502" s="36">
        <f t="shared" ref="D502:Q502" si="269">D503+D504</f>
        <v>320</v>
      </c>
      <c r="E502" s="36">
        <f t="shared" si="269"/>
        <v>526</v>
      </c>
      <c r="F502" s="36">
        <f t="shared" si="269"/>
        <v>503.42</v>
      </c>
      <c r="G502" s="36">
        <f t="shared" si="269"/>
        <v>536</v>
      </c>
      <c r="H502" s="36">
        <f t="shared" si="269"/>
        <v>0</v>
      </c>
      <c r="I502" s="36">
        <f t="shared" si="269"/>
        <v>0</v>
      </c>
      <c r="J502" s="141">
        <f t="shared" si="269"/>
        <v>510</v>
      </c>
      <c r="K502" s="141">
        <f>K503+K504</f>
        <v>135</v>
      </c>
      <c r="L502" s="141">
        <f>L503+L504</f>
        <v>135</v>
      </c>
      <c r="M502" s="141">
        <f>M503+M504</f>
        <v>125</v>
      </c>
      <c r="N502" s="141">
        <f>N503+N504</f>
        <v>115</v>
      </c>
      <c r="O502" s="141">
        <f t="shared" si="269"/>
        <v>560</v>
      </c>
      <c r="P502" s="141">
        <f t="shared" si="269"/>
        <v>565</v>
      </c>
      <c r="Q502" s="141">
        <f t="shared" si="269"/>
        <v>570</v>
      </c>
    </row>
    <row r="503" spans="1:17" ht="15">
      <c r="A503" s="90"/>
      <c r="B503" s="89" t="s">
        <v>181</v>
      </c>
      <c r="C503" s="47">
        <v>10</v>
      </c>
      <c r="D503" s="37">
        <v>273</v>
      </c>
      <c r="E503" s="37">
        <v>466</v>
      </c>
      <c r="F503" s="32">
        <v>443.61</v>
      </c>
      <c r="G503" s="32">
        <v>476</v>
      </c>
      <c r="H503" s="32"/>
      <c r="I503" s="37"/>
      <c r="J503" s="137">
        <v>450</v>
      </c>
      <c r="K503" s="137">
        <v>120</v>
      </c>
      <c r="L503" s="137">
        <v>120</v>
      </c>
      <c r="M503" s="137">
        <v>110</v>
      </c>
      <c r="N503" s="137">
        <v>100</v>
      </c>
      <c r="O503" s="137">
        <v>500</v>
      </c>
      <c r="P503" s="137">
        <v>500</v>
      </c>
      <c r="Q503" s="137">
        <v>500</v>
      </c>
    </row>
    <row r="504" spans="1:17" ht="15">
      <c r="A504" s="90"/>
      <c r="B504" s="89" t="s">
        <v>182</v>
      </c>
      <c r="C504" s="47">
        <v>20</v>
      </c>
      <c r="D504" s="37">
        <v>47</v>
      </c>
      <c r="E504" s="37">
        <v>60</v>
      </c>
      <c r="F504" s="32">
        <v>59.81</v>
      </c>
      <c r="G504" s="32">
        <v>60</v>
      </c>
      <c r="H504" s="32"/>
      <c r="I504" s="37"/>
      <c r="J504" s="137">
        <v>60</v>
      </c>
      <c r="K504" s="137">
        <v>15</v>
      </c>
      <c r="L504" s="137">
        <v>15</v>
      </c>
      <c r="M504" s="137">
        <v>15</v>
      </c>
      <c r="N504" s="137">
        <v>15</v>
      </c>
      <c r="O504" s="137">
        <v>60</v>
      </c>
      <c r="P504" s="137">
        <v>65</v>
      </c>
      <c r="Q504" s="137">
        <v>70</v>
      </c>
    </row>
    <row r="505" spans="1:17" ht="28.5" customHeight="1">
      <c r="A505" s="90" t="s">
        <v>340</v>
      </c>
      <c r="B505" s="87" t="s">
        <v>341</v>
      </c>
      <c r="C505" s="47" t="s">
        <v>333</v>
      </c>
      <c r="D505" s="50">
        <f t="shared" ref="D505:Q507" si="270">D506</f>
        <v>1154</v>
      </c>
      <c r="E505" s="50">
        <f t="shared" si="270"/>
        <v>1318</v>
      </c>
      <c r="F505" s="50">
        <f t="shared" si="270"/>
        <v>1993</v>
      </c>
      <c r="G505" s="50">
        <f t="shared" si="270"/>
        <v>3430</v>
      </c>
      <c r="H505" s="50">
        <f t="shared" si="270"/>
        <v>0</v>
      </c>
      <c r="I505" s="50">
        <f t="shared" si="270"/>
        <v>0</v>
      </c>
      <c r="J505" s="146">
        <f t="shared" si="270"/>
        <v>2020</v>
      </c>
      <c r="K505" s="146">
        <f t="shared" si="270"/>
        <v>520</v>
      </c>
      <c r="L505" s="146">
        <f t="shared" si="270"/>
        <v>540</v>
      </c>
      <c r="M505" s="146">
        <f t="shared" si="270"/>
        <v>540</v>
      </c>
      <c r="N505" s="146">
        <f t="shared" si="270"/>
        <v>420</v>
      </c>
      <c r="O505" s="146">
        <f t="shared" si="270"/>
        <v>2200</v>
      </c>
      <c r="P505" s="146">
        <f t="shared" si="270"/>
        <v>2200</v>
      </c>
      <c r="Q505" s="146">
        <f t="shared" si="270"/>
        <v>2200</v>
      </c>
    </row>
    <row r="506" spans="1:17" ht="14.25">
      <c r="A506" s="90"/>
      <c r="B506" s="80" t="s">
        <v>179</v>
      </c>
      <c r="C506" s="47"/>
      <c r="D506" s="50">
        <f t="shared" si="270"/>
        <v>1154</v>
      </c>
      <c r="E506" s="50">
        <f t="shared" si="270"/>
        <v>1318</v>
      </c>
      <c r="F506" s="50">
        <f t="shared" si="270"/>
        <v>1993</v>
      </c>
      <c r="G506" s="50">
        <f t="shared" si="270"/>
        <v>3430</v>
      </c>
      <c r="H506" s="50">
        <f t="shared" si="270"/>
        <v>0</v>
      </c>
      <c r="I506" s="50">
        <f t="shared" si="270"/>
        <v>0</v>
      </c>
      <c r="J506" s="146">
        <f t="shared" si="270"/>
        <v>2020</v>
      </c>
      <c r="K506" s="146">
        <f t="shared" si="270"/>
        <v>520</v>
      </c>
      <c r="L506" s="146">
        <f t="shared" si="270"/>
        <v>540</v>
      </c>
      <c r="M506" s="146">
        <f t="shared" si="270"/>
        <v>540</v>
      </c>
      <c r="N506" s="146">
        <f t="shared" si="270"/>
        <v>420</v>
      </c>
      <c r="O506" s="146">
        <f t="shared" si="270"/>
        <v>2200</v>
      </c>
      <c r="P506" s="146">
        <f t="shared" si="270"/>
        <v>2200</v>
      </c>
      <c r="Q506" s="146">
        <f t="shared" si="270"/>
        <v>2200</v>
      </c>
    </row>
    <row r="507" spans="1:17" ht="15">
      <c r="A507" s="90"/>
      <c r="B507" s="89" t="s">
        <v>180</v>
      </c>
      <c r="C507" s="47">
        <v>1</v>
      </c>
      <c r="D507" s="36">
        <f t="shared" si="270"/>
        <v>1154</v>
      </c>
      <c r="E507" s="36">
        <f t="shared" si="270"/>
        <v>1318</v>
      </c>
      <c r="F507" s="36">
        <f t="shared" si="270"/>
        <v>1993</v>
      </c>
      <c r="G507" s="36">
        <f t="shared" si="270"/>
        <v>3430</v>
      </c>
      <c r="H507" s="36">
        <f t="shared" si="270"/>
        <v>0</v>
      </c>
      <c r="I507" s="36">
        <f t="shared" si="270"/>
        <v>0</v>
      </c>
      <c r="J507" s="141">
        <f t="shared" si="270"/>
        <v>2020</v>
      </c>
      <c r="K507" s="141">
        <f t="shared" si="270"/>
        <v>520</v>
      </c>
      <c r="L507" s="141">
        <f t="shared" si="270"/>
        <v>540</v>
      </c>
      <c r="M507" s="141">
        <f t="shared" si="270"/>
        <v>540</v>
      </c>
      <c r="N507" s="141">
        <f t="shared" si="270"/>
        <v>420</v>
      </c>
      <c r="O507" s="141">
        <f t="shared" si="270"/>
        <v>2200</v>
      </c>
      <c r="P507" s="141">
        <f t="shared" si="270"/>
        <v>2200</v>
      </c>
      <c r="Q507" s="141">
        <f t="shared" si="270"/>
        <v>2200</v>
      </c>
    </row>
    <row r="508" spans="1:17" ht="15">
      <c r="A508" s="90"/>
      <c r="B508" s="89" t="s">
        <v>334</v>
      </c>
      <c r="C508" s="47" t="s">
        <v>335</v>
      </c>
      <c r="D508" s="36">
        <f t="shared" ref="D508:Q508" si="271">D509+D510</f>
        <v>1154</v>
      </c>
      <c r="E508" s="36">
        <f t="shared" si="271"/>
        <v>1318</v>
      </c>
      <c r="F508" s="36">
        <f t="shared" si="271"/>
        <v>1993</v>
      </c>
      <c r="G508" s="36">
        <f t="shared" si="271"/>
        <v>3430</v>
      </c>
      <c r="H508" s="36">
        <f t="shared" si="271"/>
        <v>0</v>
      </c>
      <c r="I508" s="36">
        <f t="shared" si="271"/>
        <v>0</v>
      </c>
      <c r="J508" s="141">
        <f t="shared" si="271"/>
        <v>2020</v>
      </c>
      <c r="K508" s="141">
        <f>K509+K510</f>
        <v>520</v>
      </c>
      <c r="L508" s="141">
        <f>L509+L510</f>
        <v>540</v>
      </c>
      <c r="M508" s="141">
        <f>M509+M510</f>
        <v>540</v>
      </c>
      <c r="N508" s="141">
        <f>N509+N510</f>
        <v>420</v>
      </c>
      <c r="O508" s="141">
        <f t="shared" si="271"/>
        <v>2200</v>
      </c>
      <c r="P508" s="141">
        <f t="shared" si="271"/>
        <v>2200</v>
      </c>
      <c r="Q508" s="141">
        <f t="shared" si="271"/>
        <v>2200</v>
      </c>
    </row>
    <row r="509" spans="1:17" ht="15">
      <c r="A509" s="90"/>
      <c r="B509" s="89" t="s">
        <v>181</v>
      </c>
      <c r="C509" s="47">
        <v>10</v>
      </c>
      <c r="D509" s="37">
        <v>1003</v>
      </c>
      <c r="E509" s="37">
        <f>1208-1</f>
        <v>1207</v>
      </c>
      <c r="F509" s="32">
        <v>1852</v>
      </c>
      <c r="G509" s="32">
        <v>3260</v>
      </c>
      <c r="H509" s="32"/>
      <c r="I509" s="37"/>
      <c r="J509" s="137">
        <v>1850</v>
      </c>
      <c r="K509" s="137">
        <v>475</v>
      </c>
      <c r="L509" s="137">
        <v>500</v>
      </c>
      <c r="M509" s="137">
        <v>500</v>
      </c>
      <c r="N509" s="137">
        <v>375</v>
      </c>
      <c r="O509" s="137">
        <v>2000</v>
      </c>
      <c r="P509" s="137">
        <v>2000</v>
      </c>
      <c r="Q509" s="137">
        <v>2000</v>
      </c>
    </row>
    <row r="510" spans="1:17" ht="15">
      <c r="A510" s="90"/>
      <c r="B510" s="89" t="s">
        <v>182</v>
      </c>
      <c r="C510" s="47">
        <v>20</v>
      </c>
      <c r="D510" s="37">
        <v>151</v>
      </c>
      <c r="E510" s="37">
        <f>110+1</f>
        <v>111</v>
      </c>
      <c r="F510" s="32">
        <v>141</v>
      </c>
      <c r="G510" s="32">
        <v>170</v>
      </c>
      <c r="H510" s="32"/>
      <c r="I510" s="37"/>
      <c r="J510" s="137">
        <v>170</v>
      </c>
      <c r="K510" s="137">
        <v>45</v>
      </c>
      <c r="L510" s="137">
        <v>40</v>
      </c>
      <c r="M510" s="137">
        <v>40</v>
      </c>
      <c r="N510" s="137">
        <v>45</v>
      </c>
      <c r="O510" s="137">
        <v>200</v>
      </c>
      <c r="P510" s="137">
        <v>200</v>
      </c>
      <c r="Q510" s="137">
        <v>200</v>
      </c>
    </row>
    <row r="511" spans="1:17" ht="28.5">
      <c r="A511" s="90" t="s">
        <v>342</v>
      </c>
      <c r="B511" s="109" t="s">
        <v>343</v>
      </c>
      <c r="C511" s="47" t="s">
        <v>333</v>
      </c>
      <c r="D511" s="50">
        <f t="shared" ref="D511:Q513" si="272">D512</f>
        <v>260</v>
      </c>
      <c r="E511" s="50">
        <f t="shared" si="272"/>
        <v>601</v>
      </c>
      <c r="F511" s="50">
        <f t="shared" si="272"/>
        <v>599</v>
      </c>
      <c r="G511" s="50">
        <f t="shared" si="272"/>
        <v>1024</v>
      </c>
      <c r="H511" s="50">
        <f t="shared" si="272"/>
        <v>0</v>
      </c>
      <c r="I511" s="50">
        <f t="shared" si="272"/>
        <v>0</v>
      </c>
      <c r="J511" s="146">
        <f t="shared" si="272"/>
        <v>630</v>
      </c>
      <c r="K511" s="146">
        <f t="shared" si="272"/>
        <v>190</v>
      </c>
      <c r="L511" s="146">
        <f t="shared" si="272"/>
        <v>190</v>
      </c>
      <c r="M511" s="146">
        <f t="shared" si="272"/>
        <v>190</v>
      </c>
      <c r="N511" s="146">
        <f t="shared" si="272"/>
        <v>60</v>
      </c>
      <c r="O511" s="146">
        <f t="shared" si="272"/>
        <v>1010</v>
      </c>
      <c r="P511" s="146">
        <f t="shared" si="272"/>
        <v>1010</v>
      </c>
      <c r="Q511" s="146">
        <f t="shared" si="272"/>
        <v>1010</v>
      </c>
    </row>
    <row r="512" spans="1:17" ht="14.25">
      <c r="A512" s="90"/>
      <c r="B512" s="80" t="s">
        <v>179</v>
      </c>
      <c r="C512" s="47"/>
      <c r="D512" s="50">
        <f t="shared" si="272"/>
        <v>260</v>
      </c>
      <c r="E512" s="50">
        <f t="shared" si="272"/>
        <v>601</v>
      </c>
      <c r="F512" s="50">
        <f t="shared" si="272"/>
        <v>599</v>
      </c>
      <c r="G512" s="50">
        <f t="shared" si="272"/>
        <v>1024</v>
      </c>
      <c r="H512" s="50">
        <f t="shared" si="272"/>
        <v>0</v>
      </c>
      <c r="I512" s="50">
        <f t="shared" si="272"/>
        <v>0</v>
      </c>
      <c r="J512" s="146">
        <f t="shared" si="272"/>
        <v>630</v>
      </c>
      <c r="K512" s="146">
        <f t="shared" si="272"/>
        <v>190</v>
      </c>
      <c r="L512" s="146">
        <f t="shared" si="272"/>
        <v>190</v>
      </c>
      <c r="M512" s="146">
        <f t="shared" si="272"/>
        <v>190</v>
      </c>
      <c r="N512" s="146">
        <f t="shared" si="272"/>
        <v>60</v>
      </c>
      <c r="O512" s="146">
        <f t="shared" si="272"/>
        <v>1010</v>
      </c>
      <c r="P512" s="146">
        <f t="shared" si="272"/>
        <v>1010</v>
      </c>
      <c r="Q512" s="146">
        <f t="shared" si="272"/>
        <v>1010</v>
      </c>
    </row>
    <row r="513" spans="1:17" ht="15">
      <c r="A513" s="90"/>
      <c r="B513" s="89" t="s">
        <v>180</v>
      </c>
      <c r="C513" s="47">
        <v>1</v>
      </c>
      <c r="D513" s="36">
        <f t="shared" si="272"/>
        <v>260</v>
      </c>
      <c r="E513" s="36">
        <f t="shared" si="272"/>
        <v>601</v>
      </c>
      <c r="F513" s="36">
        <f t="shared" si="272"/>
        <v>599</v>
      </c>
      <c r="G513" s="36">
        <f t="shared" si="272"/>
        <v>1024</v>
      </c>
      <c r="H513" s="36">
        <f t="shared" si="272"/>
        <v>0</v>
      </c>
      <c r="I513" s="36">
        <f t="shared" si="272"/>
        <v>0</v>
      </c>
      <c r="J513" s="141">
        <f t="shared" si="272"/>
        <v>630</v>
      </c>
      <c r="K513" s="141">
        <f t="shared" si="272"/>
        <v>190</v>
      </c>
      <c r="L513" s="141">
        <f t="shared" si="272"/>
        <v>190</v>
      </c>
      <c r="M513" s="141">
        <f t="shared" si="272"/>
        <v>190</v>
      </c>
      <c r="N513" s="141">
        <f t="shared" si="272"/>
        <v>60</v>
      </c>
      <c r="O513" s="141">
        <f t="shared" si="272"/>
        <v>1010</v>
      </c>
      <c r="P513" s="141">
        <f t="shared" si="272"/>
        <v>1010</v>
      </c>
      <c r="Q513" s="141">
        <f t="shared" si="272"/>
        <v>1010</v>
      </c>
    </row>
    <row r="514" spans="1:17" ht="15">
      <c r="A514" s="90"/>
      <c r="B514" s="89" t="s">
        <v>334</v>
      </c>
      <c r="C514" s="47" t="s">
        <v>335</v>
      </c>
      <c r="D514" s="36">
        <f t="shared" ref="D514:Q514" si="273">D515+D516</f>
        <v>260</v>
      </c>
      <c r="E514" s="36">
        <f t="shared" si="273"/>
        <v>601</v>
      </c>
      <c r="F514" s="36">
        <f t="shared" si="273"/>
        <v>599</v>
      </c>
      <c r="G514" s="36">
        <f t="shared" si="273"/>
        <v>1024</v>
      </c>
      <c r="H514" s="36">
        <f t="shared" si="273"/>
        <v>0</v>
      </c>
      <c r="I514" s="36">
        <f t="shared" si="273"/>
        <v>0</v>
      </c>
      <c r="J514" s="141">
        <f t="shared" si="273"/>
        <v>630</v>
      </c>
      <c r="K514" s="141">
        <f>K515+K516</f>
        <v>190</v>
      </c>
      <c r="L514" s="141">
        <f>L515+L516</f>
        <v>190</v>
      </c>
      <c r="M514" s="141">
        <f>M515+M516</f>
        <v>190</v>
      </c>
      <c r="N514" s="141">
        <f>N515+N516</f>
        <v>60</v>
      </c>
      <c r="O514" s="141">
        <f t="shared" si="273"/>
        <v>1010</v>
      </c>
      <c r="P514" s="141">
        <f t="shared" si="273"/>
        <v>1010</v>
      </c>
      <c r="Q514" s="141">
        <f t="shared" si="273"/>
        <v>1010</v>
      </c>
    </row>
    <row r="515" spans="1:17" ht="15">
      <c r="A515" s="90"/>
      <c r="B515" s="89" t="s">
        <v>181</v>
      </c>
      <c r="C515" s="47">
        <v>10</v>
      </c>
      <c r="D515" s="37">
        <v>254</v>
      </c>
      <c r="E515" s="37">
        <v>598</v>
      </c>
      <c r="F515" s="32">
        <v>596</v>
      </c>
      <c r="G515" s="32">
        <v>994</v>
      </c>
      <c r="H515" s="32"/>
      <c r="I515" s="37"/>
      <c r="J515" s="137">
        <v>600</v>
      </c>
      <c r="K515" s="137">
        <v>180</v>
      </c>
      <c r="L515" s="137">
        <v>180</v>
      </c>
      <c r="M515" s="137">
        <v>180</v>
      </c>
      <c r="N515" s="137">
        <v>60</v>
      </c>
      <c r="O515" s="137">
        <v>980</v>
      </c>
      <c r="P515" s="137">
        <v>980</v>
      </c>
      <c r="Q515" s="137">
        <v>980</v>
      </c>
    </row>
    <row r="516" spans="1:17" ht="15">
      <c r="A516" s="90"/>
      <c r="B516" s="89" t="s">
        <v>182</v>
      </c>
      <c r="C516" s="47">
        <v>20</v>
      </c>
      <c r="D516" s="37">
        <v>6</v>
      </c>
      <c r="E516" s="37">
        <v>3</v>
      </c>
      <c r="F516" s="32">
        <v>3</v>
      </c>
      <c r="G516" s="32">
        <v>30</v>
      </c>
      <c r="H516" s="32"/>
      <c r="I516" s="37"/>
      <c r="J516" s="137">
        <v>30</v>
      </c>
      <c r="K516" s="137">
        <v>10</v>
      </c>
      <c r="L516" s="137">
        <v>10</v>
      </c>
      <c r="M516" s="137">
        <v>10</v>
      </c>
      <c r="N516" s="137"/>
      <c r="O516" s="137">
        <v>30</v>
      </c>
      <c r="P516" s="137">
        <v>30</v>
      </c>
      <c r="Q516" s="137">
        <v>30</v>
      </c>
    </row>
    <row r="517" spans="1:17" ht="28.5">
      <c r="A517" s="90" t="s">
        <v>344</v>
      </c>
      <c r="B517" s="109" t="s">
        <v>345</v>
      </c>
      <c r="C517" s="47" t="s">
        <v>333</v>
      </c>
      <c r="D517" s="50">
        <f t="shared" ref="D517:Q519" si="274">D518</f>
        <v>0</v>
      </c>
      <c r="E517" s="50">
        <f t="shared" si="274"/>
        <v>0</v>
      </c>
      <c r="F517" s="50">
        <f t="shared" si="274"/>
        <v>0</v>
      </c>
      <c r="G517" s="50">
        <f t="shared" si="274"/>
        <v>893</v>
      </c>
      <c r="H517" s="50">
        <f t="shared" si="274"/>
        <v>0</v>
      </c>
      <c r="I517" s="50">
        <f t="shared" si="274"/>
        <v>0</v>
      </c>
      <c r="J517" s="146">
        <f t="shared" si="274"/>
        <v>890</v>
      </c>
      <c r="K517" s="146">
        <f t="shared" si="274"/>
        <v>210</v>
      </c>
      <c r="L517" s="146">
        <f t="shared" si="274"/>
        <v>240</v>
      </c>
      <c r="M517" s="146">
        <f t="shared" si="274"/>
        <v>240</v>
      </c>
      <c r="N517" s="146">
        <f t="shared" si="274"/>
        <v>200</v>
      </c>
      <c r="O517" s="146">
        <f t="shared" si="274"/>
        <v>1030</v>
      </c>
      <c r="P517" s="146">
        <f t="shared" si="274"/>
        <v>1030</v>
      </c>
      <c r="Q517" s="146">
        <f t="shared" si="274"/>
        <v>1030</v>
      </c>
    </row>
    <row r="518" spans="1:17" ht="14.25">
      <c r="A518" s="90"/>
      <c r="B518" s="80" t="s">
        <v>179</v>
      </c>
      <c r="C518" s="47"/>
      <c r="D518" s="50">
        <f t="shared" si="274"/>
        <v>0</v>
      </c>
      <c r="E518" s="50">
        <f t="shared" si="274"/>
        <v>0</v>
      </c>
      <c r="F518" s="50">
        <f t="shared" si="274"/>
        <v>0</v>
      </c>
      <c r="G518" s="50">
        <f t="shared" si="274"/>
        <v>893</v>
      </c>
      <c r="H518" s="50">
        <f t="shared" si="274"/>
        <v>0</v>
      </c>
      <c r="I518" s="50">
        <f t="shared" si="274"/>
        <v>0</v>
      </c>
      <c r="J518" s="146">
        <f t="shared" si="274"/>
        <v>890</v>
      </c>
      <c r="K518" s="146">
        <f t="shared" si="274"/>
        <v>210</v>
      </c>
      <c r="L518" s="146">
        <f t="shared" si="274"/>
        <v>240</v>
      </c>
      <c r="M518" s="146">
        <f t="shared" si="274"/>
        <v>240</v>
      </c>
      <c r="N518" s="146">
        <f t="shared" si="274"/>
        <v>200</v>
      </c>
      <c r="O518" s="146">
        <f t="shared" si="274"/>
        <v>1030</v>
      </c>
      <c r="P518" s="146">
        <f t="shared" si="274"/>
        <v>1030</v>
      </c>
      <c r="Q518" s="146">
        <f t="shared" si="274"/>
        <v>1030</v>
      </c>
    </row>
    <row r="519" spans="1:17" ht="15">
      <c r="A519" s="90"/>
      <c r="B519" s="89" t="s">
        <v>180</v>
      </c>
      <c r="C519" s="47">
        <v>1</v>
      </c>
      <c r="D519" s="36">
        <f t="shared" si="274"/>
        <v>0</v>
      </c>
      <c r="E519" s="36">
        <f t="shared" si="274"/>
        <v>0</v>
      </c>
      <c r="F519" s="36">
        <f t="shared" si="274"/>
        <v>0</v>
      </c>
      <c r="G519" s="36">
        <f t="shared" si="274"/>
        <v>893</v>
      </c>
      <c r="H519" s="36">
        <f t="shared" si="274"/>
        <v>0</v>
      </c>
      <c r="I519" s="36">
        <f t="shared" si="274"/>
        <v>0</v>
      </c>
      <c r="J519" s="141">
        <f t="shared" si="274"/>
        <v>890</v>
      </c>
      <c r="K519" s="141">
        <f t="shared" si="274"/>
        <v>210</v>
      </c>
      <c r="L519" s="141">
        <f t="shared" si="274"/>
        <v>240</v>
      </c>
      <c r="M519" s="141">
        <f t="shared" si="274"/>
        <v>240</v>
      </c>
      <c r="N519" s="141">
        <f t="shared" si="274"/>
        <v>200</v>
      </c>
      <c r="O519" s="141">
        <f t="shared" si="274"/>
        <v>1030</v>
      </c>
      <c r="P519" s="141">
        <f t="shared" si="274"/>
        <v>1030</v>
      </c>
      <c r="Q519" s="141">
        <f t="shared" si="274"/>
        <v>1030</v>
      </c>
    </row>
    <row r="520" spans="1:17" ht="15">
      <c r="A520" s="90"/>
      <c r="B520" s="89" t="s">
        <v>334</v>
      </c>
      <c r="C520" s="47" t="s">
        <v>335</v>
      </c>
      <c r="D520" s="36">
        <f t="shared" ref="D520:Q520" si="275">D521+D522</f>
        <v>0</v>
      </c>
      <c r="E520" s="36">
        <f t="shared" si="275"/>
        <v>0</v>
      </c>
      <c r="F520" s="36">
        <f t="shared" si="275"/>
        <v>0</v>
      </c>
      <c r="G520" s="36">
        <f t="shared" si="275"/>
        <v>893</v>
      </c>
      <c r="H520" s="36">
        <f t="shared" si="275"/>
        <v>0</v>
      </c>
      <c r="I520" s="36">
        <f t="shared" si="275"/>
        <v>0</v>
      </c>
      <c r="J520" s="141">
        <f t="shared" si="275"/>
        <v>890</v>
      </c>
      <c r="K520" s="141">
        <f>K521+K522</f>
        <v>210</v>
      </c>
      <c r="L520" s="141">
        <f>L521+L522</f>
        <v>240</v>
      </c>
      <c r="M520" s="141">
        <f>M521+M522</f>
        <v>240</v>
      </c>
      <c r="N520" s="141">
        <f>N521+N522</f>
        <v>200</v>
      </c>
      <c r="O520" s="141">
        <f t="shared" si="275"/>
        <v>1030</v>
      </c>
      <c r="P520" s="141">
        <f t="shared" si="275"/>
        <v>1030</v>
      </c>
      <c r="Q520" s="141">
        <f t="shared" si="275"/>
        <v>1030</v>
      </c>
    </row>
    <row r="521" spans="1:17" ht="15">
      <c r="A521" s="90"/>
      <c r="B521" s="89" t="s">
        <v>181</v>
      </c>
      <c r="C521" s="47">
        <v>10</v>
      </c>
      <c r="D521" s="37">
        <v>0</v>
      </c>
      <c r="E521" s="37">
        <v>0</v>
      </c>
      <c r="F521" s="32">
        <v>0</v>
      </c>
      <c r="G521" s="32">
        <v>863</v>
      </c>
      <c r="H521" s="32"/>
      <c r="I521" s="37"/>
      <c r="J521" s="137">
        <v>860</v>
      </c>
      <c r="K521" s="137">
        <v>200</v>
      </c>
      <c r="L521" s="137">
        <v>230</v>
      </c>
      <c r="M521" s="137">
        <v>230</v>
      </c>
      <c r="N521" s="137">
        <v>200</v>
      </c>
      <c r="O521" s="137">
        <v>1000</v>
      </c>
      <c r="P521" s="137">
        <v>1000</v>
      </c>
      <c r="Q521" s="137">
        <v>1000</v>
      </c>
    </row>
    <row r="522" spans="1:17" ht="15">
      <c r="A522" s="90"/>
      <c r="B522" s="89" t="s">
        <v>182</v>
      </c>
      <c r="C522" s="47">
        <v>20</v>
      </c>
      <c r="D522" s="37">
        <v>0</v>
      </c>
      <c r="E522" s="37">
        <v>0</v>
      </c>
      <c r="F522" s="32">
        <v>0</v>
      </c>
      <c r="G522" s="32">
        <v>30</v>
      </c>
      <c r="H522" s="32"/>
      <c r="I522" s="37"/>
      <c r="J522" s="137">
        <v>30</v>
      </c>
      <c r="K522" s="137">
        <v>10</v>
      </c>
      <c r="L522" s="137">
        <v>10</v>
      </c>
      <c r="M522" s="137">
        <v>10</v>
      </c>
      <c r="N522" s="137"/>
      <c r="O522" s="137">
        <v>30</v>
      </c>
      <c r="P522" s="137">
        <v>30</v>
      </c>
      <c r="Q522" s="137">
        <v>30</v>
      </c>
    </row>
    <row r="523" spans="1:17" ht="26.25" customHeight="1">
      <c r="A523" s="99">
        <v>3</v>
      </c>
      <c r="B523" s="101" t="s">
        <v>564</v>
      </c>
      <c r="C523" s="166" t="s">
        <v>346</v>
      </c>
      <c r="D523" s="50">
        <f t="shared" ref="D523:Q523" si="276">D534+D545+D553+D559+D565+D575+D584+D592+D600+D604+D613</f>
        <v>34191</v>
      </c>
      <c r="E523" s="50">
        <f t="shared" si="276"/>
        <v>44556.92</v>
      </c>
      <c r="F523" s="50">
        <f t="shared" si="276"/>
        <v>33197.270000000004</v>
      </c>
      <c r="G523" s="50">
        <f t="shared" si="276"/>
        <v>61130.400000000001</v>
      </c>
      <c r="H523" s="50">
        <f t="shared" si="276"/>
        <v>2862</v>
      </c>
      <c r="I523" s="50">
        <f t="shared" si="276"/>
        <v>15071</v>
      </c>
      <c r="J523" s="146">
        <f t="shared" si="276"/>
        <v>45532</v>
      </c>
      <c r="K523" s="146">
        <f>K534+K545+K553+K559+K565+K575+K584+K592+K600+K604+K613</f>
        <v>15449</v>
      </c>
      <c r="L523" s="146">
        <f>L534+L545+L553+L559+L565+L575+L584+L592+L600+L604+L613</f>
        <v>10780</v>
      </c>
      <c r="M523" s="146">
        <f>M534+M545+M553+M559+M565+M575+M584+M592+M600+M604+M613</f>
        <v>10605</v>
      </c>
      <c r="N523" s="146">
        <f>N534+N545+N553+N559+N565+N575+N584+N592+N600+N604+N613</f>
        <v>8698</v>
      </c>
      <c r="O523" s="146">
        <f t="shared" si="276"/>
        <v>41385</v>
      </c>
      <c r="P523" s="146">
        <f t="shared" si="276"/>
        <v>41385</v>
      </c>
      <c r="Q523" s="146">
        <f t="shared" si="276"/>
        <v>41100</v>
      </c>
    </row>
    <row r="524" spans="1:17" ht="18.75" customHeight="1">
      <c r="A524" s="90"/>
      <c r="B524" s="80" t="s">
        <v>179</v>
      </c>
      <c r="C524" s="159"/>
      <c r="D524" s="50">
        <f t="shared" ref="D524:N524" si="277">D535+D546+D566+D576+D585+D593+D601+D605+D614</f>
        <v>33301</v>
      </c>
      <c r="E524" s="50">
        <f t="shared" si="277"/>
        <v>39647.919999999998</v>
      </c>
      <c r="F524" s="50">
        <f t="shared" si="277"/>
        <v>31304.27</v>
      </c>
      <c r="G524" s="50">
        <f t="shared" si="277"/>
        <v>54220</v>
      </c>
      <c r="H524" s="50">
        <f t="shared" si="277"/>
        <v>2852</v>
      </c>
      <c r="I524" s="50">
        <f t="shared" si="277"/>
        <v>14592</v>
      </c>
      <c r="J524" s="146">
        <f t="shared" si="277"/>
        <v>40989</v>
      </c>
      <c r="K524" s="146">
        <f t="shared" si="277"/>
        <v>10906</v>
      </c>
      <c r="L524" s="146">
        <f t="shared" si="277"/>
        <v>10780</v>
      </c>
      <c r="M524" s="146">
        <f t="shared" si="277"/>
        <v>10605</v>
      </c>
      <c r="N524" s="146">
        <f t="shared" si="277"/>
        <v>8698</v>
      </c>
      <c r="O524" s="146">
        <f t="shared" ref="O524:Q525" si="278">O535+O546+O566+O576+O585+O593+O601+O605+O614</f>
        <v>41100</v>
      </c>
      <c r="P524" s="146">
        <f t="shared" si="278"/>
        <v>41100</v>
      </c>
      <c r="Q524" s="146">
        <f t="shared" si="278"/>
        <v>41100</v>
      </c>
    </row>
    <row r="525" spans="1:17" ht="15">
      <c r="A525" s="90"/>
      <c r="B525" s="89" t="s">
        <v>180</v>
      </c>
      <c r="C525" s="47">
        <v>1</v>
      </c>
      <c r="D525" s="36">
        <f t="shared" ref="D525:N525" si="279">D536+D547+D567+D577+D586+D594+D602+D606+D615</f>
        <v>33301</v>
      </c>
      <c r="E525" s="36">
        <f t="shared" si="279"/>
        <v>39647.919999999998</v>
      </c>
      <c r="F525" s="36">
        <f t="shared" si="279"/>
        <v>31304.27</v>
      </c>
      <c r="G525" s="36">
        <f t="shared" si="279"/>
        <v>54220</v>
      </c>
      <c r="H525" s="36">
        <f t="shared" si="279"/>
        <v>2852</v>
      </c>
      <c r="I525" s="36">
        <f t="shared" si="279"/>
        <v>14592</v>
      </c>
      <c r="J525" s="141">
        <f t="shared" si="279"/>
        <v>40989</v>
      </c>
      <c r="K525" s="141">
        <f t="shared" si="279"/>
        <v>10906</v>
      </c>
      <c r="L525" s="141">
        <f t="shared" si="279"/>
        <v>10780</v>
      </c>
      <c r="M525" s="141">
        <f t="shared" si="279"/>
        <v>10605</v>
      </c>
      <c r="N525" s="141">
        <f t="shared" si="279"/>
        <v>8698</v>
      </c>
      <c r="O525" s="141">
        <f t="shared" si="278"/>
        <v>41100</v>
      </c>
      <c r="P525" s="141">
        <f t="shared" si="278"/>
        <v>41100</v>
      </c>
      <c r="Q525" s="141">
        <f t="shared" si="278"/>
        <v>41100</v>
      </c>
    </row>
    <row r="526" spans="1:17" ht="15">
      <c r="A526" s="90"/>
      <c r="B526" s="89" t="s">
        <v>182</v>
      </c>
      <c r="C526" s="47">
        <v>20</v>
      </c>
      <c r="D526" s="36">
        <f t="shared" ref="D526:Q526" si="280">D616</f>
        <v>527</v>
      </c>
      <c r="E526" s="36">
        <f t="shared" si="280"/>
        <v>700</v>
      </c>
      <c r="F526" s="36">
        <f t="shared" si="280"/>
        <v>432.5</v>
      </c>
      <c r="G526" s="36">
        <f t="shared" si="280"/>
        <v>850</v>
      </c>
      <c r="H526" s="36">
        <f t="shared" si="280"/>
        <v>100</v>
      </c>
      <c r="I526" s="36">
        <f t="shared" si="280"/>
        <v>700</v>
      </c>
      <c r="J526" s="141">
        <f t="shared" si="280"/>
        <v>750</v>
      </c>
      <c r="K526" s="141">
        <f>K616</f>
        <v>100</v>
      </c>
      <c r="L526" s="141">
        <f>L616</f>
        <v>200</v>
      </c>
      <c r="M526" s="141">
        <f>M616</f>
        <v>300</v>
      </c>
      <c r="N526" s="141">
        <f>N616</f>
        <v>150</v>
      </c>
      <c r="O526" s="141">
        <f t="shared" si="280"/>
        <v>800</v>
      </c>
      <c r="P526" s="141">
        <f t="shared" si="280"/>
        <v>800</v>
      </c>
      <c r="Q526" s="141">
        <f t="shared" si="280"/>
        <v>800</v>
      </c>
    </row>
    <row r="527" spans="1:17" ht="15">
      <c r="A527" s="90"/>
      <c r="B527" s="89" t="s">
        <v>285</v>
      </c>
      <c r="C527" s="47">
        <v>51</v>
      </c>
      <c r="D527" s="36">
        <f t="shared" ref="D527:Q527" si="281">D537+D548+D568+D578+D587+D595+D607</f>
        <v>22458</v>
      </c>
      <c r="E527" s="36">
        <f t="shared" si="281"/>
        <v>26345.919999999998</v>
      </c>
      <c r="F527" s="36">
        <f t="shared" si="281"/>
        <v>18269.77</v>
      </c>
      <c r="G527" s="36">
        <f t="shared" si="281"/>
        <v>40620</v>
      </c>
      <c r="H527" s="36">
        <f t="shared" si="281"/>
        <v>250</v>
      </c>
      <c r="I527" s="36">
        <f t="shared" si="281"/>
        <v>1290</v>
      </c>
      <c r="J527" s="141">
        <f t="shared" si="281"/>
        <v>26717</v>
      </c>
      <c r="K527" s="141">
        <f>K537+K548+K568+K578+K587+K595+K607</f>
        <v>7406</v>
      </c>
      <c r="L527" s="141">
        <f>L537+L548+L568+L578+L587+L595+L607</f>
        <v>7080</v>
      </c>
      <c r="M527" s="141">
        <f>M537+M548+M568+M578+M587+M595+M607</f>
        <v>6705</v>
      </c>
      <c r="N527" s="141">
        <f>N537+N548+N568+N578+N587+N595+N607</f>
        <v>5526</v>
      </c>
      <c r="O527" s="141">
        <f t="shared" si="281"/>
        <v>26800</v>
      </c>
      <c r="P527" s="141">
        <f t="shared" si="281"/>
        <v>26800</v>
      </c>
      <c r="Q527" s="141">
        <f t="shared" si="281"/>
        <v>26800</v>
      </c>
    </row>
    <row r="528" spans="1:17" ht="15">
      <c r="A528" s="90"/>
      <c r="B528" s="89" t="s">
        <v>188</v>
      </c>
      <c r="C528" s="47">
        <v>59</v>
      </c>
      <c r="D528" s="36">
        <f t="shared" ref="D528:Q528" si="282">D603</f>
        <v>10316</v>
      </c>
      <c r="E528" s="36">
        <f t="shared" si="282"/>
        <v>12602</v>
      </c>
      <c r="F528" s="36">
        <f t="shared" si="282"/>
        <v>12602</v>
      </c>
      <c r="G528" s="36">
        <f t="shared" si="282"/>
        <v>12750</v>
      </c>
      <c r="H528" s="36">
        <f t="shared" si="282"/>
        <v>2502</v>
      </c>
      <c r="I528" s="36">
        <f t="shared" si="282"/>
        <v>12602</v>
      </c>
      <c r="J528" s="141">
        <f t="shared" si="282"/>
        <v>13522</v>
      </c>
      <c r="K528" s="141">
        <f>K603</f>
        <v>3400</v>
      </c>
      <c r="L528" s="141">
        <f>L603</f>
        <v>3500</v>
      </c>
      <c r="M528" s="141">
        <f>M603</f>
        <v>3600</v>
      </c>
      <c r="N528" s="141">
        <f>N603</f>
        <v>3022</v>
      </c>
      <c r="O528" s="141">
        <f t="shared" si="282"/>
        <v>13500</v>
      </c>
      <c r="P528" s="141">
        <f t="shared" si="282"/>
        <v>13500</v>
      </c>
      <c r="Q528" s="141">
        <f t="shared" si="282"/>
        <v>13500</v>
      </c>
    </row>
    <row r="529" spans="1:17" ht="13.5" customHeight="1">
      <c r="A529" s="90"/>
      <c r="B529" s="89" t="s">
        <v>190</v>
      </c>
      <c r="C529" s="159">
        <v>85.01</v>
      </c>
      <c r="D529" s="50">
        <f t="shared" ref="D529:Q529" si="283">D540</f>
        <v>0</v>
      </c>
      <c r="E529" s="50">
        <f t="shared" si="283"/>
        <v>0</v>
      </c>
      <c r="F529" s="50">
        <f t="shared" si="283"/>
        <v>0</v>
      </c>
      <c r="G529" s="50">
        <f t="shared" si="283"/>
        <v>0</v>
      </c>
      <c r="H529" s="50">
        <f t="shared" si="283"/>
        <v>0</v>
      </c>
      <c r="I529" s="50">
        <f t="shared" si="283"/>
        <v>0</v>
      </c>
      <c r="J529" s="146">
        <f t="shared" si="283"/>
        <v>0</v>
      </c>
      <c r="K529" s="146">
        <f>K540</f>
        <v>0</v>
      </c>
      <c r="L529" s="146">
        <f>L540</f>
        <v>0</v>
      </c>
      <c r="M529" s="146">
        <f>M540</f>
        <v>0</v>
      </c>
      <c r="N529" s="146">
        <f>N540</f>
        <v>0</v>
      </c>
      <c r="O529" s="146">
        <f t="shared" si="283"/>
        <v>0</v>
      </c>
      <c r="P529" s="146">
        <f t="shared" si="283"/>
        <v>0</v>
      </c>
      <c r="Q529" s="146">
        <f t="shared" si="283"/>
        <v>0</v>
      </c>
    </row>
    <row r="530" spans="1:17" ht="14.25">
      <c r="A530" s="90"/>
      <c r="B530" s="82" t="s">
        <v>191</v>
      </c>
      <c r="C530" s="47"/>
      <c r="D530" s="50">
        <f t="shared" ref="D530:Q530" si="284">D542+D551+D554+D560+D572+D582+D590+D598+D610</f>
        <v>890</v>
      </c>
      <c r="E530" s="50">
        <f t="shared" si="284"/>
        <v>4909</v>
      </c>
      <c r="F530" s="50">
        <f t="shared" si="284"/>
        <v>1893</v>
      </c>
      <c r="G530" s="50">
        <f t="shared" si="284"/>
        <v>6910.4</v>
      </c>
      <c r="H530" s="50">
        <f t="shared" si="284"/>
        <v>10</v>
      </c>
      <c r="I530" s="50">
        <f t="shared" si="284"/>
        <v>479</v>
      </c>
      <c r="J530" s="146">
        <f t="shared" si="284"/>
        <v>4543</v>
      </c>
      <c r="K530" s="146">
        <f>K542+K551+K554+K560+K572+K582+K590+K598+K610</f>
        <v>4543</v>
      </c>
      <c r="L530" s="146">
        <f>L542+L551+L554+L560+L572+L582+L590+L598+L610</f>
        <v>0</v>
      </c>
      <c r="M530" s="146">
        <f>M542+M551+M554+M560+M572+M582+M590+M598+M610</f>
        <v>0</v>
      </c>
      <c r="N530" s="146">
        <f>N542+N551+N554+N560+N572+N582+N590+N598+N610</f>
        <v>0</v>
      </c>
      <c r="O530" s="146">
        <f t="shared" si="284"/>
        <v>285</v>
      </c>
      <c r="P530" s="146">
        <f t="shared" si="284"/>
        <v>285</v>
      </c>
      <c r="Q530" s="146">
        <f t="shared" si="284"/>
        <v>0</v>
      </c>
    </row>
    <row r="531" spans="1:17" ht="15">
      <c r="A531" s="90"/>
      <c r="B531" s="89" t="s">
        <v>197</v>
      </c>
      <c r="C531" s="47">
        <v>51</v>
      </c>
      <c r="D531" s="50">
        <f t="shared" ref="D531:N531" si="285">D544+D552+D574+D583+D591+D599+D612</f>
        <v>463</v>
      </c>
      <c r="E531" s="50">
        <f t="shared" si="285"/>
        <v>4449</v>
      </c>
      <c r="F531" s="50">
        <f t="shared" si="285"/>
        <v>1464</v>
      </c>
      <c r="G531" s="50">
        <f t="shared" si="285"/>
        <v>6460.4</v>
      </c>
      <c r="H531" s="50">
        <f t="shared" si="285"/>
        <v>0</v>
      </c>
      <c r="I531" s="50">
        <f t="shared" si="285"/>
        <v>19</v>
      </c>
      <c r="J531" s="146">
        <f t="shared" si="285"/>
        <v>4083</v>
      </c>
      <c r="K531" s="146">
        <f t="shared" si="285"/>
        <v>4083</v>
      </c>
      <c r="L531" s="146">
        <f t="shared" si="285"/>
        <v>0</v>
      </c>
      <c r="M531" s="146">
        <f t="shared" si="285"/>
        <v>0</v>
      </c>
      <c r="N531" s="146">
        <f t="shared" si="285"/>
        <v>0</v>
      </c>
      <c r="O531" s="146">
        <f>O544+O552+O574+O583+O591+O599+O612</f>
        <v>85</v>
      </c>
      <c r="P531" s="146">
        <f>P544+P552+P574+P583+P591+P599+P612</f>
        <v>85</v>
      </c>
      <c r="Q531" s="146">
        <f>Q544+Q552+Q574+Q583+Q591+Q599+Q612</f>
        <v>0</v>
      </c>
    </row>
    <row r="532" spans="1:17" ht="13.5" customHeight="1">
      <c r="A532" s="90"/>
      <c r="B532" s="89" t="s">
        <v>199</v>
      </c>
      <c r="C532" s="47">
        <v>55</v>
      </c>
      <c r="D532" s="50">
        <f t="shared" ref="D532:Q532" si="286">D611</f>
        <v>0</v>
      </c>
      <c r="E532" s="50">
        <f t="shared" si="286"/>
        <v>0</v>
      </c>
      <c r="F532" s="50">
        <f t="shared" si="286"/>
        <v>0</v>
      </c>
      <c r="G532" s="50">
        <f t="shared" si="286"/>
        <v>0</v>
      </c>
      <c r="H532" s="50">
        <f t="shared" si="286"/>
        <v>0</v>
      </c>
      <c r="I532" s="50">
        <f t="shared" si="286"/>
        <v>0</v>
      </c>
      <c r="J532" s="146">
        <f t="shared" si="286"/>
        <v>0</v>
      </c>
      <c r="K532" s="146">
        <f>K611</f>
        <v>0</v>
      </c>
      <c r="L532" s="146">
        <f>L611</f>
        <v>0</v>
      </c>
      <c r="M532" s="146">
        <f>M611</f>
        <v>0</v>
      </c>
      <c r="N532" s="146">
        <f>N611</f>
        <v>0</v>
      </c>
      <c r="O532" s="146">
        <f t="shared" si="286"/>
        <v>0</v>
      </c>
      <c r="P532" s="146">
        <f t="shared" si="286"/>
        <v>0</v>
      </c>
      <c r="Q532" s="146">
        <f t="shared" si="286"/>
        <v>0</v>
      </c>
    </row>
    <row r="533" spans="1:17" ht="12" customHeight="1">
      <c r="A533" s="90"/>
      <c r="B533" s="89" t="s">
        <v>200</v>
      </c>
      <c r="C533" s="47">
        <v>56</v>
      </c>
      <c r="D533" s="36">
        <f t="shared" ref="D533:Q533" si="287">D543+D555+D561</f>
        <v>427</v>
      </c>
      <c r="E533" s="36">
        <f t="shared" si="287"/>
        <v>460</v>
      </c>
      <c r="F533" s="36">
        <f t="shared" si="287"/>
        <v>429</v>
      </c>
      <c r="G533" s="36">
        <f t="shared" si="287"/>
        <v>450</v>
      </c>
      <c r="H533" s="36">
        <f t="shared" si="287"/>
        <v>10</v>
      </c>
      <c r="I533" s="36">
        <f t="shared" si="287"/>
        <v>460</v>
      </c>
      <c r="J533" s="141">
        <f t="shared" si="287"/>
        <v>460</v>
      </c>
      <c r="K533" s="141">
        <f>K543+K555+K561</f>
        <v>460</v>
      </c>
      <c r="L533" s="141">
        <f>L543+L555+L561</f>
        <v>0</v>
      </c>
      <c r="M533" s="141">
        <f>M543+M555+M561</f>
        <v>0</v>
      </c>
      <c r="N533" s="141">
        <f>N543+N555+N561</f>
        <v>0</v>
      </c>
      <c r="O533" s="141">
        <f t="shared" si="287"/>
        <v>200</v>
      </c>
      <c r="P533" s="141">
        <f t="shared" si="287"/>
        <v>200</v>
      </c>
      <c r="Q533" s="141">
        <f t="shared" si="287"/>
        <v>0</v>
      </c>
    </row>
    <row r="534" spans="1:17" ht="14.25">
      <c r="A534" s="90" t="s">
        <v>347</v>
      </c>
      <c r="B534" s="111" t="s">
        <v>348</v>
      </c>
      <c r="C534" s="47" t="s">
        <v>349</v>
      </c>
      <c r="D534" s="50">
        <f t="shared" ref="D534:Q534" si="288">D535+D542</f>
        <v>3256</v>
      </c>
      <c r="E534" s="50">
        <f t="shared" si="288"/>
        <v>3626.92</v>
      </c>
      <c r="F534" s="50">
        <f t="shared" si="288"/>
        <v>3619.7700000000004</v>
      </c>
      <c r="G534" s="50">
        <f t="shared" si="288"/>
        <v>3851.4</v>
      </c>
      <c r="H534" s="50">
        <f t="shared" si="288"/>
        <v>0</v>
      </c>
      <c r="I534" s="50">
        <f t="shared" si="288"/>
        <v>0</v>
      </c>
      <c r="J534" s="146">
        <f t="shared" si="288"/>
        <v>3599</v>
      </c>
      <c r="K534" s="146">
        <f>K535+K542</f>
        <v>1157</v>
      </c>
      <c r="L534" s="146">
        <f>L535+L542</f>
        <v>920</v>
      </c>
      <c r="M534" s="146">
        <f>M535+M542</f>
        <v>820</v>
      </c>
      <c r="N534" s="146">
        <f>N535+N542</f>
        <v>702</v>
      </c>
      <c r="O534" s="146">
        <f t="shared" si="288"/>
        <v>3485</v>
      </c>
      <c r="P534" s="146">
        <f t="shared" si="288"/>
        <v>3485</v>
      </c>
      <c r="Q534" s="146">
        <f t="shared" si="288"/>
        <v>3400</v>
      </c>
    </row>
    <row r="535" spans="1:17" ht="14.25">
      <c r="A535" s="90"/>
      <c r="B535" s="80" t="s">
        <v>179</v>
      </c>
      <c r="C535" s="47"/>
      <c r="D535" s="50">
        <f t="shared" ref="D535:Q535" si="289">D536+D540</f>
        <v>3141</v>
      </c>
      <c r="E535" s="50">
        <f t="shared" si="289"/>
        <v>3486.92</v>
      </c>
      <c r="F535" s="50">
        <f t="shared" si="289"/>
        <v>3479.7700000000004</v>
      </c>
      <c r="G535" s="50">
        <f t="shared" si="289"/>
        <v>3620</v>
      </c>
      <c r="H535" s="50">
        <f t="shared" si="289"/>
        <v>0</v>
      </c>
      <c r="I535" s="50">
        <f t="shared" si="289"/>
        <v>0</v>
      </c>
      <c r="J535" s="146">
        <f t="shared" si="289"/>
        <v>3367</v>
      </c>
      <c r="K535" s="146">
        <f>K536+K540</f>
        <v>925</v>
      </c>
      <c r="L535" s="146">
        <f>L536+L540</f>
        <v>920</v>
      </c>
      <c r="M535" s="146">
        <f>M536+M540</f>
        <v>820</v>
      </c>
      <c r="N535" s="146">
        <f>N536+N540</f>
        <v>702</v>
      </c>
      <c r="O535" s="146">
        <f t="shared" si="289"/>
        <v>3400</v>
      </c>
      <c r="P535" s="146">
        <f t="shared" si="289"/>
        <v>3400</v>
      </c>
      <c r="Q535" s="146">
        <f t="shared" si="289"/>
        <v>3400</v>
      </c>
    </row>
    <row r="536" spans="1:17" ht="15">
      <c r="A536" s="90"/>
      <c r="B536" s="89" t="s">
        <v>180</v>
      </c>
      <c r="C536" s="47">
        <v>1</v>
      </c>
      <c r="D536" s="36">
        <f t="shared" ref="D536:Q536" si="290">D537</f>
        <v>3141</v>
      </c>
      <c r="E536" s="36">
        <f t="shared" si="290"/>
        <v>3486.92</v>
      </c>
      <c r="F536" s="36">
        <f t="shared" si="290"/>
        <v>3479.7700000000004</v>
      </c>
      <c r="G536" s="36">
        <f t="shared" si="290"/>
        <v>3620</v>
      </c>
      <c r="H536" s="36">
        <f t="shared" si="290"/>
        <v>0</v>
      </c>
      <c r="I536" s="36">
        <f t="shared" si="290"/>
        <v>0</v>
      </c>
      <c r="J536" s="141">
        <f t="shared" si="290"/>
        <v>3367</v>
      </c>
      <c r="K536" s="141">
        <f t="shared" si="290"/>
        <v>925</v>
      </c>
      <c r="L536" s="141">
        <f t="shared" si="290"/>
        <v>920</v>
      </c>
      <c r="M536" s="141">
        <f t="shared" si="290"/>
        <v>820</v>
      </c>
      <c r="N536" s="141">
        <f t="shared" si="290"/>
        <v>702</v>
      </c>
      <c r="O536" s="141">
        <f t="shared" si="290"/>
        <v>3400</v>
      </c>
      <c r="P536" s="141">
        <f t="shared" si="290"/>
        <v>3400</v>
      </c>
      <c r="Q536" s="141">
        <f t="shared" si="290"/>
        <v>3400</v>
      </c>
    </row>
    <row r="537" spans="1:17" ht="15">
      <c r="A537" s="90"/>
      <c r="B537" s="89" t="s">
        <v>285</v>
      </c>
      <c r="C537" s="47" t="s">
        <v>249</v>
      </c>
      <c r="D537" s="36">
        <f t="shared" ref="D537:I537" si="291">D538+D539</f>
        <v>3141</v>
      </c>
      <c r="E537" s="36">
        <f t="shared" si="291"/>
        <v>3486.92</v>
      </c>
      <c r="F537" s="36">
        <f t="shared" si="291"/>
        <v>3479.7700000000004</v>
      </c>
      <c r="G537" s="36">
        <f t="shared" si="291"/>
        <v>3620</v>
      </c>
      <c r="H537" s="36">
        <f t="shared" si="291"/>
        <v>0</v>
      </c>
      <c r="I537" s="36">
        <f t="shared" si="291"/>
        <v>0</v>
      </c>
      <c r="J537" s="141">
        <f>J538+J539+J541</f>
        <v>3367</v>
      </c>
      <c r="K537" s="141">
        <f t="shared" ref="K537:Q537" si="292">K538+K539+K541</f>
        <v>925</v>
      </c>
      <c r="L537" s="141">
        <f t="shared" si="292"/>
        <v>920</v>
      </c>
      <c r="M537" s="141">
        <f t="shared" si="292"/>
        <v>820</v>
      </c>
      <c r="N537" s="141">
        <f t="shared" si="292"/>
        <v>702</v>
      </c>
      <c r="O537" s="141">
        <f t="shared" si="292"/>
        <v>3400</v>
      </c>
      <c r="P537" s="141">
        <f t="shared" si="292"/>
        <v>3400</v>
      </c>
      <c r="Q537" s="141">
        <f t="shared" si="292"/>
        <v>3400</v>
      </c>
    </row>
    <row r="538" spans="1:17" ht="15" customHeight="1">
      <c r="A538" s="90"/>
      <c r="B538" s="89" t="s">
        <v>181</v>
      </c>
      <c r="C538" s="47">
        <v>10</v>
      </c>
      <c r="D538" s="37">
        <v>1869</v>
      </c>
      <c r="E538" s="37">
        <v>2259.6</v>
      </c>
      <c r="F538" s="32">
        <v>2259.3200000000002</v>
      </c>
      <c r="G538" s="32">
        <v>2367</v>
      </c>
      <c r="H538" s="32"/>
      <c r="I538" s="37"/>
      <c r="J538" s="187">
        <f>2367-12</f>
        <v>2355</v>
      </c>
      <c r="K538" s="187">
        <f>625-3</f>
        <v>622</v>
      </c>
      <c r="L538" s="187">
        <f>620-3</f>
        <v>617</v>
      </c>
      <c r="M538" s="187">
        <f>620-3</f>
        <v>617</v>
      </c>
      <c r="N538" s="187">
        <f>502-3</f>
        <v>499</v>
      </c>
      <c r="O538" s="137">
        <v>2400</v>
      </c>
      <c r="P538" s="137">
        <v>2400</v>
      </c>
      <c r="Q538" s="137">
        <v>2400</v>
      </c>
    </row>
    <row r="539" spans="1:17" ht="14.25" customHeight="1">
      <c r="A539" s="90"/>
      <c r="B539" s="89" t="s">
        <v>182</v>
      </c>
      <c r="C539" s="47">
        <v>20</v>
      </c>
      <c r="D539" s="37">
        <f>3141-1869</f>
        <v>1272</v>
      </c>
      <c r="E539" s="37">
        <v>1227.32</v>
      </c>
      <c r="F539" s="32">
        <v>1220.45</v>
      </c>
      <c r="G539" s="32">
        <v>1253</v>
      </c>
      <c r="H539" s="32"/>
      <c r="I539" s="37"/>
      <c r="J539" s="187">
        <v>1000</v>
      </c>
      <c r="K539" s="187">
        <v>300</v>
      </c>
      <c r="L539" s="187">
        <v>300</v>
      </c>
      <c r="M539" s="187">
        <v>200</v>
      </c>
      <c r="N539" s="187">
        <v>200</v>
      </c>
      <c r="O539" s="137">
        <v>1000</v>
      </c>
      <c r="P539" s="137">
        <v>1000</v>
      </c>
      <c r="Q539" s="137">
        <v>1000</v>
      </c>
    </row>
    <row r="540" spans="1:17" ht="16.5" hidden="1" customHeight="1">
      <c r="A540" s="90"/>
      <c r="B540" s="89" t="s">
        <v>190</v>
      </c>
      <c r="C540" s="47" t="s">
        <v>286</v>
      </c>
      <c r="D540" s="37"/>
      <c r="E540" s="37"/>
      <c r="F540" s="32"/>
      <c r="G540" s="32"/>
      <c r="H540" s="32"/>
      <c r="I540" s="37"/>
      <c r="J540" s="187"/>
      <c r="K540" s="187"/>
      <c r="L540" s="187"/>
      <c r="M540" s="187"/>
      <c r="N540" s="187"/>
      <c r="O540" s="137"/>
      <c r="P540" s="137"/>
      <c r="Q540" s="137"/>
    </row>
    <row r="541" spans="1:17" ht="16.5" customHeight="1">
      <c r="A541" s="90"/>
      <c r="B541" s="89" t="s">
        <v>544</v>
      </c>
      <c r="C541" s="47">
        <v>59</v>
      </c>
      <c r="D541" s="37"/>
      <c r="E541" s="37"/>
      <c r="F541" s="32"/>
      <c r="G541" s="32"/>
      <c r="H541" s="32"/>
      <c r="I541" s="37"/>
      <c r="J541" s="187">
        <v>12</v>
      </c>
      <c r="K541" s="187">
        <v>3</v>
      </c>
      <c r="L541" s="187">
        <v>3</v>
      </c>
      <c r="M541" s="187">
        <v>3</v>
      </c>
      <c r="N541" s="187">
        <v>3</v>
      </c>
      <c r="O541" s="137"/>
      <c r="P541" s="137"/>
      <c r="Q541" s="137"/>
    </row>
    <row r="542" spans="1:17" ht="14.25" customHeight="1">
      <c r="A542" s="90"/>
      <c r="B542" s="82" t="s">
        <v>191</v>
      </c>
      <c r="C542" s="47"/>
      <c r="D542" s="37">
        <f t="shared" ref="D542:Q542" si="293">D543+D544</f>
        <v>115</v>
      </c>
      <c r="E542" s="37">
        <f t="shared" si="293"/>
        <v>140</v>
      </c>
      <c r="F542" s="36">
        <f t="shared" si="293"/>
        <v>140</v>
      </c>
      <c r="G542" s="36">
        <f t="shared" si="293"/>
        <v>231.4</v>
      </c>
      <c r="H542" s="36">
        <f t="shared" si="293"/>
        <v>0</v>
      </c>
      <c r="I542" s="36">
        <f t="shared" si="293"/>
        <v>0</v>
      </c>
      <c r="J542" s="188">
        <f t="shared" si="293"/>
        <v>232</v>
      </c>
      <c r="K542" s="188">
        <f>K543+K544</f>
        <v>232</v>
      </c>
      <c r="L542" s="188">
        <f>L543+L544</f>
        <v>0</v>
      </c>
      <c r="M542" s="188">
        <f>M543+M544</f>
        <v>0</v>
      </c>
      <c r="N542" s="188">
        <f>N543+N544</f>
        <v>0</v>
      </c>
      <c r="O542" s="141">
        <f t="shared" si="293"/>
        <v>85</v>
      </c>
      <c r="P542" s="141">
        <f t="shared" si="293"/>
        <v>85</v>
      </c>
      <c r="Q542" s="141">
        <f t="shared" si="293"/>
        <v>0</v>
      </c>
    </row>
    <row r="543" spans="1:17" ht="17.25" hidden="1" customHeight="1">
      <c r="A543" s="90"/>
      <c r="B543" s="72" t="s">
        <v>200</v>
      </c>
      <c r="C543" s="47" t="s">
        <v>350</v>
      </c>
      <c r="D543" s="37"/>
      <c r="E543" s="37"/>
      <c r="F543" s="32"/>
      <c r="G543" s="32"/>
      <c r="H543" s="32"/>
      <c r="I543" s="37"/>
      <c r="J543" s="187"/>
      <c r="K543" s="187"/>
      <c r="L543" s="187"/>
      <c r="M543" s="187"/>
      <c r="N543" s="187"/>
      <c r="O543" s="137"/>
      <c r="P543" s="137"/>
      <c r="Q543" s="137"/>
    </row>
    <row r="544" spans="1:17" ht="15.75" customHeight="1">
      <c r="A544" s="90"/>
      <c r="B544" s="89" t="s">
        <v>197</v>
      </c>
      <c r="C544" s="47" t="s">
        <v>198</v>
      </c>
      <c r="D544" s="37">
        <v>115</v>
      </c>
      <c r="E544" s="37">
        <f>78+62</f>
        <v>140</v>
      </c>
      <c r="F544" s="32">
        <f>62+78</f>
        <v>140</v>
      </c>
      <c r="G544" s="32">
        <f>85+146.4</f>
        <v>231.4</v>
      </c>
      <c r="H544" s="32"/>
      <c r="I544" s="37"/>
      <c r="J544" s="187">
        <f>147+85</f>
        <v>232</v>
      </c>
      <c r="K544" s="187">
        <v>232</v>
      </c>
      <c r="L544" s="187"/>
      <c r="M544" s="187"/>
      <c r="N544" s="187"/>
      <c r="O544" s="137">
        <v>85</v>
      </c>
      <c r="P544" s="137">
        <v>85</v>
      </c>
      <c r="Q544" s="137">
        <v>0</v>
      </c>
    </row>
    <row r="545" spans="1:17" ht="14.25">
      <c r="A545" s="112" t="s">
        <v>351</v>
      </c>
      <c r="B545" s="111" t="s">
        <v>352</v>
      </c>
      <c r="C545" s="47" t="s">
        <v>353</v>
      </c>
      <c r="D545" s="50">
        <f t="shared" ref="D545:Q545" si="294">D546+D551</f>
        <v>3873</v>
      </c>
      <c r="E545" s="50">
        <f t="shared" si="294"/>
        <v>4335</v>
      </c>
      <c r="F545" s="50">
        <f t="shared" si="294"/>
        <v>3869</v>
      </c>
      <c r="G545" s="50">
        <f t="shared" si="294"/>
        <v>8745</v>
      </c>
      <c r="H545" s="50">
        <f t="shared" si="294"/>
        <v>0</v>
      </c>
      <c r="I545" s="50">
        <f t="shared" si="294"/>
        <v>0</v>
      </c>
      <c r="J545" s="146">
        <f t="shared" si="294"/>
        <v>5263</v>
      </c>
      <c r="K545" s="146">
        <f>K546+K551</f>
        <v>2388</v>
      </c>
      <c r="L545" s="146">
        <f>L546+L551</f>
        <v>1050</v>
      </c>
      <c r="M545" s="146">
        <f>M546+M551</f>
        <v>950</v>
      </c>
      <c r="N545" s="146">
        <f>N546+N551</f>
        <v>875</v>
      </c>
      <c r="O545" s="146">
        <f t="shared" si="294"/>
        <v>4000</v>
      </c>
      <c r="P545" s="146">
        <f t="shared" si="294"/>
        <v>4000</v>
      </c>
      <c r="Q545" s="146">
        <f t="shared" si="294"/>
        <v>4000</v>
      </c>
    </row>
    <row r="546" spans="1:17" ht="14.25">
      <c r="A546" s="90"/>
      <c r="B546" s="80" t="s">
        <v>179</v>
      </c>
      <c r="C546" s="47"/>
      <c r="D546" s="50">
        <f t="shared" ref="D546:Q547" si="295">D547</f>
        <v>3873</v>
      </c>
      <c r="E546" s="50">
        <f t="shared" si="295"/>
        <v>3900</v>
      </c>
      <c r="F546" s="50">
        <f t="shared" si="295"/>
        <v>3869</v>
      </c>
      <c r="G546" s="50">
        <f t="shared" si="295"/>
        <v>7482</v>
      </c>
      <c r="H546" s="50">
        <f t="shared" si="295"/>
        <v>0</v>
      </c>
      <c r="I546" s="50">
        <f t="shared" si="295"/>
        <v>0</v>
      </c>
      <c r="J546" s="146">
        <f t="shared" si="295"/>
        <v>4000</v>
      </c>
      <c r="K546" s="146">
        <f t="shared" si="295"/>
        <v>1125</v>
      </c>
      <c r="L546" s="146">
        <f t="shared" si="295"/>
        <v>1050</v>
      </c>
      <c r="M546" s="146">
        <f t="shared" si="295"/>
        <v>950</v>
      </c>
      <c r="N546" s="146">
        <f t="shared" si="295"/>
        <v>875</v>
      </c>
      <c r="O546" s="146">
        <f t="shared" si="295"/>
        <v>4000</v>
      </c>
      <c r="P546" s="146">
        <f t="shared" si="295"/>
        <v>4000</v>
      </c>
      <c r="Q546" s="146">
        <f t="shared" si="295"/>
        <v>4000</v>
      </c>
    </row>
    <row r="547" spans="1:17" ht="15">
      <c r="A547" s="90"/>
      <c r="B547" s="89" t="s">
        <v>180</v>
      </c>
      <c r="C547" s="47">
        <v>1</v>
      </c>
      <c r="D547" s="36">
        <f t="shared" si="295"/>
        <v>3873</v>
      </c>
      <c r="E547" s="36">
        <f t="shared" si="295"/>
        <v>3900</v>
      </c>
      <c r="F547" s="36">
        <f t="shared" si="295"/>
        <v>3869</v>
      </c>
      <c r="G547" s="36">
        <f t="shared" si="295"/>
        <v>7482</v>
      </c>
      <c r="H547" s="36">
        <f t="shared" si="295"/>
        <v>0</v>
      </c>
      <c r="I547" s="36">
        <f t="shared" si="295"/>
        <v>0</v>
      </c>
      <c r="J547" s="141">
        <f t="shared" si="295"/>
        <v>4000</v>
      </c>
      <c r="K547" s="141">
        <f t="shared" si="295"/>
        <v>1125</v>
      </c>
      <c r="L547" s="141">
        <f t="shared" si="295"/>
        <v>1050</v>
      </c>
      <c r="M547" s="141">
        <f t="shared" si="295"/>
        <v>950</v>
      </c>
      <c r="N547" s="141">
        <f t="shared" si="295"/>
        <v>875</v>
      </c>
      <c r="O547" s="141">
        <f t="shared" si="295"/>
        <v>4000</v>
      </c>
      <c r="P547" s="141">
        <f t="shared" si="295"/>
        <v>4000</v>
      </c>
      <c r="Q547" s="141">
        <f t="shared" si="295"/>
        <v>4000</v>
      </c>
    </row>
    <row r="548" spans="1:17" ht="15">
      <c r="A548" s="90"/>
      <c r="B548" s="89" t="s">
        <v>285</v>
      </c>
      <c r="C548" s="47" t="s">
        <v>249</v>
      </c>
      <c r="D548" s="36">
        <f t="shared" ref="D548:Q548" si="296">D549+D550</f>
        <v>3873</v>
      </c>
      <c r="E548" s="36">
        <f t="shared" si="296"/>
        <v>3900</v>
      </c>
      <c r="F548" s="36">
        <f t="shared" si="296"/>
        <v>3869</v>
      </c>
      <c r="G548" s="36">
        <f t="shared" si="296"/>
        <v>7482</v>
      </c>
      <c r="H548" s="36">
        <f t="shared" si="296"/>
        <v>0</v>
      </c>
      <c r="I548" s="36">
        <f t="shared" si="296"/>
        <v>0</v>
      </c>
      <c r="J548" s="141">
        <f t="shared" si="296"/>
        <v>4000</v>
      </c>
      <c r="K548" s="141">
        <f>K549+K550</f>
        <v>1125</v>
      </c>
      <c r="L548" s="141">
        <f>L549+L550</f>
        <v>1050</v>
      </c>
      <c r="M548" s="141">
        <f>M549+M550</f>
        <v>950</v>
      </c>
      <c r="N548" s="141">
        <f>N549+N550</f>
        <v>875</v>
      </c>
      <c r="O548" s="141">
        <f t="shared" si="296"/>
        <v>4000</v>
      </c>
      <c r="P548" s="141">
        <f t="shared" si="296"/>
        <v>4000</v>
      </c>
      <c r="Q548" s="141">
        <f t="shared" si="296"/>
        <v>4000</v>
      </c>
    </row>
    <row r="549" spans="1:17" ht="14.25" customHeight="1">
      <c r="A549" s="90"/>
      <c r="B549" s="89" t="s">
        <v>181</v>
      </c>
      <c r="C549" s="47">
        <v>10</v>
      </c>
      <c r="D549" s="37">
        <v>1701</v>
      </c>
      <c r="E549" s="37">
        <v>2050</v>
      </c>
      <c r="F549" s="32">
        <v>2043</v>
      </c>
      <c r="G549" s="32">
        <v>2544</v>
      </c>
      <c r="H549" s="32"/>
      <c r="I549" s="37"/>
      <c r="J549" s="187">
        <v>2000</v>
      </c>
      <c r="K549" s="187">
        <v>575</v>
      </c>
      <c r="L549" s="187">
        <v>550</v>
      </c>
      <c r="M549" s="187">
        <v>450</v>
      </c>
      <c r="N549" s="187">
        <v>425</v>
      </c>
      <c r="O549" s="137">
        <v>2000</v>
      </c>
      <c r="P549" s="137">
        <v>2000</v>
      </c>
      <c r="Q549" s="137">
        <v>2000</v>
      </c>
    </row>
    <row r="550" spans="1:17" ht="14.25" customHeight="1">
      <c r="A550" s="90"/>
      <c r="B550" s="89" t="s">
        <v>182</v>
      </c>
      <c r="C550" s="47">
        <v>20</v>
      </c>
      <c r="D550" s="37">
        <f>3873-1701</f>
        <v>2172</v>
      </c>
      <c r="E550" s="37">
        <v>1850</v>
      </c>
      <c r="F550" s="32">
        <v>1826</v>
      </c>
      <c r="G550" s="32">
        <v>4938</v>
      </c>
      <c r="H550" s="32"/>
      <c r="I550" s="37"/>
      <c r="J550" s="187">
        <v>2000</v>
      </c>
      <c r="K550" s="187">
        <v>550</v>
      </c>
      <c r="L550" s="187">
        <v>500</v>
      </c>
      <c r="M550" s="187">
        <v>500</v>
      </c>
      <c r="N550" s="187">
        <v>450</v>
      </c>
      <c r="O550" s="137">
        <v>2000</v>
      </c>
      <c r="P550" s="137">
        <v>2000</v>
      </c>
      <c r="Q550" s="137">
        <v>2000</v>
      </c>
    </row>
    <row r="551" spans="1:17" ht="15" customHeight="1">
      <c r="A551" s="90"/>
      <c r="B551" s="82" t="s">
        <v>191</v>
      </c>
      <c r="C551" s="47"/>
      <c r="D551" s="36">
        <f t="shared" ref="D551:Q551" si="297">D552</f>
        <v>0</v>
      </c>
      <c r="E551" s="36">
        <f t="shared" si="297"/>
        <v>435</v>
      </c>
      <c r="F551" s="36">
        <f t="shared" si="297"/>
        <v>0</v>
      </c>
      <c r="G551" s="36">
        <f t="shared" si="297"/>
        <v>1263</v>
      </c>
      <c r="H551" s="36">
        <f t="shared" si="297"/>
        <v>0</v>
      </c>
      <c r="I551" s="36">
        <f t="shared" si="297"/>
        <v>0</v>
      </c>
      <c r="J551" s="188">
        <f t="shared" si="297"/>
        <v>1263</v>
      </c>
      <c r="K551" s="188">
        <f t="shared" si="297"/>
        <v>1263</v>
      </c>
      <c r="L551" s="188">
        <f t="shared" si="297"/>
        <v>0</v>
      </c>
      <c r="M551" s="188">
        <f t="shared" si="297"/>
        <v>0</v>
      </c>
      <c r="N551" s="188">
        <f t="shared" si="297"/>
        <v>0</v>
      </c>
      <c r="O551" s="141">
        <f t="shared" si="297"/>
        <v>0</v>
      </c>
      <c r="P551" s="141">
        <f t="shared" si="297"/>
        <v>0</v>
      </c>
      <c r="Q551" s="141">
        <f t="shared" si="297"/>
        <v>0</v>
      </c>
    </row>
    <row r="552" spans="1:17" ht="15.75" customHeight="1">
      <c r="A552" s="77"/>
      <c r="B552" s="89" t="s">
        <v>197</v>
      </c>
      <c r="C552" s="47" t="s">
        <v>198</v>
      </c>
      <c r="D552" s="37">
        <v>0</v>
      </c>
      <c r="E552" s="37">
        <v>435</v>
      </c>
      <c r="F552" s="32">
        <v>0</v>
      </c>
      <c r="G552" s="32">
        <v>1263</v>
      </c>
      <c r="H552" s="32"/>
      <c r="I552" s="37">
        <v>0</v>
      </c>
      <c r="J552" s="137">
        <f>343+920</f>
        <v>1263</v>
      </c>
      <c r="K552" s="137">
        <v>1263</v>
      </c>
      <c r="L552" s="137"/>
      <c r="M552" s="137"/>
      <c r="N552" s="137"/>
      <c r="O552" s="137"/>
      <c r="P552" s="137"/>
      <c r="Q552" s="137"/>
    </row>
    <row r="553" spans="1:17" ht="29.25" customHeight="1">
      <c r="A553" s="77">
        <v>3.3</v>
      </c>
      <c r="B553" s="87" t="s">
        <v>354</v>
      </c>
      <c r="C553" s="47" t="s">
        <v>355</v>
      </c>
      <c r="D553" s="50">
        <f t="shared" ref="D553:Q554" si="298">D554</f>
        <v>241</v>
      </c>
      <c r="E553" s="50">
        <f t="shared" si="298"/>
        <v>250</v>
      </c>
      <c r="F553" s="50">
        <f t="shared" si="298"/>
        <v>250</v>
      </c>
      <c r="G553" s="50">
        <f t="shared" si="298"/>
        <v>250</v>
      </c>
      <c r="H553" s="50">
        <f t="shared" si="298"/>
        <v>0</v>
      </c>
      <c r="I553" s="50">
        <f t="shared" si="298"/>
        <v>250</v>
      </c>
      <c r="J553" s="146">
        <f t="shared" si="298"/>
        <v>250</v>
      </c>
      <c r="K553" s="146">
        <f t="shared" si="298"/>
        <v>250</v>
      </c>
      <c r="L553" s="146">
        <f t="shared" si="298"/>
        <v>0</v>
      </c>
      <c r="M553" s="146">
        <f t="shared" si="298"/>
        <v>0</v>
      </c>
      <c r="N553" s="146">
        <f t="shared" si="298"/>
        <v>0</v>
      </c>
      <c r="O553" s="146">
        <f t="shared" si="298"/>
        <v>0</v>
      </c>
      <c r="P553" s="146">
        <f t="shared" si="298"/>
        <v>0</v>
      </c>
      <c r="Q553" s="146">
        <f t="shared" si="298"/>
        <v>0</v>
      </c>
    </row>
    <row r="554" spans="1:17" ht="18.75" customHeight="1">
      <c r="A554" s="77"/>
      <c r="B554" s="82" t="s">
        <v>191</v>
      </c>
      <c r="C554" s="47"/>
      <c r="D554" s="36">
        <f t="shared" si="298"/>
        <v>241</v>
      </c>
      <c r="E554" s="36">
        <f t="shared" si="298"/>
        <v>250</v>
      </c>
      <c r="F554" s="36">
        <f t="shared" si="298"/>
        <v>250</v>
      </c>
      <c r="G554" s="36">
        <f t="shared" si="298"/>
        <v>250</v>
      </c>
      <c r="H554" s="36">
        <f t="shared" si="298"/>
        <v>0</v>
      </c>
      <c r="I554" s="36">
        <f t="shared" si="298"/>
        <v>250</v>
      </c>
      <c r="J554" s="141">
        <f t="shared" si="298"/>
        <v>250</v>
      </c>
      <c r="K554" s="141">
        <f t="shared" si="298"/>
        <v>250</v>
      </c>
      <c r="L554" s="141">
        <f t="shared" si="298"/>
        <v>0</v>
      </c>
      <c r="M554" s="141">
        <f t="shared" si="298"/>
        <v>0</v>
      </c>
      <c r="N554" s="141">
        <f t="shared" si="298"/>
        <v>0</v>
      </c>
      <c r="O554" s="141">
        <f t="shared" si="298"/>
        <v>0</v>
      </c>
      <c r="P554" s="141">
        <f t="shared" si="298"/>
        <v>0</v>
      </c>
      <c r="Q554" s="141">
        <f t="shared" si="298"/>
        <v>0</v>
      </c>
    </row>
    <row r="555" spans="1:17" ht="18.75" customHeight="1">
      <c r="A555" s="77"/>
      <c r="B555" s="89" t="s">
        <v>200</v>
      </c>
      <c r="C555" s="47">
        <v>56</v>
      </c>
      <c r="D555" s="36">
        <f t="shared" ref="D555:Q555" si="299">D556+D557+D558</f>
        <v>241</v>
      </c>
      <c r="E555" s="36">
        <f t="shared" si="299"/>
        <v>250</v>
      </c>
      <c r="F555" s="36">
        <f t="shared" si="299"/>
        <v>250</v>
      </c>
      <c r="G555" s="36">
        <f t="shared" si="299"/>
        <v>250</v>
      </c>
      <c r="H555" s="36">
        <f t="shared" si="299"/>
        <v>0</v>
      </c>
      <c r="I555" s="36">
        <f t="shared" si="299"/>
        <v>250</v>
      </c>
      <c r="J555" s="141">
        <f t="shared" si="299"/>
        <v>250</v>
      </c>
      <c r="K555" s="141">
        <f>K556+K557+K558</f>
        <v>250</v>
      </c>
      <c r="L555" s="141">
        <f>L556+L557+L558</f>
        <v>0</v>
      </c>
      <c r="M555" s="141">
        <f>M556+M557+M558</f>
        <v>0</v>
      </c>
      <c r="N555" s="141">
        <f>N556+N557+N558</f>
        <v>0</v>
      </c>
      <c r="O555" s="141">
        <f t="shared" si="299"/>
        <v>0</v>
      </c>
      <c r="P555" s="141">
        <f t="shared" si="299"/>
        <v>0</v>
      </c>
      <c r="Q555" s="141">
        <f t="shared" si="299"/>
        <v>0</v>
      </c>
    </row>
    <row r="556" spans="1:17" ht="0.75" customHeight="1">
      <c r="A556" s="77"/>
      <c r="B556" s="89" t="s">
        <v>356</v>
      </c>
      <c r="C556" s="47" t="s">
        <v>233</v>
      </c>
      <c r="D556" s="37"/>
      <c r="E556" s="37"/>
      <c r="F556" s="32"/>
      <c r="G556" s="32"/>
      <c r="H556" s="32"/>
      <c r="I556" s="37"/>
      <c r="J556" s="137"/>
      <c r="K556" s="137"/>
      <c r="L556" s="137"/>
      <c r="M556" s="137"/>
      <c r="N556" s="137"/>
      <c r="O556" s="137"/>
      <c r="P556" s="137"/>
      <c r="Q556" s="137"/>
    </row>
    <row r="557" spans="1:17" ht="19.5" customHeight="1">
      <c r="A557" s="77"/>
      <c r="B557" s="89" t="s">
        <v>239</v>
      </c>
      <c r="C557" s="47" t="s">
        <v>237</v>
      </c>
      <c r="D557" s="37">
        <v>241</v>
      </c>
      <c r="E557" s="37">
        <v>250</v>
      </c>
      <c r="F557" s="32">
        <v>250</v>
      </c>
      <c r="G557" s="32">
        <v>250</v>
      </c>
      <c r="H557" s="32">
        <v>0</v>
      </c>
      <c r="I557" s="37">
        <v>250</v>
      </c>
      <c r="J557" s="137">
        <v>250</v>
      </c>
      <c r="K557" s="137">
        <v>250</v>
      </c>
      <c r="L557" s="137"/>
      <c r="M557" s="137"/>
      <c r="N557" s="137"/>
      <c r="O557" s="137">
        <v>0</v>
      </c>
      <c r="P557" s="137">
        <v>0</v>
      </c>
      <c r="Q557" s="137">
        <v>0</v>
      </c>
    </row>
    <row r="558" spans="1:17" ht="13.5" hidden="1" customHeight="1">
      <c r="A558" s="77"/>
      <c r="B558" s="72" t="s">
        <v>200</v>
      </c>
      <c r="C558" s="47" t="s">
        <v>237</v>
      </c>
      <c r="D558" s="37">
        <v>0</v>
      </c>
      <c r="E558" s="37">
        <v>0</v>
      </c>
      <c r="F558" s="32"/>
      <c r="G558" s="32"/>
      <c r="H558" s="32"/>
      <c r="I558" s="37">
        <v>0</v>
      </c>
      <c r="J558" s="137"/>
      <c r="K558" s="137"/>
      <c r="L558" s="137"/>
      <c r="M558" s="137"/>
      <c r="N558" s="137"/>
      <c r="O558" s="137"/>
      <c r="P558" s="137"/>
      <c r="Q558" s="137"/>
    </row>
    <row r="559" spans="1:17" ht="33.75" customHeight="1">
      <c r="A559" s="113" t="s">
        <v>557</v>
      </c>
      <c r="B559" s="114" t="s">
        <v>357</v>
      </c>
      <c r="C559" s="173" t="s">
        <v>358</v>
      </c>
      <c r="D559" s="50">
        <f t="shared" ref="D559:Q560" si="300">D560</f>
        <v>186</v>
      </c>
      <c r="E559" s="50">
        <f t="shared" si="300"/>
        <v>210</v>
      </c>
      <c r="F559" s="50">
        <f t="shared" si="300"/>
        <v>179</v>
      </c>
      <c r="G559" s="50">
        <f t="shared" si="300"/>
        <v>200</v>
      </c>
      <c r="H559" s="50">
        <f t="shared" si="300"/>
        <v>10</v>
      </c>
      <c r="I559" s="50">
        <f t="shared" si="300"/>
        <v>210</v>
      </c>
      <c r="J559" s="146">
        <f t="shared" si="300"/>
        <v>210</v>
      </c>
      <c r="K559" s="146">
        <f t="shared" si="300"/>
        <v>210</v>
      </c>
      <c r="L559" s="146">
        <f t="shared" si="300"/>
        <v>0</v>
      </c>
      <c r="M559" s="146">
        <f t="shared" si="300"/>
        <v>0</v>
      </c>
      <c r="N559" s="146">
        <f t="shared" si="300"/>
        <v>0</v>
      </c>
      <c r="O559" s="146">
        <f t="shared" si="300"/>
        <v>200</v>
      </c>
      <c r="P559" s="146">
        <f t="shared" si="300"/>
        <v>200</v>
      </c>
      <c r="Q559" s="146">
        <f t="shared" si="300"/>
        <v>0</v>
      </c>
    </row>
    <row r="560" spans="1:17" ht="13.5" customHeight="1">
      <c r="A560" s="77"/>
      <c r="B560" s="82" t="s">
        <v>191</v>
      </c>
      <c r="C560" s="47"/>
      <c r="D560" s="50">
        <f t="shared" si="300"/>
        <v>186</v>
      </c>
      <c r="E560" s="50">
        <f t="shared" si="300"/>
        <v>210</v>
      </c>
      <c r="F560" s="50">
        <f t="shared" si="300"/>
        <v>179</v>
      </c>
      <c r="G560" s="50">
        <f t="shared" si="300"/>
        <v>200</v>
      </c>
      <c r="H560" s="50">
        <f t="shared" si="300"/>
        <v>10</v>
      </c>
      <c r="I560" s="50">
        <f t="shared" si="300"/>
        <v>210</v>
      </c>
      <c r="J560" s="146">
        <f t="shared" si="300"/>
        <v>210</v>
      </c>
      <c r="K560" s="146">
        <f t="shared" si="300"/>
        <v>210</v>
      </c>
      <c r="L560" s="146">
        <f t="shared" si="300"/>
        <v>0</v>
      </c>
      <c r="M560" s="146">
        <f t="shared" si="300"/>
        <v>0</v>
      </c>
      <c r="N560" s="146">
        <f t="shared" si="300"/>
        <v>0</v>
      </c>
      <c r="O560" s="146">
        <f t="shared" si="300"/>
        <v>200</v>
      </c>
      <c r="P560" s="146">
        <f t="shared" si="300"/>
        <v>200</v>
      </c>
      <c r="Q560" s="146">
        <f t="shared" si="300"/>
        <v>0</v>
      </c>
    </row>
    <row r="561" spans="1:17" ht="15.75" customHeight="1">
      <c r="A561" s="77"/>
      <c r="B561" s="89" t="s">
        <v>200</v>
      </c>
      <c r="C561" s="47">
        <v>56</v>
      </c>
      <c r="D561" s="36">
        <f t="shared" ref="D561:Q561" si="301">D562+D563+D564</f>
        <v>186</v>
      </c>
      <c r="E561" s="36">
        <f t="shared" si="301"/>
        <v>210</v>
      </c>
      <c r="F561" s="36">
        <f t="shared" si="301"/>
        <v>179</v>
      </c>
      <c r="G561" s="36">
        <f t="shared" si="301"/>
        <v>200</v>
      </c>
      <c r="H561" s="36">
        <f t="shared" si="301"/>
        <v>10</v>
      </c>
      <c r="I561" s="36">
        <f t="shared" si="301"/>
        <v>210</v>
      </c>
      <c r="J561" s="141">
        <f t="shared" si="301"/>
        <v>210</v>
      </c>
      <c r="K561" s="141">
        <f>K562+K563+K564</f>
        <v>210</v>
      </c>
      <c r="L561" s="141">
        <f>L562+L563+L564</f>
        <v>0</v>
      </c>
      <c r="M561" s="141">
        <f>M562+M563+M564</f>
        <v>0</v>
      </c>
      <c r="N561" s="141">
        <f>N562+N563+N564</f>
        <v>0</v>
      </c>
      <c r="O561" s="141">
        <f t="shared" si="301"/>
        <v>200</v>
      </c>
      <c r="P561" s="141">
        <f t="shared" si="301"/>
        <v>200</v>
      </c>
      <c r="Q561" s="141">
        <f t="shared" si="301"/>
        <v>0</v>
      </c>
    </row>
    <row r="562" spans="1:17" ht="13.5" hidden="1" customHeight="1">
      <c r="A562" s="77"/>
      <c r="B562" s="89" t="s">
        <v>356</v>
      </c>
      <c r="C562" s="47" t="s">
        <v>233</v>
      </c>
      <c r="D562" s="37"/>
      <c r="E562" s="37"/>
      <c r="F562" s="32"/>
      <c r="G562" s="32"/>
      <c r="H562" s="32"/>
      <c r="I562" s="37"/>
      <c r="J562" s="137"/>
      <c r="K562" s="137"/>
      <c r="L562" s="137"/>
      <c r="M562" s="137"/>
      <c r="N562" s="137"/>
      <c r="O562" s="137"/>
      <c r="P562" s="137"/>
      <c r="Q562" s="137"/>
    </row>
    <row r="563" spans="1:17" ht="13.5" hidden="1" customHeight="1">
      <c r="A563" s="77"/>
      <c r="B563" s="89" t="s">
        <v>359</v>
      </c>
      <c r="C563" s="47" t="s">
        <v>235</v>
      </c>
      <c r="D563" s="37">
        <v>0</v>
      </c>
      <c r="E563" s="37">
        <v>0</v>
      </c>
      <c r="F563" s="32"/>
      <c r="G563" s="32"/>
      <c r="H563" s="32"/>
      <c r="I563" s="37">
        <v>0</v>
      </c>
      <c r="J563" s="137"/>
      <c r="K563" s="137"/>
      <c r="L563" s="137"/>
      <c r="M563" s="137"/>
      <c r="N563" s="137"/>
      <c r="O563" s="137"/>
      <c r="P563" s="137"/>
      <c r="Q563" s="137"/>
    </row>
    <row r="564" spans="1:17" ht="19.5" customHeight="1">
      <c r="A564" s="77"/>
      <c r="B564" s="72" t="s">
        <v>239</v>
      </c>
      <c r="C564" s="47" t="s">
        <v>237</v>
      </c>
      <c r="D564" s="37">
        <v>186</v>
      </c>
      <c r="E564" s="37">
        <v>210</v>
      </c>
      <c r="F564" s="32">
        <v>179</v>
      </c>
      <c r="G564" s="32">
        <v>200</v>
      </c>
      <c r="H564" s="32">
        <v>10</v>
      </c>
      <c r="I564" s="37">
        <v>210</v>
      </c>
      <c r="J564" s="137">
        <v>210</v>
      </c>
      <c r="K564" s="137">
        <v>210</v>
      </c>
      <c r="L564" s="137"/>
      <c r="M564" s="137"/>
      <c r="N564" s="137"/>
      <c r="O564" s="137">
        <v>200</v>
      </c>
      <c r="P564" s="137">
        <v>200</v>
      </c>
      <c r="Q564" s="137">
        <v>0</v>
      </c>
    </row>
    <row r="565" spans="1:17" ht="28.5">
      <c r="A565" s="90" t="s">
        <v>556</v>
      </c>
      <c r="B565" s="109" t="s">
        <v>360</v>
      </c>
      <c r="C565" s="47" t="s">
        <v>361</v>
      </c>
      <c r="D565" s="50">
        <f t="shared" ref="D565:Q565" si="302">D566+D572</f>
        <v>4999</v>
      </c>
      <c r="E565" s="50">
        <f t="shared" si="302"/>
        <v>5951</v>
      </c>
      <c r="F565" s="50">
        <f t="shared" si="302"/>
        <v>5827</v>
      </c>
      <c r="G565" s="50">
        <f t="shared" si="302"/>
        <v>9197</v>
      </c>
      <c r="H565" s="50">
        <f t="shared" si="302"/>
        <v>0</v>
      </c>
      <c r="I565" s="50">
        <f t="shared" si="302"/>
        <v>0</v>
      </c>
      <c r="J565" s="146">
        <f t="shared" si="302"/>
        <v>5743</v>
      </c>
      <c r="K565" s="146">
        <f>K566+K572</f>
        <v>1893</v>
      </c>
      <c r="L565" s="146">
        <f>L566+L572</f>
        <v>1350</v>
      </c>
      <c r="M565" s="146">
        <f>M566+M572</f>
        <v>1300</v>
      </c>
      <c r="N565" s="146">
        <f>N566+N572</f>
        <v>1200</v>
      </c>
      <c r="O565" s="146">
        <f t="shared" si="302"/>
        <v>5200</v>
      </c>
      <c r="P565" s="146">
        <f t="shared" si="302"/>
        <v>5200</v>
      </c>
      <c r="Q565" s="146">
        <f t="shared" si="302"/>
        <v>5200</v>
      </c>
    </row>
    <row r="566" spans="1:17" ht="14.25">
      <c r="A566" s="90"/>
      <c r="B566" s="80" t="s">
        <v>179</v>
      </c>
      <c r="C566" s="47"/>
      <c r="D566" s="50">
        <f t="shared" ref="D566:Q567" si="303">D567</f>
        <v>4959</v>
      </c>
      <c r="E566" s="50">
        <f t="shared" si="303"/>
        <v>5612</v>
      </c>
      <c r="F566" s="50">
        <f t="shared" si="303"/>
        <v>5488</v>
      </c>
      <c r="G566" s="50">
        <f t="shared" si="303"/>
        <v>8286</v>
      </c>
      <c r="H566" s="50">
        <f t="shared" si="303"/>
        <v>0</v>
      </c>
      <c r="I566" s="50">
        <f t="shared" si="303"/>
        <v>0</v>
      </c>
      <c r="J566" s="146">
        <f t="shared" si="303"/>
        <v>5200</v>
      </c>
      <c r="K566" s="146">
        <f t="shared" si="303"/>
        <v>1350</v>
      </c>
      <c r="L566" s="146">
        <f t="shared" si="303"/>
        <v>1350</v>
      </c>
      <c r="M566" s="146">
        <f t="shared" si="303"/>
        <v>1300</v>
      </c>
      <c r="N566" s="146">
        <f t="shared" si="303"/>
        <v>1200</v>
      </c>
      <c r="O566" s="146">
        <f t="shared" si="303"/>
        <v>5200</v>
      </c>
      <c r="P566" s="146">
        <f t="shared" si="303"/>
        <v>5200</v>
      </c>
      <c r="Q566" s="146">
        <f t="shared" si="303"/>
        <v>5200</v>
      </c>
    </row>
    <row r="567" spans="1:17" ht="15">
      <c r="A567" s="90"/>
      <c r="B567" s="89" t="s">
        <v>180</v>
      </c>
      <c r="C567" s="47">
        <v>1</v>
      </c>
      <c r="D567" s="36">
        <f t="shared" si="303"/>
        <v>4959</v>
      </c>
      <c r="E567" s="36">
        <f t="shared" si="303"/>
        <v>5612</v>
      </c>
      <c r="F567" s="36">
        <f t="shared" si="303"/>
        <v>5488</v>
      </c>
      <c r="G567" s="36">
        <f t="shared" si="303"/>
        <v>8286</v>
      </c>
      <c r="H567" s="36">
        <f t="shared" si="303"/>
        <v>0</v>
      </c>
      <c r="I567" s="36">
        <f t="shared" si="303"/>
        <v>0</v>
      </c>
      <c r="J567" s="141">
        <f t="shared" si="303"/>
        <v>5200</v>
      </c>
      <c r="K567" s="141">
        <f t="shared" si="303"/>
        <v>1350</v>
      </c>
      <c r="L567" s="141">
        <f t="shared" si="303"/>
        <v>1350</v>
      </c>
      <c r="M567" s="141">
        <f t="shared" si="303"/>
        <v>1300</v>
      </c>
      <c r="N567" s="141">
        <f t="shared" si="303"/>
        <v>1200</v>
      </c>
      <c r="O567" s="141">
        <f t="shared" si="303"/>
        <v>5200</v>
      </c>
      <c r="P567" s="141">
        <f t="shared" si="303"/>
        <v>5200</v>
      </c>
      <c r="Q567" s="141">
        <f t="shared" si="303"/>
        <v>5200</v>
      </c>
    </row>
    <row r="568" spans="1:17" ht="15">
      <c r="A568" s="90"/>
      <c r="B568" s="89" t="s">
        <v>285</v>
      </c>
      <c r="C568" s="47" t="s">
        <v>249</v>
      </c>
      <c r="D568" s="36">
        <f t="shared" ref="D568:I568" si="304">D569+D570</f>
        <v>4959</v>
      </c>
      <c r="E568" s="36">
        <f t="shared" si="304"/>
        <v>5612</v>
      </c>
      <c r="F568" s="36">
        <f t="shared" si="304"/>
        <v>5488</v>
      </c>
      <c r="G568" s="36">
        <f t="shared" si="304"/>
        <v>8286</v>
      </c>
      <c r="H568" s="36">
        <f t="shared" si="304"/>
        <v>0</v>
      </c>
      <c r="I568" s="36">
        <f t="shared" si="304"/>
        <v>0</v>
      </c>
      <c r="J568" s="141">
        <f>J569+J570+J571</f>
        <v>5200</v>
      </c>
      <c r="K568" s="141">
        <f t="shared" ref="K568:Q568" si="305">K569+K570+K571</f>
        <v>1350</v>
      </c>
      <c r="L568" s="141">
        <f t="shared" si="305"/>
        <v>1350</v>
      </c>
      <c r="M568" s="141">
        <f t="shared" si="305"/>
        <v>1300</v>
      </c>
      <c r="N568" s="141">
        <f t="shared" si="305"/>
        <v>1200</v>
      </c>
      <c r="O568" s="141">
        <f t="shared" si="305"/>
        <v>5200</v>
      </c>
      <c r="P568" s="141">
        <f t="shared" si="305"/>
        <v>5200</v>
      </c>
      <c r="Q568" s="141">
        <f t="shared" si="305"/>
        <v>5200</v>
      </c>
    </row>
    <row r="569" spans="1:17" ht="15.75" customHeight="1">
      <c r="A569" s="90"/>
      <c r="B569" s="89" t="s">
        <v>181</v>
      </c>
      <c r="C569" s="47">
        <v>10</v>
      </c>
      <c r="D569" s="37">
        <v>2461</v>
      </c>
      <c r="E569" s="37">
        <v>3000</v>
      </c>
      <c r="F569" s="32">
        <v>2899</v>
      </c>
      <c r="G569" s="32">
        <v>4500</v>
      </c>
      <c r="H569" s="32"/>
      <c r="I569" s="37"/>
      <c r="J569" s="187">
        <f>3500-30</f>
        <v>3470</v>
      </c>
      <c r="K569" s="187">
        <f>900-8</f>
        <v>892</v>
      </c>
      <c r="L569" s="187">
        <f>900-8</f>
        <v>892</v>
      </c>
      <c r="M569" s="187">
        <f>900-7</f>
        <v>893</v>
      </c>
      <c r="N569" s="187">
        <f>800-7</f>
        <v>793</v>
      </c>
      <c r="O569" s="137">
        <v>3500</v>
      </c>
      <c r="P569" s="137">
        <v>3500</v>
      </c>
      <c r="Q569" s="137">
        <v>3500</v>
      </c>
    </row>
    <row r="570" spans="1:17" ht="13.5" customHeight="1">
      <c r="A570" s="90"/>
      <c r="B570" s="89" t="s">
        <v>182</v>
      </c>
      <c r="C570" s="47">
        <v>20</v>
      </c>
      <c r="D570" s="37">
        <f>4959-2461</f>
        <v>2498</v>
      </c>
      <c r="E570" s="37">
        <v>2612</v>
      </c>
      <c r="F570" s="32">
        <v>2589</v>
      </c>
      <c r="G570" s="32">
        <v>3786</v>
      </c>
      <c r="H570" s="32"/>
      <c r="I570" s="37"/>
      <c r="J570" s="187">
        <v>1700</v>
      </c>
      <c r="K570" s="187">
        <v>450</v>
      </c>
      <c r="L570" s="187">
        <v>450</v>
      </c>
      <c r="M570" s="187">
        <v>400</v>
      </c>
      <c r="N570" s="187">
        <v>400</v>
      </c>
      <c r="O570" s="137">
        <v>1700</v>
      </c>
      <c r="P570" s="137">
        <v>1700</v>
      </c>
      <c r="Q570" s="137">
        <v>1700</v>
      </c>
    </row>
    <row r="571" spans="1:17" ht="13.5" customHeight="1">
      <c r="A571" s="90"/>
      <c r="B571" s="89" t="s">
        <v>544</v>
      </c>
      <c r="C571" s="47">
        <v>59</v>
      </c>
      <c r="D571" s="37"/>
      <c r="E571" s="37"/>
      <c r="F571" s="32"/>
      <c r="G571" s="32"/>
      <c r="H571" s="32"/>
      <c r="I571" s="37"/>
      <c r="J571" s="187">
        <v>30</v>
      </c>
      <c r="K571" s="187">
        <v>8</v>
      </c>
      <c r="L571" s="187">
        <v>8</v>
      </c>
      <c r="M571" s="187">
        <v>7</v>
      </c>
      <c r="N571" s="187">
        <v>7</v>
      </c>
      <c r="O571" s="137"/>
      <c r="P571" s="137"/>
      <c r="Q571" s="137"/>
    </row>
    <row r="572" spans="1:17" ht="14.25" customHeight="1">
      <c r="A572" s="90"/>
      <c r="B572" s="82" t="s">
        <v>191</v>
      </c>
      <c r="C572" s="47"/>
      <c r="D572" s="50">
        <f t="shared" ref="D572:Q572" si="306">D574</f>
        <v>40</v>
      </c>
      <c r="E572" s="50">
        <f t="shared" si="306"/>
        <v>339</v>
      </c>
      <c r="F572" s="50">
        <f t="shared" si="306"/>
        <v>339</v>
      </c>
      <c r="G572" s="50">
        <f t="shared" si="306"/>
        <v>911</v>
      </c>
      <c r="H572" s="50">
        <f t="shared" si="306"/>
        <v>0</v>
      </c>
      <c r="I572" s="50">
        <f t="shared" si="306"/>
        <v>0</v>
      </c>
      <c r="J572" s="189">
        <f t="shared" si="306"/>
        <v>543</v>
      </c>
      <c r="K572" s="189">
        <f>K574</f>
        <v>543</v>
      </c>
      <c r="L572" s="189">
        <f>L574</f>
        <v>0</v>
      </c>
      <c r="M572" s="189">
        <f>M574</f>
        <v>0</v>
      </c>
      <c r="N572" s="189">
        <f>N574</f>
        <v>0</v>
      </c>
      <c r="O572" s="146">
        <f t="shared" si="306"/>
        <v>0</v>
      </c>
      <c r="P572" s="146">
        <f t="shared" si="306"/>
        <v>0</v>
      </c>
      <c r="Q572" s="146">
        <f t="shared" si="306"/>
        <v>0</v>
      </c>
    </row>
    <row r="573" spans="1:17" ht="14.25" hidden="1" customHeight="1">
      <c r="A573" s="90"/>
      <c r="B573" s="89" t="s">
        <v>210</v>
      </c>
      <c r="C573" s="47" t="s">
        <v>211</v>
      </c>
      <c r="D573" s="37"/>
      <c r="E573" s="37"/>
      <c r="F573" s="32"/>
      <c r="G573" s="32"/>
      <c r="H573" s="32"/>
      <c r="I573" s="37"/>
      <c r="J573" s="187"/>
      <c r="K573" s="187"/>
      <c r="L573" s="187"/>
      <c r="M573" s="187"/>
      <c r="N573" s="187"/>
      <c r="O573" s="137"/>
      <c r="P573" s="137"/>
      <c r="Q573" s="137"/>
    </row>
    <row r="574" spans="1:17" ht="15">
      <c r="A574" s="90"/>
      <c r="B574" s="89" t="s">
        <v>197</v>
      </c>
      <c r="C574" s="47" t="s">
        <v>198</v>
      </c>
      <c r="D574" s="37">
        <v>40</v>
      </c>
      <c r="E574" s="37">
        <v>339</v>
      </c>
      <c r="F574" s="32">
        <v>339</v>
      </c>
      <c r="G574" s="32">
        <v>911</v>
      </c>
      <c r="H574" s="32"/>
      <c r="I574" s="37"/>
      <c r="J574" s="187">
        <f>520+23</f>
        <v>543</v>
      </c>
      <c r="K574" s="187">
        <v>543</v>
      </c>
      <c r="L574" s="187"/>
      <c r="M574" s="187"/>
      <c r="N574" s="187"/>
      <c r="O574" s="137">
        <v>0</v>
      </c>
      <c r="P574" s="137">
        <v>0</v>
      </c>
      <c r="Q574" s="137">
        <v>0</v>
      </c>
    </row>
    <row r="575" spans="1:17" ht="14.25">
      <c r="A575" s="90" t="s">
        <v>558</v>
      </c>
      <c r="B575" s="111" t="s">
        <v>362</v>
      </c>
      <c r="C575" s="47" t="s">
        <v>363</v>
      </c>
      <c r="D575" s="50">
        <f t="shared" ref="D575:Q575" si="307">D576+D582</f>
        <v>6465</v>
      </c>
      <c r="E575" s="50">
        <f t="shared" si="307"/>
        <v>8340</v>
      </c>
      <c r="F575" s="50">
        <f t="shared" si="307"/>
        <v>140</v>
      </c>
      <c r="G575" s="50">
        <f t="shared" si="307"/>
        <v>12445</v>
      </c>
      <c r="H575" s="50">
        <f t="shared" si="307"/>
        <v>0</v>
      </c>
      <c r="I575" s="50">
        <f t="shared" si="307"/>
        <v>0</v>
      </c>
      <c r="J575" s="146">
        <f t="shared" si="307"/>
        <v>9130</v>
      </c>
      <c r="K575" s="146">
        <f>K576+K582</f>
        <v>2636</v>
      </c>
      <c r="L575" s="146">
        <f>L576+L582</f>
        <v>2350</v>
      </c>
      <c r="M575" s="146">
        <f>M576+M582</f>
        <v>2250</v>
      </c>
      <c r="N575" s="146">
        <f>N576+N582</f>
        <v>1894</v>
      </c>
      <c r="O575" s="146">
        <f t="shared" si="307"/>
        <v>9000</v>
      </c>
      <c r="P575" s="146">
        <f t="shared" si="307"/>
        <v>9000</v>
      </c>
      <c r="Q575" s="146">
        <f t="shared" si="307"/>
        <v>9000</v>
      </c>
    </row>
    <row r="576" spans="1:17" ht="14.25">
      <c r="A576" s="90"/>
      <c r="B576" s="80" t="s">
        <v>179</v>
      </c>
      <c r="C576" s="47"/>
      <c r="D576" s="50">
        <f t="shared" ref="D576:Q577" si="308">D577</f>
        <v>6165</v>
      </c>
      <c r="E576" s="50">
        <f t="shared" si="308"/>
        <v>7600</v>
      </c>
      <c r="F576" s="50">
        <f t="shared" si="308"/>
        <v>0</v>
      </c>
      <c r="G576" s="50">
        <f t="shared" si="308"/>
        <v>11945</v>
      </c>
      <c r="H576" s="50">
        <f t="shared" si="308"/>
        <v>0</v>
      </c>
      <c r="I576" s="50">
        <f t="shared" si="308"/>
        <v>0</v>
      </c>
      <c r="J576" s="146">
        <f t="shared" si="308"/>
        <v>9000</v>
      </c>
      <c r="K576" s="146">
        <f t="shared" si="308"/>
        <v>2506</v>
      </c>
      <c r="L576" s="146">
        <f t="shared" si="308"/>
        <v>2350</v>
      </c>
      <c r="M576" s="146">
        <f t="shared" si="308"/>
        <v>2250</v>
      </c>
      <c r="N576" s="146">
        <f t="shared" si="308"/>
        <v>1894</v>
      </c>
      <c r="O576" s="146">
        <f t="shared" si="308"/>
        <v>9000</v>
      </c>
      <c r="P576" s="146">
        <f t="shared" si="308"/>
        <v>9000</v>
      </c>
      <c r="Q576" s="146">
        <f t="shared" si="308"/>
        <v>9000</v>
      </c>
    </row>
    <row r="577" spans="1:17" ht="15">
      <c r="A577" s="90"/>
      <c r="B577" s="89" t="s">
        <v>180</v>
      </c>
      <c r="C577" s="47">
        <v>1</v>
      </c>
      <c r="D577" s="36">
        <f t="shared" si="308"/>
        <v>6165</v>
      </c>
      <c r="E577" s="36">
        <f t="shared" si="308"/>
        <v>7600</v>
      </c>
      <c r="F577" s="36">
        <f t="shared" si="308"/>
        <v>0</v>
      </c>
      <c r="G577" s="36">
        <f t="shared" si="308"/>
        <v>11945</v>
      </c>
      <c r="H577" s="36">
        <f t="shared" si="308"/>
        <v>0</v>
      </c>
      <c r="I577" s="36">
        <f t="shared" si="308"/>
        <v>0</v>
      </c>
      <c r="J577" s="141">
        <f t="shared" si="308"/>
        <v>9000</v>
      </c>
      <c r="K577" s="141">
        <f t="shared" si="308"/>
        <v>2506</v>
      </c>
      <c r="L577" s="141">
        <f t="shared" si="308"/>
        <v>2350</v>
      </c>
      <c r="M577" s="141">
        <f t="shared" si="308"/>
        <v>2250</v>
      </c>
      <c r="N577" s="141">
        <f t="shared" si="308"/>
        <v>1894</v>
      </c>
      <c r="O577" s="141">
        <f t="shared" si="308"/>
        <v>9000</v>
      </c>
      <c r="P577" s="141">
        <f t="shared" si="308"/>
        <v>9000</v>
      </c>
      <c r="Q577" s="141">
        <f t="shared" si="308"/>
        <v>9000</v>
      </c>
    </row>
    <row r="578" spans="1:17" ht="15">
      <c r="A578" s="90"/>
      <c r="B578" s="89" t="s">
        <v>285</v>
      </c>
      <c r="C578" s="47" t="s">
        <v>249</v>
      </c>
      <c r="D578" s="36">
        <f t="shared" ref="D578:Q578" si="309">D579+D580</f>
        <v>6165</v>
      </c>
      <c r="E578" s="36">
        <f t="shared" si="309"/>
        <v>7600</v>
      </c>
      <c r="F578" s="36">
        <f t="shared" si="309"/>
        <v>0</v>
      </c>
      <c r="G578" s="36">
        <f t="shared" si="309"/>
        <v>11945</v>
      </c>
      <c r="H578" s="36">
        <f t="shared" si="309"/>
        <v>0</v>
      </c>
      <c r="I578" s="36">
        <f t="shared" si="309"/>
        <v>0</v>
      </c>
      <c r="J578" s="141">
        <f>J579+J580+J581</f>
        <v>9000</v>
      </c>
      <c r="K578" s="141">
        <f t="shared" ref="K578:N578" si="310">K579+K580+K581</f>
        <v>2506</v>
      </c>
      <c r="L578" s="141">
        <f t="shared" si="310"/>
        <v>2350</v>
      </c>
      <c r="M578" s="141">
        <f t="shared" si="310"/>
        <v>2250</v>
      </c>
      <c r="N578" s="141">
        <f t="shared" si="310"/>
        <v>1894</v>
      </c>
      <c r="O578" s="141">
        <f t="shared" si="309"/>
        <v>9000</v>
      </c>
      <c r="P578" s="141">
        <f t="shared" si="309"/>
        <v>9000</v>
      </c>
      <c r="Q578" s="141">
        <f t="shared" si="309"/>
        <v>9000</v>
      </c>
    </row>
    <row r="579" spans="1:17" ht="15.75" customHeight="1">
      <c r="A579" s="90"/>
      <c r="B579" s="89" t="s">
        <v>181</v>
      </c>
      <c r="C579" s="47">
        <v>10</v>
      </c>
      <c r="D579" s="37">
        <v>3451</v>
      </c>
      <c r="E579" s="37">
        <v>5100</v>
      </c>
      <c r="F579" s="32">
        <v>0</v>
      </c>
      <c r="G579" s="32">
        <v>6540</v>
      </c>
      <c r="H579" s="32"/>
      <c r="I579" s="37"/>
      <c r="J579" s="187">
        <v>6000</v>
      </c>
      <c r="K579" s="187">
        <f>1600+100</f>
        <v>1700</v>
      </c>
      <c r="L579" s="187">
        <f>1500+100</f>
        <v>1600</v>
      </c>
      <c r="M579" s="187">
        <v>1500</v>
      </c>
      <c r="N579" s="187">
        <f>1400-200</f>
        <v>1200</v>
      </c>
      <c r="O579" s="137">
        <v>6000</v>
      </c>
      <c r="P579" s="137">
        <v>6000</v>
      </c>
      <c r="Q579" s="137">
        <v>6000</v>
      </c>
    </row>
    <row r="580" spans="1:17" ht="15.75" customHeight="1">
      <c r="A580" s="90"/>
      <c r="B580" s="89" t="s">
        <v>182</v>
      </c>
      <c r="C580" s="47">
        <v>20</v>
      </c>
      <c r="D580" s="37">
        <f>6165-3451</f>
        <v>2714</v>
      </c>
      <c r="E580" s="37">
        <f>2700-200</f>
        <v>2500</v>
      </c>
      <c r="F580" s="32">
        <v>0</v>
      </c>
      <c r="G580" s="32">
        <v>5405</v>
      </c>
      <c r="H580" s="32"/>
      <c r="I580" s="37"/>
      <c r="J580" s="187">
        <f>3000-24</f>
        <v>2976</v>
      </c>
      <c r="K580" s="187">
        <f>800-6+6</f>
        <v>800</v>
      </c>
      <c r="L580" s="187">
        <f>750-6</f>
        <v>744</v>
      </c>
      <c r="M580" s="187">
        <f>750-6</f>
        <v>744</v>
      </c>
      <c r="N580" s="187">
        <f>700-6-6</f>
        <v>688</v>
      </c>
      <c r="O580" s="137">
        <v>3000</v>
      </c>
      <c r="P580" s="137">
        <v>3000</v>
      </c>
      <c r="Q580" s="137">
        <v>3000</v>
      </c>
    </row>
    <row r="581" spans="1:17" ht="12.75" customHeight="1">
      <c r="A581" s="90"/>
      <c r="B581" s="89" t="s">
        <v>543</v>
      </c>
      <c r="C581" s="47">
        <v>59</v>
      </c>
      <c r="D581" s="37"/>
      <c r="E581" s="37"/>
      <c r="F581" s="32"/>
      <c r="G581" s="32"/>
      <c r="H581" s="32"/>
      <c r="I581" s="37"/>
      <c r="J581" s="187">
        <v>24</v>
      </c>
      <c r="K581" s="187">
        <v>6</v>
      </c>
      <c r="L581" s="187">
        <v>6</v>
      </c>
      <c r="M581" s="187">
        <v>6</v>
      </c>
      <c r="N581" s="187">
        <v>6</v>
      </c>
      <c r="O581" s="137"/>
      <c r="P581" s="137"/>
      <c r="Q581" s="137"/>
    </row>
    <row r="582" spans="1:17" ht="13.5" customHeight="1">
      <c r="A582" s="90"/>
      <c r="B582" s="82" t="s">
        <v>191</v>
      </c>
      <c r="C582" s="47"/>
      <c r="D582" s="50">
        <f t="shared" ref="D582:Q582" si="311">D583</f>
        <v>300</v>
      </c>
      <c r="E582" s="50">
        <f t="shared" si="311"/>
        <v>740</v>
      </c>
      <c r="F582" s="50">
        <f t="shared" si="311"/>
        <v>140</v>
      </c>
      <c r="G582" s="50">
        <f t="shared" si="311"/>
        <v>500</v>
      </c>
      <c r="H582" s="50">
        <f t="shared" si="311"/>
        <v>0</v>
      </c>
      <c r="I582" s="50">
        <f t="shared" si="311"/>
        <v>0</v>
      </c>
      <c r="J582" s="189">
        <f t="shared" si="311"/>
        <v>130</v>
      </c>
      <c r="K582" s="189">
        <f t="shared" si="311"/>
        <v>130</v>
      </c>
      <c r="L582" s="189">
        <f t="shared" si="311"/>
        <v>0</v>
      </c>
      <c r="M582" s="189">
        <f t="shared" si="311"/>
        <v>0</v>
      </c>
      <c r="N582" s="189">
        <f t="shared" si="311"/>
        <v>0</v>
      </c>
      <c r="O582" s="146">
        <f t="shared" si="311"/>
        <v>0</v>
      </c>
      <c r="P582" s="146">
        <f t="shared" si="311"/>
        <v>0</v>
      </c>
      <c r="Q582" s="146">
        <f t="shared" si="311"/>
        <v>0</v>
      </c>
    </row>
    <row r="583" spans="1:17" ht="15">
      <c r="A583" s="90"/>
      <c r="B583" s="89" t="s">
        <v>197</v>
      </c>
      <c r="C583" s="47" t="s">
        <v>198</v>
      </c>
      <c r="D583" s="37">
        <v>300</v>
      </c>
      <c r="E583" s="37">
        <f>200+540</f>
        <v>740</v>
      </c>
      <c r="F583" s="32">
        <v>140</v>
      </c>
      <c r="G583" s="32">
        <v>500</v>
      </c>
      <c r="H583" s="32"/>
      <c r="I583" s="37"/>
      <c r="J583" s="187">
        <f>130</f>
        <v>130</v>
      </c>
      <c r="K583" s="187">
        <v>130</v>
      </c>
      <c r="L583" s="187"/>
      <c r="M583" s="187"/>
      <c r="N583" s="187"/>
      <c r="O583" s="137">
        <v>0</v>
      </c>
      <c r="P583" s="137">
        <v>0</v>
      </c>
      <c r="Q583" s="137">
        <v>0</v>
      </c>
    </row>
    <row r="584" spans="1:17" ht="28.5">
      <c r="A584" s="90" t="s">
        <v>559</v>
      </c>
      <c r="B584" s="87" t="s">
        <v>364</v>
      </c>
      <c r="C584" s="47" t="s">
        <v>365</v>
      </c>
      <c r="D584" s="50">
        <f t="shared" ref="D584:Q584" si="312">D585+D590</f>
        <v>1108</v>
      </c>
      <c r="E584" s="50">
        <f t="shared" si="312"/>
        <v>1370</v>
      </c>
      <c r="F584" s="50">
        <f t="shared" si="312"/>
        <v>1216</v>
      </c>
      <c r="G584" s="50">
        <f t="shared" si="312"/>
        <v>2307</v>
      </c>
      <c r="H584" s="50">
        <f t="shared" si="312"/>
        <v>250</v>
      </c>
      <c r="I584" s="50">
        <f t="shared" si="312"/>
        <v>1290</v>
      </c>
      <c r="J584" s="146">
        <f t="shared" si="312"/>
        <v>1336</v>
      </c>
      <c r="K584" s="146">
        <f>K585+K590</f>
        <v>356</v>
      </c>
      <c r="L584" s="146">
        <f>L585+L590</f>
        <v>330</v>
      </c>
      <c r="M584" s="146">
        <f>M585+M590</f>
        <v>330</v>
      </c>
      <c r="N584" s="146">
        <f>N585+N590</f>
        <v>320</v>
      </c>
      <c r="O584" s="146">
        <f t="shared" si="312"/>
        <v>1300</v>
      </c>
      <c r="P584" s="146">
        <f t="shared" si="312"/>
        <v>1300</v>
      </c>
      <c r="Q584" s="146">
        <f t="shared" si="312"/>
        <v>1300</v>
      </c>
    </row>
    <row r="585" spans="1:17" ht="14.25">
      <c r="A585" s="90"/>
      <c r="B585" s="80" t="s">
        <v>179</v>
      </c>
      <c r="C585" s="47"/>
      <c r="D585" s="50">
        <f t="shared" ref="D585:Q586" si="313">D586</f>
        <v>1108</v>
      </c>
      <c r="E585" s="50">
        <f t="shared" si="313"/>
        <v>1370</v>
      </c>
      <c r="F585" s="50">
        <f t="shared" si="313"/>
        <v>1216</v>
      </c>
      <c r="G585" s="50">
        <f t="shared" si="313"/>
        <v>2271</v>
      </c>
      <c r="H585" s="50">
        <f t="shared" si="313"/>
        <v>250</v>
      </c>
      <c r="I585" s="50">
        <f t="shared" si="313"/>
        <v>1290</v>
      </c>
      <c r="J585" s="146">
        <f t="shared" si="313"/>
        <v>1300</v>
      </c>
      <c r="K585" s="146">
        <f t="shared" si="313"/>
        <v>320</v>
      </c>
      <c r="L585" s="146">
        <f t="shared" si="313"/>
        <v>330</v>
      </c>
      <c r="M585" s="146">
        <f t="shared" si="313"/>
        <v>330</v>
      </c>
      <c r="N585" s="146">
        <f t="shared" si="313"/>
        <v>320</v>
      </c>
      <c r="O585" s="146">
        <f t="shared" si="313"/>
        <v>1300</v>
      </c>
      <c r="P585" s="146">
        <f t="shared" si="313"/>
        <v>1300</v>
      </c>
      <c r="Q585" s="146">
        <f t="shared" si="313"/>
        <v>1300</v>
      </c>
    </row>
    <row r="586" spans="1:17" ht="15">
      <c r="A586" s="90"/>
      <c r="B586" s="89" t="s">
        <v>180</v>
      </c>
      <c r="C586" s="47">
        <v>1</v>
      </c>
      <c r="D586" s="36">
        <f t="shared" si="313"/>
        <v>1108</v>
      </c>
      <c r="E586" s="36">
        <f t="shared" si="313"/>
        <v>1370</v>
      </c>
      <c r="F586" s="36">
        <f t="shared" si="313"/>
        <v>1216</v>
      </c>
      <c r="G586" s="36">
        <f t="shared" si="313"/>
        <v>2271</v>
      </c>
      <c r="H586" s="36">
        <f t="shared" si="313"/>
        <v>250</v>
      </c>
      <c r="I586" s="36">
        <f t="shared" si="313"/>
        <v>1290</v>
      </c>
      <c r="J586" s="141">
        <f t="shared" si="313"/>
        <v>1300</v>
      </c>
      <c r="K586" s="141">
        <f t="shared" si="313"/>
        <v>320</v>
      </c>
      <c r="L586" s="141">
        <f t="shared" si="313"/>
        <v>330</v>
      </c>
      <c r="M586" s="141">
        <f t="shared" si="313"/>
        <v>330</v>
      </c>
      <c r="N586" s="141">
        <f t="shared" si="313"/>
        <v>320</v>
      </c>
      <c r="O586" s="141">
        <f t="shared" si="313"/>
        <v>1300</v>
      </c>
      <c r="P586" s="141">
        <f t="shared" si="313"/>
        <v>1300</v>
      </c>
      <c r="Q586" s="141">
        <f t="shared" si="313"/>
        <v>1300</v>
      </c>
    </row>
    <row r="587" spans="1:17" ht="15">
      <c r="A587" s="90"/>
      <c r="B587" s="89" t="s">
        <v>285</v>
      </c>
      <c r="C587" s="47" t="s">
        <v>249</v>
      </c>
      <c r="D587" s="36">
        <f t="shared" ref="D587:Q587" si="314">D588+D589</f>
        <v>1108</v>
      </c>
      <c r="E587" s="36">
        <f t="shared" si="314"/>
        <v>1370</v>
      </c>
      <c r="F587" s="36">
        <f t="shared" si="314"/>
        <v>1216</v>
      </c>
      <c r="G587" s="36">
        <f t="shared" si="314"/>
        <v>2271</v>
      </c>
      <c r="H587" s="36">
        <f t="shared" si="314"/>
        <v>250</v>
      </c>
      <c r="I587" s="36">
        <f t="shared" si="314"/>
        <v>1290</v>
      </c>
      <c r="J587" s="141">
        <f t="shared" si="314"/>
        <v>1300</v>
      </c>
      <c r="K587" s="141">
        <f>K588+K589</f>
        <v>320</v>
      </c>
      <c r="L587" s="141">
        <f>L588+L589</f>
        <v>330</v>
      </c>
      <c r="M587" s="141">
        <f>M588+M589</f>
        <v>330</v>
      </c>
      <c r="N587" s="141">
        <f>N588+N589</f>
        <v>320</v>
      </c>
      <c r="O587" s="141">
        <f t="shared" si="314"/>
        <v>1300</v>
      </c>
      <c r="P587" s="141">
        <f t="shared" si="314"/>
        <v>1300</v>
      </c>
      <c r="Q587" s="141">
        <f t="shared" si="314"/>
        <v>1300</v>
      </c>
    </row>
    <row r="588" spans="1:17" ht="15" customHeight="1">
      <c r="A588" s="90"/>
      <c r="B588" s="89" t="s">
        <v>181</v>
      </c>
      <c r="C588" s="47">
        <v>10</v>
      </c>
      <c r="D588" s="37">
        <v>659</v>
      </c>
      <c r="E588" s="37">
        <v>915</v>
      </c>
      <c r="F588" s="62">
        <v>783</v>
      </c>
      <c r="G588" s="62">
        <v>1321</v>
      </c>
      <c r="H588" s="62">
        <v>200</v>
      </c>
      <c r="I588" s="63">
        <f>800+40</f>
        <v>840</v>
      </c>
      <c r="J588" s="187">
        <v>900</v>
      </c>
      <c r="K588" s="187">
        <v>220</v>
      </c>
      <c r="L588" s="187">
        <v>230</v>
      </c>
      <c r="M588" s="187">
        <v>230</v>
      </c>
      <c r="N588" s="187">
        <v>220</v>
      </c>
      <c r="O588" s="187">
        <v>900</v>
      </c>
      <c r="P588" s="137">
        <v>900</v>
      </c>
      <c r="Q588" s="137">
        <v>900</v>
      </c>
    </row>
    <row r="589" spans="1:17" ht="12.75" customHeight="1">
      <c r="A589" s="90"/>
      <c r="B589" s="89" t="s">
        <v>182</v>
      </c>
      <c r="C589" s="47">
        <v>20</v>
      </c>
      <c r="D589" s="37">
        <f>1108-659</f>
        <v>449</v>
      </c>
      <c r="E589" s="37">
        <v>455</v>
      </c>
      <c r="F589" s="62">
        <v>433</v>
      </c>
      <c r="G589" s="62">
        <v>950</v>
      </c>
      <c r="H589" s="62">
        <f>100-50</f>
        <v>50</v>
      </c>
      <c r="I589" s="63">
        <v>450</v>
      </c>
      <c r="J589" s="187">
        <v>400</v>
      </c>
      <c r="K589" s="187">
        <v>100</v>
      </c>
      <c r="L589" s="187">
        <v>100</v>
      </c>
      <c r="M589" s="187">
        <v>100</v>
      </c>
      <c r="N589" s="187">
        <v>100</v>
      </c>
      <c r="O589" s="187">
        <v>400</v>
      </c>
      <c r="P589" s="137">
        <v>400</v>
      </c>
      <c r="Q589" s="137">
        <v>400</v>
      </c>
    </row>
    <row r="590" spans="1:17" ht="20.25" customHeight="1">
      <c r="A590" s="90"/>
      <c r="B590" s="82" t="s">
        <v>191</v>
      </c>
      <c r="C590" s="47"/>
      <c r="D590" s="37">
        <f t="shared" ref="D590:Q590" si="315">D591</f>
        <v>0</v>
      </c>
      <c r="E590" s="37">
        <f t="shared" si="315"/>
        <v>0</v>
      </c>
      <c r="F590" s="37">
        <f t="shared" si="315"/>
        <v>0</v>
      </c>
      <c r="G590" s="37">
        <f t="shared" si="315"/>
        <v>36</v>
      </c>
      <c r="H590" s="37">
        <f t="shared" si="315"/>
        <v>0</v>
      </c>
      <c r="I590" s="37">
        <f t="shared" si="315"/>
        <v>0</v>
      </c>
      <c r="J590" s="188">
        <f t="shared" si="315"/>
        <v>36</v>
      </c>
      <c r="K590" s="188">
        <f t="shared" si="315"/>
        <v>36</v>
      </c>
      <c r="L590" s="188">
        <f t="shared" si="315"/>
        <v>0</v>
      </c>
      <c r="M590" s="188">
        <f t="shared" si="315"/>
        <v>0</v>
      </c>
      <c r="N590" s="188">
        <f t="shared" si="315"/>
        <v>0</v>
      </c>
      <c r="O590" s="141">
        <f t="shared" si="315"/>
        <v>0</v>
      </c>
      <c r="P590" s="141">
        <f t="shared" si="315"/>
        <v>0</v>
      </c>
      <c r="Q590" s="141">
        <f t="shared" si="315"/>
        <v>0</v>
      </c>
    </row>
    <row r="591" spans="1:17" ht="18.75" customHeight="1">
      <c r="A591" s="90"/>
      <c r="B591" s="89" t="s">
        <v>197</v>
      </c>
      <c r="C591" s="47" t="s">
        <v>198</v>
      </c>
      <c r="D591" s="37">
        <v>0</v>
      </c>
      <c r="E591" s="37">
        <v>0</v>
      </c>
      <c r="F591" s="32">
        <v>0</v>
      </c>
      <c r="G591" s="32">
        <v>36</v>
      </c>
      <c r="H591" s="32"/>
      <c r="I591" s="37">
        <v>0</v>
      </c>
      <c r="J591" s="187">
        <v>36</v>
      </c>
      <c r="K591" s="187">
        <v>36</v>
      </c>
      <c r="L591" s="187"/>
      <c r="M591" s="187"/>
      <c r="N591" s="187"/>
      <c r="O591" s="137"/>
      <c r="P591" s="137"/>
      <c r="Q591" s="137"/>
    </row>
    <row r="592" spans="1:17" ht="14.25">
      <c r="A592" s="90" t="s">
        <v>560</v>
      </c>
      <c r="B592" s="109" t="s">
        <v>541</v>
      </c>
      <c r="C592" s="47" t="s">
        <v>366</v>
      </c>
      <c r="D592" s="50">
        <f t="shared" ref="D592:Q592" si="316">D593+D598</f>
        <v>1950</v>
      </c>
      <c r="E592" s="50">
        <f t="shared" si="316"/>
        <v>5913</v>
      </c>
      <c r="F592" s="50">
        <f t="shared" si="316"/>
        <v>3868</v>
      </c>
      <c r="G592" s="50">
        <f t="shared" si="316"/>
        <v>8815</v>
      </c>
      <c r="H592" s="50">
        <f t="shared" si="316"/>
        <v>0</v>
      </c>
      <c r="I592" s="50">
        <f t="shared" si="316"/>
        <v>0</v>
      </c>
      <c r="J592" s="146">
        <f t="shared" si="316"/>
        <v>4670</v>
      </c>
      <c r="K592" s="146">
        <f>K593+K598</f>
        <v>2750</v>
      </c>
      <c r="L592" s="146">
        <f>L593+L598</f>
        <v>780</v>
      </c>
      <c r="M592" s="146">
        <f>M593+M598</f>
        <v>780</v>
      </c>
      <c r="N592" s="146">
        <f>N593+N598</f>
        <v>360</v>
      </c>
      <c r="O592" s="146">
        <f t="shared" si="316"/>
        <v>2800</v>
      </c>
      <c r="P592" s="146">
        <f t="shared" si="316"/>
        <v>2800</v>
      </c>
      <c r="Q592" s="146">
        <f t="shared" si="316"/>
        <v>2800</v>
      </c>
    </row>
    <row r="593" spans="1:17" ht="14.25">
      <c r="A593" s="90"/>
      <c r="B593" s="80" t="s">
        <v>179</v>
      </c>
      <c r="C593" s="47"/>
      <c r="D593" s="50">
        <f t="shared" ref="D593:Q594" si="317">D594</f>
        <v>1942</v>
      </c>
      <c r="E593" s="50">
        <f t="shared" si="317"/>
        <v>3137</v>
      </c>
      <c r="F593" s="50">
        <f t="shared" si="317"/>
        <v>3040</v>
      </c>
      <c r="G593" s="50">
        <f t="shared" si="317"/>
        <v>5305</v>
      </c>
      <c r="H593" s="50">
        <f t="shared" si="317"/>
        <v>0</v>
      </c>
      <c r="I593" s="50">
        <f t="shared" si="317"/>
        <v>0</v>
      </c>
      <c r="J593" s="146">
        <f t="shared" si="317"/>
        <v>2800</v>
      </c>
      <c r="K593" s="146">
        <f t="shared" si="317"/>
        <v>880</v>
      </c>
      <c r="L593" s="146">
        <f t="shared" si="317"/>
        <v>780</v>
      </c>
      <c r="M593" s="146">
        <f t="shared" si="317"/>
        <v>780</v>
      </c>
      <c r="N593" s="146">
        <f t="shared" si="317"/>
        <v>360</v>
      </c>
      <c r="O593" s="146">
        <f t="shared" si="317"/>
        <v>2800</v>
      </c>
      <c r="P593" s="146">
        <f t="shared" si="317"/>
        <v>2800</v>
      </c>
      <c r="Q593" s="146">
        <f t="shared" si="317"/>
        <v>2800</v>
      </c>
    </row>
    <row r="594" spans="1:17" ht="15">
      <c r="A594" s="90"/>
      <c r="B594" s="89" t="s">
        <v>180</v>
      </c>
      <c r="C594" s="47">
        <v>1</v>
      </c>
      <c r="D594" s="36">
        <f t="shared" si="317"/>
        <v>1942</v>
      </c>
      <c r="E594" s="36">
        <f t="shared" si="317"/>
        <v>3137</v>
      </c>
      <c r="F594" s="36">
        <f t="shared" si="317"/>
        <v>3040</v>
      </c>
      <c r="G594" s="36">
        <f t="shared" si="317"/>
        <v>5305</v>
      </c>
      <c r="H594" s="36">
        <f t="shared" si="317"/>
        <v>0</v>
      </c>
      <c r="I594" s="36">
        <f t="shared" si="317"/>
        <v>0</v>
      </c>
      <c r="J594" s="141">
        <f t="shared" si="317"/>
        <v>2800</v>
      </c>
      <c r="K594" s="141">
        <f t="shared" si="317"/>
        <v>880</v>
      </c>
      <c r="L594" s="141">
        <f t="shared" si="317"/>
        <v>780</v>
      </c>
      <c r="M594" s="141">
        <f t="shared" si="317"/>
        <v>780</v>
      </c>
      <c r="N594" s="141">
        <f t="shared" si="317"/>
        <v>360</v>
      </c>
      <c r="O594" s="141">
        <f t="shared" si="317"/>
        <v>2800</v>
      </c>
      <c r="P594" s="141">
        <f t="shared" si="317"/>
        <v>2800</v>
      </c>
      <c r="Q594" s="141">
        <f t="shared" si="317"/>
        <v>2800</v>
      </c>
    </row>
    <row r="595" spans="1:17" ht="15">
      <c r="A595" s="90"/>
      <c r="B595" s="89" t="s">
        <v>285</v>
      </c>
      <c r="C595" s="47" t="s">
        <v>249</v>
      </c>
      <c r="D595" s="36">
        <f t="shared" ref="D595:Q595" si="318">D596+D597</f>
        <v>1942</v>
      </c>
      <c r="E595" s="36">
        <f t="shared" si="318"/>
        <v>3137</v>
      </c>
      <c r="F595" s="36">
        <f t="shared" si="318"/>
        <v>3040</v>
      </c>
      <c r="G595" s="36">
        <f t="shared" si="318"/>
        <v>5305</v>
      </c>
      <c r="H595" s="36">
        <f t="shared" si="318"/>
        <v>0</v>
      </c>
      <c r="I595" s="36">
        <f t="shared" si="318"/>
        <v>0</v>
      </c>
      <c r="J595" s="141">
        <f t="shared" si="318"/>
        <v>2800</v>
      </c>
      <c r="K595" s="141">
        <f>K596+K597</f>
        <v>880</v>
      </c>
      <c r="L595" s="141">
        <f>L596+L597</f>
        <v>780</v>
      </c>
      <c r="M595" s="141">
        <f>M596+M597</f>
        <v>780</v>
      </c>
      <c r="N595" s="141">
        <f>N596+N597</f>
        <v>360</v>
      </c>
      <c r="O595" s="141">
        <f t="shared" si="318"/>
        <v>2800</v>
      </c>
      <c r="P595" s="141">
        <f t="shared" si="318"/>
        <v>2800</v>
      </c>
      <c r="Q595" s="141">
        <f t="shared" si="318"/>
        <v>2800</v>
      </c>
    </row>
    <row r="596" spans="1:17" ht="16.5" customHeight="1">
      <c r="A596" s="90"/>
      <c r="B596" s="89" t="s">
        <v>181</v>
      </c>
      <c r="C596" s="47">
        <v>10</v>
      </c>
      <c r="D596" s="37">
        <v>1027</v>
      </c>
      <c r="E596" s="37">
        <v>1012</v>
      </c>
      <c r="F596" s="32">
        <v>974</v>
      </c>
      <c r="G596" s="32">
        <v>2002</v>
      </c>
      <c r="H596" s="32"/>
      <c r="I596" s="37"/>
      <c r="J596" s="187">
        <v>1800</v>
      </c>
      <c r="K596" s="187">
        <v>480</v>
      </c>
      <c r="L596" s="187">
        <v>480</v>
      </c>
      <c r="M596" s="187">
        <v>480</v>
      </c>
      <c r="N596" s="187">
        <v>360</v>
      </c>
      <c r="O596" s="137">
        <v>1800</v>
      </c>
      <c r="P596" s="137">
        <v>1800</v>
      </c>
      <c r="Q596" s="137">
        <v>1800</v>
      </c>
    </row>
    <row r="597" spans="1:17" ht="12" customHeight="1">
      <c r="A597" s="90"/>
      <c r="B597" s="89" t="s">
        <v>182</v>
      </c>
      <c r="C597" s="47">
        <v>20</v>
      </c>
      <c r="D597" s="37">
        <f>1942-1027</f>
        <v>915</v>
      </c>
      <c r="E597" s="37">
        <v>2125</v>
      </c>
      <c r="F597" s="32">
        <v>2066</v>
      </c>
      <c r="G597" s="32">
        <v>3303</v>
      </c>
      <c r="H597" s="32"/>
      <c r="I597" s="37"/>
      <c r="J597" s="187">
        <v>1000</v>
      </c>
      <c r="K597" s="187">
        <v>400</v>
      </c>
      <c r="L597" s="187">
        <v>300</v>
      </c>
      <c r="M597" s="187">
        <v>300</v>
      </c>
      <c r="N597" s="187">
        <v>0</v>
      </c>
      <c r="O597" s="137">
        <v>1000</v>
      </c>
      <c r="P597" s="137">
        <v>1000</v>
      </c>
      <c r="Q597" s="137">
        <v>1000</v>
      </c>
    </row>
    <row r="598" spans="1:17" ht="13.5" customHeight="1">
      <c r="A598" s="90"/>
      <c r="B598" s="82" t="s">
        <v>191</v>
      </c>
      <c r="C598" s="47"/>
      <c r="D598" s="36">
        <f t="shared" ref="D598:Q598" si="319">D599</f>
        <v>8</v>
      </c>
      <c r="E598" s="36">
        <f t="shared" si="319"/>
        <v>2776</v>
      </c>
      <c r="F598" s="36">
        <f t="shared" si="319"/>
        <v>828</v>
      </c>
      <c r="G598" s="36">
        <f t="shared" si="319"/>
        <v>3510</v>
      </c>
      <c r="H598" s="36">
        <f t="shared" si="319"/>
        <v>0</v>
      </c>
      <c r="I598" s="36">
        <f t="shared" si="319"/>
        <v>0</v>
      </c>
      <c r="J598" s="188">
        <f t="shared" si="319"/>
        <v>1870</v>
      </c>
      <c r="K598" s="188">
        <f t="shared" si="319"/>
        <v>1870</v>
      </c>
      <c r="L598" s="188">
        <f t="shared" si="319"/>
        <v>0</v>
      </c>
      <c r="M598" s="188">
        <f t="shared" si="319"/>
        <v>0</v>
      </c>
      <c r="N598" s="188">
        <f t="shared" si="319"/>
        <v>0</v>
      </c>
      <c r="O598" s="141">
        <f t="shared" si="319"/>
        <v>0</v>
      </c>
      <c r="P598" s="141">
        <f t="shared" si="319"/>
        <v>0</v>
      </c>
      <c r="Q598" s="141">
        <f t="shared" si="319"/>
        <v>0</v>
      </c>
    </row>
    <row r="599" spans="1:17" ht="15">
      <c r="A599" s="90"/>
      <c r="B599" s="89" t="s">
        <v>197</v>
      </c>
      <c r="C599" s="47" t="s">
        <v>198</v>
      </c>
      <c r="D599" s="37">
        <v>8</v>
      </c>
      <c r="E599" s="37">
        <v>2776</v>
      </c>
      <c r="F599" s="32">
        <v>828</v>
      </c>
      <c r="G599" s="32">
        <v>3510</v>
      </c>
      <c r="H599" s="32"/>
      <c r="I599" s="37">
        <v>0</v>
      </c>
      <c r="J599" s="187">
        <v>1870</v>
      </c>
      <c r="K599" s="187">
        <v>1870</v>
      </c>
      <c r="L599" s="187"/>
      <c r="M599" s="187"/>
      <c r="N599" s="187"/>
      <c r="O599" s="137"/>
      <c r="P599" s="137"/>
      <c r="Q599" s="137"/>
    </row>
    <row r="600" spans="1:17" ht="14.25">
      <c r="A600" s="90" t="s">
        <v>561</v>
      </c>
      <c r="B600" s="82" t="s">
        <v>367</v>
      </c>
      <c r="C600" s="47" t="s">
        <v>368</v>
      </c>
      <c r="D600" s="50">
        <f t="shared" ref="D600:Q602" si="320">D601</f>
        <v>10316</v>
      </c>
      <c r="E600" s="50">
        <f t="shared" si="320"/>
        <v>12602</v>
      </c>
      <c r="F600" s="50">
        <f t="shared" si="320"/>
        <v>12602</v>
      </c>
      <c r="G600" s="50">
        <f t="shared" si="320"/>
        <v>12750</v>
      </c>
      <c r="H600" s="50">
        <f t="shared" si="320"/>
        <v>2502</v>
      </c>
      <c r="I600" s="50">
        <f t="shared" si="320"/>
        <v>12602</v>
      </c>
      <c r="J600" s="146">
        <f t="shared" si="320"/>
        <v>13522</v>
      </c>
      <c r="K600" s="146">
        <f t="shared" si="320"/>
        <v>3400</v>
      </c>
      <c r="L600" s="146">
        <f t="shared" si="320"/>
        <v>3500</v>
      </c>
      <c r="M600" s="146">
        <f t="shared" si="320"/>
        <v>3600</v>
      </c>
      <c r="N600" s="146">
        <f t="shared" si="320"/>
        <v>3022</v>
      </c>
      <c r="O600" s="146">
        <f t="shared" si="320"/>
        <v>13500</v>
      </c>
      <c r="P600" s="146">
        <f t="shared" si="320"/>
        <v>13500</v>
      </c>
      <c r="Q600" s="146">
        <f t="shared" si="320"/>
        <v>13500</v>
      </c>
    </row>
    <row r="601" spans="1:17" ht="14.25">
      <c r="A601" s="90"/>
      <c r="B601" s="80" t="s">
        <v>179</v>
      </c>
      <c r="C601" s="47"/>
      <c r="D601" s="50">
        <f t="shared" si="320"/>
        <v>10316</v>
      </c>
      <c r="E601" s="50">
        <f t="shared" si="320"/>
        <v>12602</v>
      </c>
      <c r="F601" s="50">
        <f t="shared" si="320"/>
        <v>12602</v>
      </c>
      <c r="G601" s="50">
        <f t="shared" si="320"/>
        <v>12750</v>
      </c>
      <c r="H601" s="50">
        <f t="shared" si="320"/>
        <v>2502</v>
      </c>
      <c r="I601" s="50">
        <f t="shared" si="320"/>
        <v>12602</v>
      </c>
      <c r="J601" s="146">
        <f t="shared" si="320"/>
        <v>13522</v>
      </c>
      <c r="K601" s="146">
        <f t="shared" si="320"/>
        <v>3400</v>
      </c>
      <c r="L601" s="146">
        <f t="shared" si="320"/>
        <v>3500</v>
      </c>
      <c r="M601" s="146">
        <f t="shared" si="320"/>
        <v>3600</v>
      </c>
      <c r="N601" s="146">
        <f t="shared" si="320"/>
        <v>3022</v>
      </c>
      <c r="O601" s="146">
        <f t="shared" si="320"/>
        <v>13500</v>
      </c>
      <c r="P601" s="146">
        <f t="shared" si="320"/>
        <v>13500</v>
      </c>
      <c r="Q601" s="146">
        <f t="shared" si="320"/>
        <v>13500</v>
      </c>
    </row>
    <row r="602" spans="1:17" ht="15">
      <c r="A602" s="90"/>
      <c r="B602" s="89" t="s">
        <v>180</v>
      </c>
      <c r="C602" s="47">
        <v>1</v>
      </c>
      <c r="D602" s="36">
        <f t="shared" si="320"/>
        <v>10316</v>
      </c>
      <c r="E602" s="36">
        <f t="shared" si="320"/>
        <v>12602</v>
      </c>
      <c r="F602" s="36">
        <f t="shared" si="320"/>
        <v>12602</v>
      </c>
      <c r="G602" s="36">
        <f t="shared" si="320"/>
        <v>12750</v>
      </c>
      <c r="H602" s="36">
        <f t="shared" si="320"/>
        <v>2502</v>
      </c>
      <c r="I602" s="36">
        <f t="shared" si="320"/>
        <v>12602</v>
      </c>
      <c r="J602" s="141">
        <f t="shared" si="320"/>
        <v>13522</v>
      </c>
      <c r="K602" s="141">
        <f t="shared" si="320"/>
        <v>3400</v>
      </c>
      <c r="L602" s="141">
        <f t="shared" si="320"/>
        <v>3500</v>
      </c>
      <c r="M602" s="141">
        <f t="shared" si="320"/>
        <v>3600</v>
      </c>
      <c r="N602" s="141">
        <f t="shared" si="320"/>
        <v>3022</v>
      </c>
      <c r="O602" s="141">
        <f t="shared" si="320"/>
        <v>13500</v>
      </c>
      <c r="P602" s="141">
        <f t="shared" si="320"/>
        <v>13500</v>
      </c>
      <c r="Q602" s="141">
        <f t="shared" si="320"/>
        <v>13500</v>
      </c>
    </row>
    <row r="603" spans="1:17" ht="15">
      <c r="A603" s="90"/>
      <c r="B603" s="89" t="s">
        <v>369</v>
      </c>
      <c r="C603" s="47">
        <v>59.15</v>
      </c>
      <c r="D603" s="37">
        <v>10316</v>
      </c>
      <c r="E603" s="37">
        <f>12455+583-436</f>
        <v>12602</v>
      </c>
      <c r="F603" s="32">
        <v>12602</v>
      </c>
      <c r="G603" s="32">
        <v>12750</v>
      </c>
      <c r="H603" s="32">
        <f>2255+247</f>
        <v>2502</v>
      </c>
      <c r="I603" s="37">
        <f>12455+583-436</f>
        <v>12602</v>
      </c>
      <c r="J603" s="187">
        <v>13522</v>
      </c>
      <c r="K603" s="187">
        <f>2600+667+133</f>
        <v>3400</v>
      </c>
      <c r="L603" s="187">
        <f>2800+700</f>
        <v>3500</v>
      </c>
      <c r="M603" s="187">
        <f>3600</f>
        <v>3600</v>
      </c>
      <c r="N603" s="187">
        <f>3655-833+200</f>
        <v>3022</v>
      </c>
      <c r="O603" s="187">
        <v>13500</v>
      </c>
      <c r="P603" s="187">
        <v>13500</v>
      </c>
      <c r="Q603" s="187">
        <v>13500</v>
      </c>
    </row>
    <row r="604" spans="1:17" ht="28.5">
      <c r="A604" s="90" t="s">
        <v>562</v>
      </c>
      <c r="B604" s="109" t="s">
        <v>370</v>
      </c>
      <c r="C604" s="47" t="s">
        <v>371</v>
      </c>
      <c r="D604" s="50">
        <f t="shared" ref="D604:Q604" si="321">D605+D610</f>
        <v>1270</v>
      </c>
      <c r="E604" s="50">
        <f t="shared" si="321"/>
        <v>1259</v>
      </c>
      <c r="F604" s="50">
        <f t="shared" si="321"/>
        <v>1194</v>
      </c>
      <c r="G604" s="50">
        <f t="shared" si="321"/>
        <v>1720</v>
      </c>
      <c r="H604" s="50">
        <f t="shared" si="321"/>
        <v>0</v>
      </c>
      <c r="I604" s="50">
        <f t="shared" si="321"/>
        <v>19</v>
      </c>
      <c r="J604" s="189">
        <f t="shared" si="321"/>
        <v>1059</v>
      </c>
      <c r="K604" s="189">
        <f>K605+K610</f>
        <v>309</v>
      </c>
      <c r="L604" s="189">
        <f>L605+L610</f>
        <v>300</v>
      </c>
      <c r="M604" s="189">
        <f>M605+M610</f>
        <v>275</v>
      </c>
      <c r="N604" s="189">
        <f>N605+N610</f>
        <v>175</v>
      </c>
      <c r="O604" s="189">
        <f t="shared" si="321"/>
        <v>1100</v>
      </c>
      <c r="P604" s="189">
        <f t="shared" si="321"/>
        <v>1100</v>
      </c>
      <c r="Q604" s="189">
        <f t="shared" si="321"/>
        <v>1100</v>
      </c>
    </row>
    <row r="605" spans="1:17" ht="14.25">
      <c r="A605" s="90"/>
      <c r="B605" s="80" t="s">
        <v>179</v>
      </c>
      <c r="C605" s="47"/>
      <c r="D605" s="50">
        <f t="shared" ref="D605:Q606" si="322">D606</f>
        <v>1270</v>
      </c>
      <c r="E605" s="50">
        <f t="shared" si="322"/>
        <v>1240</v>
      </c>
      <c r="F605" s="50">
        <f t="shared" si="322"/>
        <v>1177</v>
      </c>
      <c r="G605" s="50">
        <f t="shared" si="322"/>
        <v>1711</v>
      </c>
      <c r="H605" s="50">
        <f t="shared" si="322"/>
        <v>0</v>
      </c>
      <c r="I605" s="50">
        <f t="shared" si="322"/>
        <v>0</v>
      </c>
      <c r="J605" s="189">
        <f t="shared" si="322"/>
        <v>1050</v>
      </c>
      <c r="K605" s="189">
        <f t="shared" si="322"/>
        <v>300</v>
      </c>
      <c r="L605" s="189">
        <f t="shared" si="322"/>
        <v>300</v>
      </c>
      <c r="M605" s="189">
        <f t="shared" si="322"/>
        <v>275</v>
      </c>
      <c r="N605" s="189">
        <f t="shared" si="322"/>
        <v>175</v>
      </c>
      <c r="O605" s="189">
        <f t="shared" si="322"/>
        <v>1100</v>
      </c>
      <c r="P605" s="189">
        <f t="shared" si="322"/>
        <v>1100</v>
      </c>
      <c r="Q605" s="189">
        <f t="shared" si="322"/>
        <v>1100</v>
      </c>
    </row>
    <row r="606" spans="1:17" ht="15">
      <c r="A606" s="90"/>
      <c r="B606" s="89" t="s">
        <v>180</v>
      </c>
      <c r="C606" s="47">
        <v>1</v>
      </c>
      <c r="D606" s="36">
        <f t="shared" si="322"/>
        <v>1270</v>
      </c>
      <c r="E606" s="36">
        <f t="shared" si="322"/>
        <v>1240</v>
      </c>
      <c r="F606" s="36">
        <f t="shared" si="322"/>
        <v>1177</v>
      </c>
      <c r="G606" s="36">
        <f t="shared" si="322"/>
        <v>1711</v>
      </c>
      <c r="H606" s="36">
        <f t="shared" si="322"/>
        <v>0</v>
      </c>
      <c r="I606" s="36">
        <f t="shared" si="322"/>
        <v>0</v>
      </c>
      <c r="J606" s="188">
        <f t="shared" si="322"/>
        <v>1050</v>
      </c>
      <c r="K606" s="188">
        <f t="shared" si="322"/>
        <v>300</v>
      </c>
      <c r="L606" s="188">
        <f t="shared" si="322"/>
        <v>300</v>
      </c>
      <c r="M606" s="188">
        <f t="shared" si="322"/>
        <v>275</v>
      </c>
      <c r="N606" s="188">
        <f t="shared" si="322"/>
        <v>175</v>
      </c>
      <c r="O606" s="188">
        <f t="shared" si="322"/>
        <v>1100</v>
      </c>
      <c r="P606" s="188">
        <f t="shared" si="322"/>
        <v>1100</v>
      </c>
      <c r="Q606" s="188">
        <f t="shared" si="322"/>
        <v>1100</v>
      </c>
    </row>
    <row r="607" spans="1:17" ht="15">
      <c r="A607" s="90"/>
      <c r="B607" s="89" t="s">
        <v>285</v>
      </c>
      <c r="C607" s="47" t="s">
        <v>249</v>
      </c>
      <c r="D607" s="36">
        <f t="shared" ref="D607:Q607" si="323">D608+D609</f>
        <v>1270</v>
      </c>
      <c r="E607" s="36">
        <f t="shared" si="323"/>
        <v>1240</v>
      </c>
      <c r="F607" s="36">
        <f t="shared" si="323"/>
        <v>1177</v>
      </c>
      <c r="G607" s="36">
        <f t="shared" si="323"/>
        <v>1711</v>
      </c>
      <c r="H607" s="36">
        <f t="shared" si="323"/>
        <v>0</v>
      </c>
      <c r="I607" s="36">
        <f t="shared" si="323"/>
        <v>0</v>
      </c>
      <c r="J607" s="188">
        <f t="shared" si="323"/>
        <v>1050</v>
      </c>
      <c r="K607" s="188">
        <f>K608+K609</f>
        <v>300</v>
      </c>
      <c r="L607" s="188">
        <f>L608+L609</f>
        <v>300</v>
      </c>
      <c r="M607" s="188">
        <f>M608+M609</f>
        <v>275</v>
      </c>
      <c r="N607" s="188">
        <f>N608+N609</f>
        <v>175</v>
      </c>
      <c r="O607" s="188">
        <f t="shared" si="323"/>
        <v>1100</v>
      </c>
      <c r="P607" s="188">
        <f t="shared" si="323"/>
        <v>1100</v>
      </c>
      <c r="Q607" s="188">
        <f t="shared" si="323"/>
        <v>1100</v>
      </c>
    </row>
    <row r="608" spans="1:17" ht="14.25" customHeight="1">
      <c r="A608" s="90"/>
      <c r="B608" s="89" t="s">
        <v>181</v>
      </c>
      <c r="C608" s="47">
        <v>10</v>
      </c>
      <c r="D608" s="37">
        <v>176</v>
      </c>
      <c r="E608" s="37">
        <v>246</v>
      </c>
      <c r="F608" s="32">
        <v>234</v>
      </c>
      <c r="G608" s="32">
        <v>446</v>
      </c>
      <c r="H608" s="32"/>
      <c r="I608" s="37"/>
      <c r="J608" s="187">
        <v>250</v>
      </c>
      <c r="K608" s="187">
        <v>75</v>
      </c>
      <c r="L608" s="187">
        <v>75</v>
      </c>
      <c r="M608" s="187">
        <v>75</v>
      </c>
      <c r="N608" s="187">
        <v>25</v>
      </c>
      <c r="O608" s="187">
        <v>300</v>
      </c>
      <c r="P608" s="187">
        <v>300</v>
      </c>
      <c r="Q608" s="187">
        <v>300</v>
      </c>
    </row>
    <row r="609" spans="1:17" ht="14.25" customHeight="1">
      <c r="A609" s="90"/>
      <c r="B609" s="89" t="s">
        <v>182</v>
      </c>
      <c r="C609" s="47">
        <v>20</v>
      </c>
      <c r="D609" s="37">
        <f>1270-176</f>
        <v>1094</v>
      </c>
      <c r="E609" s="37">
        <v>994</v>
      </c>
      <c r="F609" s="32">
        <v>943</v>
      </c>
      <c r="G609" s="32">
        <v>1265</v>
      </c>
      <c r="H609" s="32"/>
      <c r="I609" s="37"/>
      <c r="J609" s="187">
        <v>800</v>
      </c>
      <c r="K609" s="187">
        <v>225</v>
      </c>
      <c r="L609" s="187">
        <v>225</v>
      </c>
      <c r="M609" s="187">
        <v>200</v>
      </c>
      <c r="N609" s="187">
        <v>150</v>
      </c>
      <c r="O609" s="187">
        <v>800</v>
      </c>
      <c r="P609" s="187">
        <v>800</v>
      </c>
      <c r="Q609" s="187">
        <v>800</v>
      </c>
    </row>
    <row r="610" spans="1:17" ht="16.5" customHeight="1">
      <c r="A610" s="90"/>
      <c r="B610" s="82" t="s">
        <v>191</v>
      </c>
      <c r="C610" s="47"/>
      <c r="D610" s="36">
        <f t="shared" ref="D610:Q610" si="324">D611+D612</f>
        <v>0</v>
      </c>
      <c r="E610" s="36">
        <f t="shared" si="324"/>
        <v>19</v>
      </c>
      <c r="F610" s="36">
        <f t="shared" si="324"/>
        <v>17</v>
      </c>
      <c r="G610" s="36">
        <f t="shared" si="324"/>
        <v>9</v>
      </c>
      <c r="H610" s="36">
        <f t="shared" si="324"/>
        <v>0</v>
      </c>
      <c r="I610" s="36">
        <f t="shared" si="324"/>
        <v>19</v>
      </c>
      <c r="J610" s="188">
        <f t="shared" si="324"/>
        <v>9</v>
      </c>
      <c r="K610" s="188">
        <f>K611+K612</f>
        <v>9</v>
      </c>
      <c r="L610" s="188">
        <f>L611+L612</f>
        <v>0</v>
      </c>
      <c r="M610" s="188">
        <f>M611+M612</f>
        <v>0</v>
      </c>
      <c r="N610" s="188">
        <f>N611+N612</f>
        <v>0</v>
      </c>
      <c r="O610" s="188">
        <f t="shared" si="324"/>
        <v>0</v>
      </c>
      <c r="P610" s="188">
        <f t="shared" si="324"/>
        <v>0</v>
      </c>
      <c r="Q610" s="188">
        <f t="shared" si="324"/>
        <v>0</v>
      </c>
    </row>
    <row r="611" spans="1:17" ht="0.75" customHeight="1">
      <c r="A611" s="90"/>
      <c r="B611" s="89" t="s">
        <v>372</v>
      </c>
      <c r="C611" s="47" t="s">
        <v>373</v>
      </c>
      <c r="D611" s="37"/>
      <c r="E611" s="37"/>
      <c r="F611" s="32"/>
      <c r="G611" s="32"/>
      <c r="H611" s="32"/>
      <c r="I611" s="37"/>
      <c r="J611" s="187"/>
      <c r="K611" s="187"/>
      <c r="L611" s="187"/>
      <c r="M611" s="187"/>
      <c r="N611" s="187"/>
      <c r="O611" s="187"/>
      <c r="P611" s="187"/>
      <c r="Q611" s="187"/>
    </row>
    <row r="612" spans="1:17" ht="18.75" customHeight="1">
      <c r="A612" s="90"/>
      <c r="B612" s="89" t="s">
        <v>197</v>
      </c>
      <c r="C612" s="47" t="s">
        <v>198</v>
      </c>
      <c r="D612" s="37">
        <v>0</v>
      </c>
      <c r="E612" s="37">
        <v>19</v>
      </c>
      <c r="F612" s="32">
        <v>17</v>
      </c>
      <c r="G612" s="32">
        <v>9</v>
      </c>
      <c r="H612" s="32"/>
      <c r="I612" s="37">
        <v>19</v>
      </c>
      <c r="J612" s="187">
        <v>9</v>
      </c>
      <c r="K612" s="187">
        <v>9</v>
      </c>
      <c r="L612" s="187"/>
      <c r="M612" s="187"/>
      <c r="N612" s="187"/>
      <c r="O612" s="187">
        <v>0</v>
      </c>
      <c r="P612" s="187">
        <v>0</v>
      </c>
      <c r="Q612" s="187">
        <v>0</v>
      </c>
    </row>
    <row r="613" spans="1:17" ht="14.25">
      <c r="A613" s="115" t="s">
        <v>563</v>
      </c>
      <c r="B613" s="111" t="s">
        <v>374</v>
      </c>
      <c r="C613" s="47" t="s">
        <v>375</v>
      </c>
      <c r="D613" s="50">
        <f t="shared" ref="D613:Q613" si="325">D614</f>
        <v>527</v>
      </c>
      <c r="E613" s="50">
        <f t="shared" si="325"/>
        <v>700</v>
      </c>
      <c r="F613" s="50">
        <f t="shared" si="325"/>
        <v>432.5</v>
      </c>
      <c r="G613" s="50">
        <f t="shared" si="325"/>
        <v>850</v>
      </c>
      <c r="H613" s="50">
        <f t="shared" si="325"/>
        <v>100</v>
      </c>
      <c r="I613" s="50">
        <f t="shared" si="325"/>
        <v>700</v>
      </c>
      <c r="J613" s="146">
        <f t="shared" si="325"/>
        <v>750</v>
      </c>
      <c r="K613" s="146">
        <f t="shared" si="325"/>
        <v>100</v>
      </c>
      <c r="L613" s="146">
        <f t="shared" si="325"/>
        <v>200</v>
      </c>
      <c r="M613" s="146">
        <f t="shared" si="325"/>
        <v>300</v>
      </c>
      <c r="N613" s="146">
        <f t="shared" si="325"/>
        <v>150</v>
      </c>
      <c r="O613" s="146">
        <f t="shared" si="325"/>
        <v>800</v>
      </c>
      <c r="P613" s="146">
        <f t="shared" si="325"/>
        <v>800</v>
      </c>
      <c r="Q613" s="146">
        <f t="shared" si="325"/>
        <v>800</v>
      </c>
    </row>
    <row r="614" spans="1:17" ht="14.25">
      <c r="A614" s="90"/>
      <c r="B614" s="80" t="s">
        <v>179</v>
      </c>
      <c r="C614" s="47"/>
      <c r="D614" s="50">
        <f t="shared" ref="D614:Q614" si="326">D616</f>
        <v>527</v>
      </c>
      <c r="E614" s="50">
        <f t="shared" si="326"/>
        <v>700</v>
      </c>
      <c r="F614" s="50">
        <f t="shared" si="326"/>
        <v>432.5</v>
      </c>
      <c r="G614" s="50">
        <f t="shared" si="326"/>
        <v>850</v>
      </c>
      <c r="H614" s="50">
        <f t="shared" si="326"/>
        <v>100</v>
      </c>
      <c r="I614" s="50">
        <f t="shared" si="326"/>
        <v>700</v>
      </c>
      <c r="J614" s="146">
        <f t="shared" si="326"/>
        <v>750</v>
      </c>
      <c r="K614" s="146">
        <f>K616</f>
        <v>100</v>
      </c>
      <c r="L614" s="146">
        <f>L616</f>
        <v>200</v>
      </c>
      <c r="M614" s="146">
        <f>M616</f>
        <v>300</v>
      </c>
      <c r="N614" s="146">
        <f>N616</f>
        <v>150</v>
      </c>
      <c r="O614" s="146">
        <f t="shared" si="326"/>
        <v>800</v>
      </c>
      <c r="P614" s="146">
        <f t="shared" si="326"/>
        <v>800</v>
      </c>
      <c r="Q614" s="146">
        <f t="shared" si="326"/>
        <v>800</v>
      </c>
    </row>
    <row r="615" spans="1:17" ht="15">
      <c r="A615" s="90"/>
      <c r="B615" s="89" t="s">
        <v>180</v>
      </c>
      <c r="C615" s="47">
        <v>1</v>
      </c>
      <c r="D615" s="36">
        <f t="shared" ref="D615:Q615" si="327">D616</f>
        <v>527</v>
      </c>
      <c r="E615" s="36">
        <f t="shared" si="327"/>
        <v>700</v>
      </c>
      <c r="F615" s="36">
        <f t="shared" si="327"/>
        <v>432.5</v>
      </c>
      <c r="G615" s="36">
        <f t="shared" si="327"/>
        <v>850</v>
      </c>
      <c r="H615" s="36">
        <f t="shared" si="327"/>
        <v>100</v>
      </c>
      <c r="I615" s="36">
        <f t="shared" si="327"/>
        <v>700</v>
      </c>
      <c r="J615" s="141">
        <f t="shared" si="327"/>
        <v>750</v>
      </c>
      <c r="K615" s="141">
        <f t="shared" si="327"/>
        <v>100</v>
      </c>
      <c r="L615" s="141">
        <f t="shared" si="327"/>
        <v>200</v>
      </c>
      <c r="M615" s="141">
        <f t="shared" si="327"/>
        <v>300</v>
      </c>
      <c r="N615" s="141">
        <f t="shared" si="327"/>
        <v>150</v>
      </c>
      <c r="O615" s="141">
        <f t="shared" si="327"/>
        <v>800</v>
      </c>
      <c r="P615" s="141">
        <f t="shared" si="327"/>
        <v>800</v>
      </c>
      <c r="Q615" s="141">
        <f t="shared" si="327"/>
        <v>800</v>
      </c>
    </row>
    <row r="616" spans="1:17" ht="16.5" customHeight="1">
      <c r="A616" s="90"/>
      <c r="B616" s="89" t="s">
        <v>182</v>
      </c>
      <c r="C616" s="47">
        <v>20</v>
      </c>
      <c r="D616" s="37">
        <v>527</v>
      </c>
      <c r="E616" s="37">
        <v>700</v>
      </c>
      <c r="F616" s="32">
        <v>432.5</v>
      </c>
      <c r="G616" s="32">
        <v>850</v>
      </c>
      <c r="H616" s="32">
        <v>100</v>
      </c>
      <c r="I616" s="37">
        <v>700</v>
      </c>
      <c r="J616" s="137">
        <f>450+300</f>
        <v>750</v>
      </c>
      <c r="K616" s="137">
        <v>100</v>
      </c>
      <c r="L616" s="137">
        <v>200</v>
      </c>
      <c r="M616" s="137">
        <v>300</v>
      </c>
      <c r="N616" s="137">
        <v>150</v>
      </c>
      <c r="O616" s="137">
        <v>800</v>
      </c>
      <c r="P616" s="137">
        <v>800</v>
      </c>
      <c r="Q616" s="137">
        <v>800</v>
      </c>
    </row>
    <row r="617" spans="1:17" ht="14.25">
      <c r="A617" s="99">
        <v>4</v>
      </c>
      <c r="B617" s="103" t="s">
        <v>376</v>
      </c>
      <c r="C617" s="166">
        <v>68.02</v>
      </c>
      <c r="D617" s="50">
        <f t="shared" ref="D617:Q617" si="328">D629+D639+D656+D724+D771</f>
        <v>166723</v>
      </c>
      <c r="E617" s="50">
        <f t="shared" si="328"/>
        <v>195949</v>
      </c>
      <c r="F617" s="50">
        <f t="shared" si="328"/>
        <v>207408.50999999998</v>
      </c>
      <c r="G617" s="50">
        <f t="shared" si="328"/>
        <v>283912</v>
      </c>
      <c r="H617" s="50">
        <f t="shared" si="328"/>
        <v>0</v>
      </c>
      <c r="I617" s="50">
        <f t="shared" si="328"/>
        <v>1175</v>
      </c>
      <c r="J617" s="146">
        <f t="shared" si="328"/>
        <v>215363.66</v>
      </c>
      <c r="K617" s="146">
        <f>K629+K639+K656+K724+K771</f>
        <v>66673.66</v>
      </c>
      <c r="L617" s="146">
        <f>L629+L639+L656+L724+L771</f>
        <v>64223</v>
      </c>
      <c r="M617" s="146">
        <f>M629+M639+M656+M724+M771</f>
        <v>56426</v>
      </c>
      <c r="N617" s="146">
        <f>N629+N639+N656+N724+N771</f>
        <v>28041</v>
      </c>
      <c r="O617" s="146">
        <f t="shared" si="328"/>
        <v>239912</v>
      </c>
      <c r="P617" s="146">
        <f t="shared" si="328"/>
        <v>243974</v>
      </c>
      <c r="Q617" s="146">
        <f t="shared" si="328"/>
        <v>238368</v>
      </c>
    </row>
    <row r="618" spans="1:17" ht="14.25">
      <c r="A618" s="90"/>
      <c r="B618" s="80" t="s">
        <v>179</v>
      </c>
      <c r="C618" s="159"/>
      <c r="D618" s="50">
        <f t="shared" ref="D618:Q618" si="329">D630+D639+D657+D725+D772</f>
        <v>165407</v>
      </c>
      <c r="E618" s="50">
        <f t="shared" si="329"/>
        <v>192071</v>
      </c>
      <c r="F618" s="50">
        <f t="shared" si="329"/>
        <v>204023.56999999998</v>
      </c>
      <c r="G618" s="50">
        <f t="shared" si="329"/>
        <v>277932</v>
      </c>
      <c r="H618" s="50">
        <f t="shared" si="329"/>
        <v>0</v>
      </c>
      <c r="I618" s="50">
        <f t="shared" si="329"/>
        <v>0</v>
      </c>
      <c r="J618" s="146">
        <f t="shared" si="329"/>
        <v>211460.66</v>
      </c>
      <c r="K618" s="146">
        <f>K630+K639+K657+K725+K772</f>
        <v>62770.659999999996</v>
      </c>
      <c r="L618" s="146">
        <f>L630+L639+L657+L725+L772</f>
        <v>64223</v>
      </c>
      <c r="M618" s="146">
        <f>M630+M639+M657+M725+M772</f>
        <v>56426</v>
      </c>
      <c r="N618" s="146">
        <f>N630+N639+N657+N725+N772</f>
        <v>28041</v>
      </c>
      <c r="O618" s="146">
        <f t="shared" si="329"/>
        <v>239912</v>
      </c>
      <c r="P618" s="146">
        <f t="shared" si="329"/>
        <v>243974</v>
      </c>
      <c r="Q618" s="146">
        <f t="shared" si="329"/>
        <v>238368</v>
      </c>
    </row>
    <row r="619" spans="1:17" ht="15">
      <c r="A619" s="90"/>
      <c r="B619" s="89" t="s">
        <v>180</v>
      </c>
      <c r="C619" s="159">
        <v>1</v>
      </c>
      <c r="D619" s="50">
        <f t="shared" ref="D619:Q619" si="330">D631+D639+D658+D726+D773</f>
        <v>165407</v>
      </c>
      <c r="E619" s="50">
        <f t="shared" si="330"/>
        <v>192071</v>
      </c>
      <c r="F619" s="50">
        <f t="shared" si="330"/>
        <v>204023.56999999998</v>
      </c>
      <c r="G619" s="50">
        <f t="shared" si="330"/>
        <v>277932</v>
      </c>
      <c r="H619" s="50">
        <f t="shared" si="330"/>
        <v>0</v>
      </c>
      <c r="I619" s="50">
        <f t="shared" si="330"/>
        <v>0</v>
      </c>
      <c r="J619" s="146">
        <f t="shared" si="330"/>
        <v>211460.66</v>
      </c>
      <c r="K619" s="146">
        <f>K631+K639+K658+K726+K773</f>
        <v>62770.659999999996</v>
      </c>
      <c r="L619" s="146">
        <f>L631+L639+L658+L726+L773</f>
        <v>64223</v>
      </c>
      <c r="M619" s="146">
        <f>M631+M639+M658+M726+M773</f>
        <v>56426</v>
      </c>
      <c r="N619" s="146">
        <f>N631+N639+N658+N726+N773</f>
        <v>28041</v>
      </c>
      <c r="O619" s="146">
        <f t="shared" si="330"/>
        <v>239912</v>
      </c>
      <c r="P619" s="146">
        <f t="shared" si="330"/>
        <v>243974</v>
      </c>
      <c r="Q619" s="146">
        <f t="shared" si="330"/>
        <v>238368</v>
      </c>
    </row>
    <row r="620" spans="1:17" ht="15">
      <c r="A620" s="90"/>
      <c r="B620" s="89" t="s">
        <v>181</v>
      </c>
      <c r="C620" s="159">
        <v>10</v>
      </c>
      <c r="D620" s="50">
        <f t="shared" ref="D620:Q620" si="331">D632+D659</f>
        <v>44859</v>
      </c>
      <c r="E620" s="50">
        <f t="shared" si="331"/>
        <v>69297</v>
      </c>
      <c r="F620" s="50">
        <f t="shared" si="331"/>
        <v>74099.23</v>
      </c>
      <c r="G620" s="50">
        <f t="shared" si="331"/>
        <v>93764</v>
      </c>
      <c r="H620" s="50">
        <f t="shared" si="331"/>
        <v>0</v>
      </c>
      <c r="I620" s="50">
        <f t="shared" si="331"/>
        <v>0</v>
      </c>
      <c r="J620" s="146">
        <f t="shared" si="331"/>
        <v>54712.66</v>
      </c>
      <c r="K620" s="146">
        <f>K632+K659</f>
        <v>23722.659999999996</v>
      </c>
      <c r="L620" s="146">
        <f>L632+L659</f>
        <v>21970</v>
      </c>
      <c r="M620" s="146">
        <f>M632+M659</f>
        <v>7770</v>
      </c>
      <c r="N620" s="146">
        <f>N632+N659</f>
        <v>1250</v>
      </c>
      <c r="O620" s="146">
        <f t="shared" si="331"/>
        <v>74562</v>
      </c>
      <c r="P620" s="146">
        <f t="shared" si="331"/>
        <v>76624</v>
      </c>
      <c r="Q620" s="146">
        <f t="shared" si="331"/>
        <v>70018</v>
      </c>
    </row>
    <row r="621" spans="1:17" ht="15">
      <c r="A621" s="90"/>
      <c r="B621" s="89" t="s">
        <v>182</v>
      </c>
      <c r="C621" s="159">
        <v>20</v>
      </c>
      <c r="D621" s="50">
        <f t="shared" ref="D621:Q621" si="332">D633+D640+D660</f>
        <v>14933</v>
      </c>
      <c r="E621" s="50">
        <f t="shared" si="332"/>
        <v>16648</v>
      </c>
      <c r="F621" s="50">
        <f t="shared" si="332"/>
        <v>17045.88</v>
      </c>
      <c r="G621" s="50">
        <f t="shared" si="332"/>
        <v>18240</v>
      </c>
      <c r="H621" s="50">
        <f t="shared" si="332"/>
        <v>0</v>
      </c>
      <c r="I621" s="50">
        <f t="shared" si="332"/>
        <v>0</v>
      </c>
      <c r="J621" s="146">
        <f t="shared" si="332"/>
        <v>12400</v>
      </c>
      <c r="K621" s="146">
        <f>K633+K640+K660</f>
        <v>4150</v>
      </c>
      <c r="L621" s="146">
        <f>L633+L640+L660</f>
        <v>3736</v>
      </c>
      <c r="M621" s="146">
        <f>M633+M640+M660</f>
        <v>2980</v>
      </c>
      <c r="N621" s="146">
        <f>N633+N640+N660</f>
        <v>1534</v>
      </c>
      <c r="O621" s="146">
        <f t="shared" si="332"/>
        <v>15400</v>
      </c>
      <c r="P621" s="146">
        <f t="shared" si="332"/>
        <v>15400</v>
      </c>
      <c r="Q621" s="146">
        <f t="shared" si="332"/>
        <v>15400</v>
      </c>
    </row>
    <row r="622" spans="1:17" ht="15">
      <c r="A622" s="90"/>
      <c r="B622" s="89" t="s">
        <v>285</v>
      </c>
      <c r="C622" s="159">
        <v>51</v>
      </c>
      <c r="D622" s="50">
        <f t="shared" ref="D622:Q622" si="333">D727</f>
        <v>5947</v>
      </c>
      <c r="E622" s="50">
        <f t="shared" si="333"/>
        <v>9884</v>
      </c>
      <c r="F622" s="50">
        <f t="shared" si="333"/>
        <v>9331.4599999999991</v>
      </c>
      <c r="G622" s="50">
        <f t="shared" si="333"/>
        <v>12412</v>
      </c>
      <c r="H622" s="50">
        <f t="shared" si="333"/>
        <v>0</v>
      </c>
      <c r="I622" s="50">
        <f t="shared" si="333"/>
        <v>0</v>
      </c>
      <c r="J622" s="146">
        <f t="shared" si="333"/>
        <v>8630</v>
      </c>
      <c r="K622" s="146">
        <f>K727</f>
        <v>2480</v>
      </c>
      <c r="L622" s="146">
        <f>L727</f>
        <v>2520</v>
      </c>
      <c r="M622" s="146">
        <f>M727</f>
        <v>2440</v>
      </c>
      <c r="N622" s="146">
        <f>N727</f>
        <v>1190</v>
      </c>
      <c r="O622" s="146">
        <f t="shared" si="333"/>
        <v>11050</v>
      </c>
      <c r="P622" s="146">
        <f t="shared" si="333"/>
        <v>11050</v>
      </c>
      <c r="Q622" s="146">
        <f t="shared" si="333"/>
        <v>11050</v>
      </c>
    </row>
    <row r="623" spans="1:17" ht="15">
      <c r="A623" s="90"/>
      <c r="B623" s="89" t="s">
        <v>187</v>
      </c>
      <c r="C623" s="159">
        <v>57</v>
      </c>
      <c r="D623" s="50">
        <f t="shared" ref="D623:Q623" si="334">D634+D641+D774</f>
        <v>99668</v>
      </c>
      <c r="E623" s="50">
        <f t="shared" si="334"/>
        <v>96242</v>
      </c>
      <c r="F623" s="50">
        <f t="shared" si="334"/>
        <v>103547</v>
      </c>
      <c r="G623" s="50">
        <f t="shared" si="334"/>
        <v>153516</v>
      </c>
      <c r="H623" s="50">
        <f t="shared" si="334"/>
        <v>0</v>
      </c>
      <c r="I623" s="50">
        <f t="shared" si="334"/>
        <v>0</v>
      </c>
      <c r="J623" s="146">
        <f t="shared" si="334"/>
        <v>135418</v>
      </c>
      <c r="K623" s="146">
        <f>K634+K641+K774</f>
        <v>32268</v>
      </c>
      <c r="L623" s="146">
        <f>L634+L641+L774</f>
        <v>35847</v>
      </c>
      <c r="M623" s="146">
        <f>M634+M641+M774</f>
        <v>43236</v>
      </c>
      <c r="N623" s="146">
        <f>N634+N641+N774</f>
        <v>24067</v>
      </c>
      <c r="O623" s="146">
        <f t="shared" si="334"/>
        <v>138600</v>
      </c>
      <c r="P623" s="146">
        <f t="shared" si="334"/>
        <v>140600</v>
      </c>
      <c r="Q623" s="146">
        <f t="shared" si="334"/>
        <v>141600</v>
      </c>
    </row>
    <row r="624" spans="1:17" ht="18.75" customHeight="1">
      <c r="A624" s="90"/>
      <c r="B624" s="89" t="s">
        <v>204</v>
      </c>
      <c r="C624" s="159">
        <v>59.11</v>
      </c>
      <c r="D624" s="50">
        <f t="shared" ref="D624:Q624" si="335">D637</f>
        <v>0</v>
      </c>
      <c r="E624" s="50">
        <f t="shared" si="335"/>
        <v>0</v>
      </c>
      <c r="F624" s="50">
        <f t="shared" si="335"/>
        <v>0</v>
      </c>
      <c r="G624" s="50">
        <f t="shared" si="335"/>
        <v>0</v>
      </c>
      <c r="H624" s="50">
        <f t="shared" si="335"/>
        <v>0</v>
      </c>
      <c r="I624" s="50">
        <f t="shared" si="335"/>
        <v>0</v>
      </c>
      <c r="J624" s="146">
        <f t="shared" si="335"/>
        <v>300</v>
      </c>
      <c r="K624" s="146">
        <f>K637</f>
        <v>150</v>
      </c>
      <c r="L624" s="146">
        <f>L637</f>
        <v>150</v>
      </c>
      <c r="M624" s="146">
        <f>M637</f>
        <v>0</v>
      </c>
      <c r="N624" s="146">
        <f>N637</f>
        <v>0</v>
      </c>
      <c r="O624" s="146">
        <f t="shared" si="335"/>
        <v>300</v>
      </c>
      <c r="P624" s="146">
        <f t="shared" si="335"/>
        <v>300</v>
      </c>
      <c r="Q624" s="146">
        <f t="shared" si="335"/>
        <v>300</v>
      </c>
    </row>
    <row r="625" spans="1:17" ht="13.5" customHeight="1">
      <c r="A625" s="90"/>
      <c r="B625" s="82" t="s">
        <v>191</v>
      </c>
      <c r="C625" s="159"/>
      <c r="D625" s="50">
        <f t="shared" ref="D625:Q625" si="336">D644+D661+D728</f>
        <v>1316</v>
      </c>
      <c r="E625" s="50">
        <f t="shared" si="336"/>
        <v>3878</v>
      </c>
      <c r="F625" s="50">
        <f t="shared" si="336"/>
        <v>3384.94</v>
      </c>
      <c r="G625" s="50">
        <f t="shared" si="336"/>
        <v>5980</v>
      </c>
      <c r="H625" s="50">
        <f t="shared" si="336"/>
        <v>0</v>
      </c>
      <c r="I625" s="50">
        <f t="shared" si="336"/>
        <v>1175</v>
      </c>
      <c r="J625" s="146">
        <f t="shared" si="336"/>
        <v>3903</v>
      </c>
      <c r="K625" s="146">
        <f>K644+K661+K728</f>
        <v>3903</v>
      </c>
      <c r="L625" s="146">
        <f>L644+L661+L728</f>
        <v>0</v>
      </c>
      <c r="M625" s="146">
        <f>M644+M661+M728</f>
        <v>0</v>
      </c>
      <c r="N625" s="146">
        <f>N644+N661+N728</f>
        <v>0</v>
      </c>
      <c r="O625" s="146">
        <f t="shared" si="336"/>
        <v>0</v>
      </c>
      <c r="P625" s="146">
        <f t="shared" si="336"/>
        <v>0</v>
      </c>
      <c r="Q625" s="146">
        <f t="shared" si="336"/>
        <v>0</v>
      </c>
    </row>
    <row r="626" spans="1:17" ht="13.5" customHeight="1">
      <c r="A626" s="90"/>
      <c r="B626" s="89" t="s">
        <v>197</v>
      </c>
      <c r="C626" s="159">
        <v>51</v>
      </c>
      <c r="D626" s="50">
        <f t="shared" ref="D626:Q626" si="337">D729</f>
        <v>639</v>
      </c>
      <c r="E626" s="50">
        <f t="shared" si="337"/>
        <v>1254</v>
      </c>
      <c r="F626" s="50">
        <f t="shared" si="337"/>
        <v>831.94</v>
      </c>
      <c r="G626" s="50">
        <f t="shared" si="337"/>
        <v>2146</v>
      </c>
      <c r="H626" s="50">
        <f t="shared" si="337"/>
        <v>0</v>
      </c>
      <c r="I626" s="50">
        <f t="shared" si="337"/>
        <v>1012</v>
      </c>
      <c r="J626" s="146">
        <f t="shared" si="337"/>
        <v>2146</v>
      </c>
      <c r="K626" s="146">
        <f>K729</f>
        <v>2146</v>
      </c>
      <c r="L626" s="146">
        <f>L729</f>
        <v>0</v>
      </c>
      <c r="M626" s="146">
        <f>M729</f>
        <v>0</v>
      </c>
      <c r="N626" s="146">
        <f>N729</f>
        <v>0</v>
      </c>
      <c r="O626" s="146">
        <f t="shared" si="337"/>
        <v>0</v>
      </c>
      <c r="P626" s="146">
        <f t="shared" si="337"/>
        <v>0</v>
      </c>
      <c r="Q626" s="146">
        <f t="shared" si="337"/>
        <v>0</v>
      </c>
    </row>
    <row r="627" spans="1:17" ht="18.75" customHeight="1">
      <c r="A627" s="90"/>
      <c r="B627" s="89" t="s">
        <v>200</v>
      </c>
      <c r="C627" s="159">
        <v>56</v>
      </c>
      <c r="D627" s="50">
        <f t="shared" ref="D627:Q627" si="338">D645+D649</f>
        <v>0</v>
      </c>
      <c r="E627" s="50">
        <f t="shared" si="338"/>
        <v>0</v>
      </c>
      <c r="F627" s="50">
        <f t="shared" si="338"/>
        <v>0</v>
      </c>
      <c r="G627" s="50">
        <f t="shared" si="338"/>
        <v>0</v>
      </c>
      <c r="H627" s="50">
        <f t="shared" si="338"/>
        <v>0</v>
      </c>
      <c r="I627" s="50">
        <f t="shared" si="338"/>
        <v>0</v>
      </c>
      <c r="J627" s="146">
        <f t="shared" si="338"/>
        <v>0</v>
      </c>
      <c r="K627" s="146">
        <f>K645+K649</f>
        <v>0</v>
      </c>
      <c r="L627" s="146">
        <f>L645+L649</f>
        <v>0</v>
      </c>
      <c r="M627" s="146">
        <f>M645+M649</f>
        <v>0</v>
      </c>
      <c r="N627" s="146">
        <f>N645+N649</f>
        <v>0</v>
      </c>
      <c r="O627" s="146">
        <f t="shared" si="338"/>
        <v>0</v>
      </c>
      <c r="P627" s="146">
        <f t="shared" si="338"/>
        <v>0</v>
      </c>
      <c r="Q627" s="146">
        <f t="shared" si="338"/>
        <v>0</v>
      </c>
    </row>
    <row r="628" spans="1:17" ht="14.25" customHeight="1">
      <c r="A628" s="90"/>
      <c r="B628" s="89" t="s">
        <v>220</v>
      </c>
      <c r="C628" s="159">
        <v>70</v>
      </c>
      <c r="D628" s="36">
        <f t="shared" ref="D628:Q628" si="339">D650+D662</f>
        <v>677</v>
      </c>
      <c r="E628" s="36">
        <f t="shared" si="339"/>
        <v>2624</v>
      </c>
      <c r="F628" s="36">
        <f t="shared" si="339"/>
        <v>2553</v>
      </c>
      <c r="G628" s="36">
        <f t="shared" si="339"/>
        <v>3834</v>
      </c>
      <c r="H628" s="36">
        <f t="shared" si="339"/>
        <v>0</v>
      </c>
      <c r="I628" s="36">
        <f t="shared" si="339"/>
        <v>163</v>
      </c>
      <c r="J628" s="141">
        <f t="shared" si="339"/>
        <v>1757</v>
      </c>
      <c r="K628" s="141">
        <f>K650+K662</f>
        <v>1757</v>
      </c>
      <c r="L628" s="141">
        <f>L650+L662</f>
        <v>0</v>
      </c>
      <c r="M628" s="141">
        <f>M650+M662</f>
        <v>0</v>
      </c>
      <c r="N628" s="141">
        <f>N650+N662</f>
        <v>0</v>
      </c>
      <c r="O628" s="141">
        <f t="shared" si="339"/>
        <v>0</v>
      </c>
      <c r="P628" s="141">
        <f t="shared" si="339"/>
        <v>0</v>
      </c>
      <c r="Q628" s="141">
        <f t="shared" si="339"/>
        <v>0</v>
      </c>
    </row>
    <row r="629" spans="1:17" ht="35.25" customHeight="1">
      <c r="A629" s="190" t="s">
        <v>588</v>
      </c>
      <c r="B629" s="87" t="s">
        <v>587</v>
      </c>
      <c r="C629" s="159" t="s">
        <v>378</v>
      </c>
      <c r="D629" s="50">
        <f t="shared" ref="D629:Q629" si="340">D630+D644</f>
        <v>39266</v>
      </c>
      <c r="E629" s="50">
        <f t="shared" si="340"/>
        <v>55246</v>
      </c>
      <c r="F629" s="50">
        <f t="shared" si="340"/>
        <v>62006</v>
      </c>
      <c r="G629" s="50">
        <f t="shared" si="340"/>
        <v>77532</v>
      </c>
      <c r="H629" s="50">
        <f t="shared" si="340"/>
        <v>0</v>
      </c>
      <c r="I629" s="50">
        <f t="shared" si="340"/>
        <v>0</v>
      </c>
      <c r="J629" s="146">
        <f t="shared" si="340"/>
        <v>38198.660000000003</v>
      </c>
      <c r="K629" s="146">
        <f>K630+K644</f>
        <v>19688.659999999996</v>
      </c>
      <c r="L629" s="146">
        <f>L630+L644</f>
        <v>16106</v>
      </c>
      <c r="M629" s="146">
        <f>M630+M644</f>
        <v>1150</v>
      </c>
      <c r="N629" s="146">
        <f>N630+N644</f>
        <v>1254</v>
      </c>
      <c r="O629" s="146">
        <f t="shared" si="340"/>
        <v>59012</v>
      </c>
      <c r="P629" s="146">
        <f t="shared" si="340"/>
        <v>61074</v>
      </c>
      <c r="Q629" s="146">
        <f t="shared" si="340"/>
        <v>54403</v>
      </c>
    </row>
    <row r="630" spans="1:17" ht="14.25">
      <c r="A630" s="90"/>
      <c r="B630" s="80" t="s">
        <v>179</v>
      </c>
      <c r="C630" s="159"/>
      <c r="D630" s="50">
        <f t="shared" ref="D630:Q630" si="341">D631</f>
        <v>38905</v>
      </c>
      <c r="E630" s="50">
        <f t="shared" si="341"/>
        <v>53000</v>
      </c>
      <c r="F630" s="50">
        <f t="shared" si="341"/>
        <v>59760</v>
      </c>
      <c r="G630" s="50">
        <f t="shared" si="341"/>
        <v>74172</v>
      </c>
      <c r="H630" s="50">
        <f t="shared" si="341"/>
        <v>0</v>
      </c>
      <c r="I630" s="50">
        <f t="shared" si="341"/>
        <v>0</v>
      </c>
      <c r="J630" s="146">
        <f t="shared" si="341"/>
        <v>36622.660000000003</v>
      </c>
      <c r="K630" s="146">
        <f t="shared" si="341"/>
        <v>18112.659999999996</v>
      </c>
      <c r="L630" s="146">
        <f t="shared" si="341"/>
        <v>16106</v>
      </c>
      <c r="M630" s="146">
        <f t="shared" si="341"/>
        <v>1150</v>
      </c>
      <c r="N630" s="146">
        <f t="shared" si="341"/>
        <v>1254</v>
      </c>
      <c r="O630" s="146">
        <f t="shared" si="341"/>
        <v>59012</v>
      </c>
      <c r="P630" s="146">
        <f t="shared" si="341"/>
        <v>61074</v>
      </c>
      <c r="Q630" s="146">
        <f t="shared" si="341"/>
        <v>54403</v>
      </c>
    </row>
    <row r="631" spans="1:17" ht="15">
      <c r="A631" s="90"/>
      <c r="B631" s="89" t="s">
        <v>180</v>
      </c>
      <c r="C631" s="47">
        <v>1</v>
      </c>
      <c r="D631" s="36">
        <f t="shared" ref="D631:Q631" si="342">D632+D633+D634+D637</f>
        <v>38905</v>
      </c>
      <c r="E631" s="36">
        <f t="shared" si="342"/>
        <v>53000</v>
      </c>
      <c r="F631" s="36">
        <f t="shared" si="342"/>
        <v>59760</v>
      </c>
      <c r="G631" s="36">
        <f t="shared" si="342"/>
        <v>74172</v>
      </c>
      <c r="H631" s="36">
        <f t="shared" si="342"/>
        <v>0</v>
      </c>
      <c r="I631" s="36">
        <f t="shared" si="342"/>
        <v>0</v>
      </c>
      <c r="J631" s="141">
        <f t="shared" si="342"/>
        <v>36622.660000000003</v>
      </c>
      <c r="K631" s="141">
        <f>K632+K633+K634+K637</f>
        <v>18112.659999999996</v>
      </c>
      <c r="L631" s="141">
        <f>L632+L633+L634+L637</f>
        <v>16106</v>
      </c>
      <c r="M631" s="141">
        <f>M632+M633+M634+M637</f>
        <v>1150</v>
      </c>
      <c r="N631" s="141">
        <f>N632+N633+N634+N637</f>
        <v>1254</v>
      </c>
      <c r="O631" s="141">
        <f t="shared" si="342"/>
        <v>59012</v>
      </c>
      <c r="P631" s="141">
        <f t="shared" si="342"/>
        <v>61074</v>
      </c>
      <c r="Q631" s="141">
        <f t="shared" si="342"/>
        <v>54403</v>
      </c>
    </row>
    <row r="632" spans="1:17" ht="15.75" customHeight="1">
      <c r="A632" s="90"/>
      <c r="B632" s="89" t="s">
        <v>181</v>
      </c>
      <c r="C632" s="47">
        <v>10</v>
      </c>
      <c r="D632" s="37">
        <v>29988</v>
      </c>
      <c r="E632" s="37">
        <f>44500-500</f>
        <v>44000</v>
      </c>
      <c r="F632" s="32">
        <v>49560</v>
      </c>
      <c r="G632" s="32">
        <v>62000</v>
      </c>
      <c r="H632" s="32"/>
      <c r="I632" s="37"/>
      <c r="J632" s="137">
        <f>55000-20000-5716+500+216+4.22+4.22+4.22</f>
        <v>30012.660000000003</v>
      </c>
      <c r="K632" s="137">
        <f>10980+4.22+5016+4+4.22+4.22</f>
        <v>16012.659999999998</v>
      </c>
      <c r="L632" s="137">
        <f>8225+5775</f>
        <v>14000</v>
      </c>
      <c r="M632" s="137"/>
      <c r="N632" s="137"/>
      <c r="O632" s="137">
        <f>60000-10688</f>
        <v>49312</v>
      </c>
      <c r="P632" s="137">
        <f>60000-8626</f>
        <v>51374</v>
      </c>
      <c r="Q632" s="137">
        <f>60000-15297</f>
        <v>44703</v>
      </c>
    </row>
    <row r="633" spans="1:17" ht="14.25" customHeight="1">
      <c r="A633" s="90"/>
      <c r="B633" s="89" t="s">
        <v>182</v>
      </c>
      <c r="C633" s="47">
        <v>20</v>
      </c>
      <c r="D633" s="37">
        <v>8334</v>
      </c>
      <c r="E633" s="37">
        <v>8200</v>
      </c>
      <c r="F633" s="32">
        <v>9400</v>
      </c>
      <c r="G633" s="32">
        <v>11346</v>
      </c>
      <c r="H633" s="32"/>
      <c r="I633" s="37"/>
      <c r="J633" s="137">
        <f>6000-300</f>
        <v>5700</v>
      </c>
      <c r="K633" s="137">
        <v>1800</v>
      </c>
      <c r="L633" s="137">
        <f>1106+700</f>
        <v>1806</v>
      </c>
      <c r="M633" s="137">
        <f>1300-300</f>
        <v>1000</v>
      </c>
      <c r="N633" s="137">
        <f>1494-400</f>
        <v>1094</v>
      </c>
      <c r="O633" s="137">
        <v>8500</v>
      </c>
      <c r="P633" s="137">
        <v>8500</v>
      </c>
      <c r="Q633" s="137">
        <v>8500</v>
      </c>
    </row>
    <row r="634" spans="1:17" ht="15.75" customHeight="1">
      <c r="A634" s="90"/>
      <c r="B634" s="89" t="s">
        <v>294</v>
      </c>
      <c r="C634" s="47">
        <v>57</v>
      </c>
      <c r="D634" s="37">
        <v>583</v>
      </c>
      <c r="E634" s="37">
        <v>800</v>
      </c>
      <c r="F634" s="32">
        <v>800</v>
      </c>
      <c r="G634" s="32">
        <v>826</v>
      </c>
      <c r="H634" s="32"/>
      <c r="I634" s="37"/>
      <c r="J634" s="137">
        <f>826-216</f>
        <v>610</v>
      </c>
      <c r="K634" s="137">
        <v>150</v>
      </c>
      <c r="L634" s="137">
        <v>150</v>
      </c>
      <c r="M634" s="137">
        <v>150</v>
      </c>
      <c r="N634" s="137">
        <v>160</v>
      </c>
      <c r="O634" s="137">
        <v>900</v>
      </c>
      <c r="P634" s="137">
        <v>900</v>
      </c>
      <c r="Q634" s="137">
        <v>900</v>
      </c>
    </row>
    <row r="635" spans="1:17" ht="0.75" customHeight="1">
      <c r="A635" s="90"/>
      <c r="B635" s="89" t="s">
        <v>203</v>
      </c>
      <c r="C635" s="47" t="s">
        <v>308</v>
      </c>
      <c r="D635" s="37"/>
      <c r="E635" s="37"/>
      <c r="F635" s="32"/>
      <c r="G635" s="32"/>
      <c r="H635" s="32"/>
      <c r="I635" s="37"/>
      <c r="J635" s="137"/>
      <c r="K635" s="137" t="s">
        <v>526</v>
      </c>
      <c r="L635" s="137"/>
      <c r="M635" s="137"/>
      <c r="N635" s="137"/>
      <c r="O635" s="137"/>
      <c r="P635" s="137"/>
      <c r="Q635" s="137"/>
    </row>
    <row r="636" spans="1:17" ht="0.75" customHeight="1">
      <c r="A636" s="90"/>
      <c r="B636" s="89" t="s">
        <v>379</v>
      </c>
      <c r="C636" s="47" t="s">
        <v>319</v>
      </c>
      <c r="D636" s="37"/>
      <c r="E636" s="37"/>
      <c r="F636" s="32"/>
      <c r="G636" s="32"/>
      <c r="H636" s="32"/>
      <c r="I636" s="37"/>
      <c r="J636" s="137"/>
      <c r="K636" s="137"/>
      <c r="L636" s="137"/>
      <c r="M636" s="137"/>
      <c r="N636" s="137"/>
      <c r="O636" s="137"/>
      <c r="P636" s="137"/>
      <c r="Q636" s="137"/>
    </row>
    <row r="637" spans="1:17" ht="17.25" customHeight="1">
      <c r="A637" s="90"/>
      <c r="B637" s="89" t="s">
        <v>380</v>
      </c>
      <c r="C637" s="47">
        <v>59</v>
      </c>
      <c r="D637" s="37"/>
      <c r="E637" s="37"/>
      <c r="F637" s="32"/>
      <c r="G637" s="32"/>
      <c r="H637" s="32"/>
      <c r="I637" s="37"/>
      <c r="J637" s="137">
        <v>300</v>
      </c>
      <c r="K637" s="137">
        <v>150</v>
      </c>
      <c r="L637" s="137">
        <v>150</v>
      </c>
      <c r="M637" s="137"/>
      <c r="N637" s="137"/>
      <c r="O637" s="137">
        <v>300</v>
      </c>
      <c r="P637" s="137">
        <v>300</v>
      </c>
      <c r="Q637" s="137">
        <v>300</v>
      </c>
    </row>
    <row r="638" spans="1:17" ht="18" hidden="1" customHeight="1">
      <c r="A638" s="90"/>
      <c r="B638" s="89" t="s">
        <v>190</v>
      </c>
      <c r="C638" s="47"/>
      <c r="D638" s="37"/>
      <c r="E638" s="37"/>
      <c r="F638" s="32"/>
      <c r="G638" s="32"/>
      <c r="H638" s="32"/>
      <c r="I638" s="37"/>
      <c r="J638" s="137"/>
      <c r="K638" s="137"/>
      <c r="L638" s="137"/>
      <c r="M638" s="137"/>
      <c r="N638" s="137"/>
      <c r="O638" s="137"/>
      <c r="P638" s="137"/>
      <c r="Q638" s="137"/>
    </row>
    <row r="639" spans="1:17" ht="14.25">
      <c r="A639" s="191" t="s">
        <v>589</v>
      </c>
      <c r="B639" s="82" t="s">
        <v>381</v>
      </c>
      <c r="C639" s="159" t="s">
        <v>378</v>
      </c>
      <c r="D639" s="50">
        <f t="shared" ref="D639:Q639" si="343">D640+D641</f>
        <v>99152</v>
      </c>
      <c r="E639" s="50">
        <f t="shared" si="343"/>
        <v>95512</v>
      </c>
      <c r="F639" s="50">
        <f t="shared" si="343"/>
        <v>102784</v>
      </c>
      <c r="G639" s="50">
        <f t="shared" si="343"/>
        <v>152770</v>
      </c>
      <c r="H639" s="50">
        <f t="shared" si="343"/>
        <v>0</v>
      </c>
      <c r="I639" s="50">
        <f t="shared" si="343"/>
        <v>0</v>
      </c>
      <c r="J639" s="146">
        <f t="shared" si="343"/>
        <v>135158</v>
      </c>
      <c r="K639" s="146">
        <f>K640+K641</f>
        <v>32178</v>
      </c>
      <c r="L639" s="146">
        <f>L640+L641</f>
        <v>35727</v>
      </c>
      <c r="M639" s="146">
        <f>M640+M641</f>
        <v>43266</v>
      </c>
      <c r="N639" s="146">
        <f>N640+N641</f>
        <v>23987</v>
      </c>
      <c r="O639" s="146">
        <f t="shared" si="343"/>
        <v>138000</v>
      </c>
      <c r="P639" s="146">
        <f t="shared" si="343"/>
        <v>140000</v>
      </c>
      <c r="Q639" s="146">
        <f t="shared" si="343"/>
        <v>141000</v>
      </c>
    </row>
    <row r="640" spans="1:17" ht="12" customHeight="1">
      <c r="A640" s="90"/>
      <c r="B640" s="89" t="s">
        <v>382</v>
      </c>
      <c r="C640" s="47">
        <v>20</v>
      </c>
      <c r="D640" s="37">
        <v>678</v>
      </c>
      <c r="E640" s="37">
        <v>700</v>
      </c>
      <c r="F640" s="32">
        <v>687</v>
      </c>
      <c r="G640" s="32">
        <v>850</v>
      </c>
      <c r="H640" s="32"/>
      <c r="I640" s="37"/>
      <c r="J640" s="137">
        <v>850</v>
      </c>
      <c r="K640" s="137">
        <v>210</v>
      </c>
      <c r="L640" s="137">
        <v>230</v>
      </c>
      <c r="M640" s="137">
        <v>280</v>
      </c>
      <c r="N640" s="137">
        <v>130</v>
      </c>
      <c r="O640" s="137">
        <v>1000</v>
      </c>
      <c r="P640" s="137">
        <v>1000</v>
      </c>
      <c r="Q640" s="137">
        <v>1000</v>
      </c>
    </row>
    <row r="641" spans="1:17" ht="15.75" customHeight="1">
      <c r="A641" s="90"/>
      <c r="B641" s="89" t="s">
        <v>383</v>
      </c>
      <c r="C641" s="159">
        <v>57.02</v>
      </c>
      <c r="D641" s="36">
        <f t="shared" ref="D641:Q641" si="344">D642+D643</f>
        <v>98474</v>
      </c>
      <c r="E641" s="36">
        <f t="shared" si="344"/>
        <v>94812</v>
      </c>
      <c r="F641" s="36">
        <f t="shared" si="344"/>
        <v>102097</v>
      </c>
      <c r="G641" s="36">
        <f t="shared" si="344"/>
        <v>151920</v>
      </c>
      <c r="H641" s="36">
        <f t="shared" si="344"/>
        <v>0</v>
      </c>
      <c r="I641" s="36">
        <f t="shared" si="344"/>
        <v>0</v>
      </c>
      <c r="J641" s="141">
        <f t="shared" si="344"/>
        <v>134308</v>
      </c>
      <c r="K641" s="141">
        <f>K642+K643</f>
        <v>31968</v>
      </c>
      <c r="L641" s="141">
        <f>L642+L643</f>
        <v>35497</v>
      </c>
      <c r="M641" s="141">
        <f>M642+M643</f>
        <v>42986</v>
      </c>
      <c r="N641" s="141">
        <f>N642+N643</f>
        <v>23857</v>
      </c>
      <c r="O641" s="141">
        <f t="shared" si="344"/>
        <v>137000</v>
      </c>
      <c r="P641" s="141">
        <f t="shared" si="344"/>
        <v>139000</v>
      </c>
      <c r="Q641" s="141">
        <f t="shared" si="344"/>
        <v>140000</v>
      </c>
    </row>
    <row r="642" spans="1:17" ht="19.5" customHeight="1">
      <c r="A642" s="90"/>
      <c r="B642" s="89" t="s">
        <v>203</v>
      </c>
      <c r="C642" s="47" t="s">
        <v>308</v>
      </c>
      <c r="D642" s="37">
        <v>97297</v>
      </c>
      <c r="E642" s="37">
        <v>93412</v>
      </c>
      <c r="F642" s="32">
        <v>100807</v>
      </c>
      <c r="G642" s="32">
        <v>150120</v>
      </c>
      <c r="H642" s="32"/>
      <c r="I642" s="37"/>
      <c r="J642" s="137">
        <v>133000</v>
      </c>
      <c r="K642" s="137">
        <v>31548</v>
      </c>
      <c r="L642" s="137">
        <v>35047</v>
      </c>
      <c r="M642" s="137">
        <v>42548</v>
      </c>
      <c r="N642" s="137">
        <v>23857</v>
      </c>
      <c r="O642" s="137">
        <v>135000</v>
      </c>
      <c r="P642" s="137">
        <v>137000</v>
      </c>
      <c r="Q642" s="137">
        <v>138000</v>
      </c>
    </row>
    <row r="643" spans="1:17" ht="17.25" customHeight="1">
      <c r="A643" s="90"/>
      <c r="B643" s="89" t="s">
        <v>384</v>
      </c>
      <c r="C643" s="47" t="s">
        <v>385</v>
      </c>
      <c r="D643" s="37">
        <v>1177</v>
      </c>
      <c r="E643" s="37">
        <v>1400</v>
      </c>
      <c r="F643" s="32">
        <v>1290</v>
      </c>
      <c r="G643" s="32">
        <v>1800</v>
      </c>
      <c r="H643" s="32"/>
      <c r="I643" s="37"/>
      <c r="J643" s="137">
        <v>1308</v>
      </c>
      <c r="K643" s="137">
        <v>420</v>
      </c>
      <c r="L643" s="137">
        <v>450</v>
      </c>
      <c r="M643" s="137">
        <v>438</v>
      </c>
      <c r="N643" s="137"/>
      <c r="O643" s="137">
        <v>2000</v>
      </c>
      <c r="P643" s="137">
        <v>2000</v>
      </c>
      <c r="Q643" s="137">
        <v>2000</v>
      </c>
    </row>
    <row r="644" spans="1:17" ht="15" customHeight="1">
      <c r="A644" s="90"/>
      <c r="B644" s="82" t="s">
        <v>191</v>
      </c>
      <c r="C644" s="47"/>
      <c r="D644" s="50">
        <f t="shared" ref="D644:Q644" si="345">D645+D649+D650</f>
        <v>361</v>
      </c>
      <c r="E644" s="50">
        <f t="shared" si="345"/>
        <v>2246</v>
      </c>
      <c r="F644" s="50">
        <f t="shared" si="345"/>
        <v>2246</v>
      </c>
      <c r="G644" s="50">
        <f t="shared" si="345"/>
        <v>3360</v>
      </c>
      <c r="H644" s="50">
        <f t="shared" si="345"/>
        <v>0</v>
      </c>
      <c r="I644" s="50">
        <f t="shared" si="345"/>
        <v>0</v>
      </c>
      <c r="J644" s="146">
        <f t="shared" si="345"/>
        <v>1576</v>
      </c>
      <c r="K644" s="146">
        <f>K645+K649+K650</f>
        <v>1576</v>
      </c>
      <c r="L644" s="146">
        <f>L645+L649+L650</f>
        <v>0</v>
      </c>
      <c r="M644" s="146">
        <f>M645+M649+M650</f>
        <v>0</v>
      </c>
      <c r="N644" s="146">
        <f>N645+N649+N650</f>
        <v>0</v>
      </c>
      <c r="O644" s="146">
        <f t="shared" si="345"/>
        <v>0</v>
      </c>
      <c r="P644" s="146">
        <f t="shared" si="345"/>
        <v>0</v>
      </c>
      <c r="Q644" s="146">
        <f t="shared" si="345"/>
        <v>0</v>
      </c>
    </row>
    <row r="645" spans="1:17" ht="11.25" hidden="1" customHeight="1">
      <c r="A645" s="90"/>
      <c r="B645" s="89" t="s">
        <v>200</v>
      </c>
      <c r="C645" s="159">
        <v>56.01</v>
      </c>
      <c r="D645" s="44">
        <f>D646+D647+D648</f>
        <v>0</v>
      </c>
      <c r="E645" s="44">
        <f>E646+E647+E648</f>
        <v>0</v>
      </c>
      <c r="F645" s="32"/>
      <c r="G645" s="32"/>
      <c r="H645" s="32"/>
      <c r="I645" s="44">
        <f>I646+I647+I648</f>
        <v>0</v>
      </c>
      <c r="J645" s="137"/>
      <c r="K645" s="137"/>
      <c r="L645" s="137"/>
      <c r="M645" s="137"/>
      <c r="N645" s="137"/>
      <c r="O645" s="137"/>
      <c r="P645" s="137"/>
      <c r="Q645" s="137"/>
    </row>
    <row r="646" spans="1:17" ht="12.75" hidden="1" customHeight="1">
      <c r="A646" s="90"/>
      <c r="B646" s="89" t="s">
        <v>386</v>
      </c>
      <c r="C646" s="47" t="s">
        <v>233</v>
      </c>
      <c r="D646" s="37">
        <v>0</v>
      </c>
      <c r="E646" s="37">
        <v>0</v>
      </c>
      <c r="F646" s="32"/>
      <c r="G646" s="32"/>
      <c r="H646" s="32"/>
      <c r="I646" s="37">
        <v>0</v>
      </c>
      <c r="J646" s="137"/>
      <c r="K646" s="137"/>
      <c r="L646" s="137"/>
      <c r="M646" s="137"/>
      <c r="N646" s="137"/>
      <c r="O646" s="137"/>
      <c r="P646" s="137"/>
      <c r="Q646" s="137"/>
    </row>
    <row r="647" spans="1:17" ht="13.5" hidden="1" customHeight="1">
      <c r="A647" s="90"/>
      <c r="B647" s="89" t="s">
        <v>234</v>
      </c>
      <c r="C647" s="47" t="s">
        <v>235</v>
      </c>
      <c r="D647" s="37">
        <v>0</v>
      </c>
      <c r="E647" s="37">
        <v>0</v>
      </c>
      <c r="F647" s="32"/>
      <c r="G647" s="32"/>
      <c r="H647" s="32"/>
      <c r="I647" s="37">
        <v>0</v>
      </c>
      <c r="J647" s="137"/>
      <c r="K647" s="137"/>
      <c r="L647" s="137"/>
      <c r="M647" s="137"/>
      <c r="N647" s="137"/>
      <c r="O647" s="137"/>
      <c r="P647" s="137"/>
      <c r="Q647" s="137"/>
    </row>
    <row r="648" spans="1:17" ht="12.75" hidden="1" customHeight="1">
      <c r="A648" s="90"/>
      <c r="B648" s="89" t="s">
        <v>239</v>
      </c>
      <c r="C648" s="47" t="s">
        <v>237</v>
      </c>
      <c r="D648" s="37">
        <v>0</v>
      </c>
      <c r="E648" s="37">
        <v>0</v>
      </c>
      <c r="F648" s="32"/>
      <c r="G648" s="32"/>
      <c r="H648" s="32"/>
      <c r="I648" s="37">
        <v>0</v>
      </c>
      <c r="J648" s="137"/>
      <c r="K648" s="137"/>
      <c r="L648" s="137"/>
      <c r="M648" s="137"/>
      <c r="N648" s="137"/>
      <c r="O648" s="137"/>
      <c r="P648" s="137"/>
      <c r="Q648" s="137"/>
    </row>
    <row r="649" spans="1:17" ht="0.75" customHeight="1">
      <c r="A649" s="90"/>
      <c r="B649" s="89" t="s">
        <v>200</v>
      </c>
      <c r="C649" s="159" t="s">
        <v>387</v>
      </c>
      <c r="D649" s="44">
        <v>0</v>
      </c>
      <c r="E649" s="44">
        <v>0</v>
      </c>
      <c r="F649" s="32"/>
      <c r="G649" s="32"/>
      <c r="H649" s="32"/>
      <c r="I649" s="44">
        <v>0</v>
      </c>
      <c r="J649" s="137"/>
      <c r="K649" s="137"/>
      <c r="L649" s="137"/>
      <c r="M649" s="137"/>
      <c r="N649" s="137"/>
      <c r="O649" s="137"/>
      <c r="P649" s="137"/>
      <c r="Q649" s="137"/>
    </row>
    <row r="650" spans="1:17" ht="18.75" customHeight="1">
      <c r="A650" s="90"/>
      <c r="B650" s="89" t="s">
        <v>220</v>
      </c>
      <c r="C650" s="159">
        <v>70</v>
      </c>
      <c r="D650" s="50">
        <f t="shared" ref="D650:Q650" si="346">D651+D652+D653+D654+D655</f>
        <v>361</v>
      </c>
      <c r="E650" s="50">
        <f t="shared" si="346"/>
        <v>2246</v>
      </c>
      <c r="F650" s="50">
        <f t="shared" si="346"/>
        <v>2246</v>
      </c>
      <c r="G650" s="50">
        <f t="shared" si="346"/>
        <v>3360</v>
      </c>
      <c r="H650" s="50">
        <f t="shared" si="346"/>
        <v>0</v>
      </c>
      <c r="I650" s="50">
        <f t="shared" si="346"/>
        <v>0</v>
      </c>
      <c r="J650" s="146">
        <f t="shared" si="346"/>
        <v>1576</v>
      </c>
      <c r="K650" s="146">
        <f>K651+K652+K653+K654+K655</f>
        <v>1576</v>
      </c>
      <c r="L650" s="146">
        <f>L651+L652+L653+L654+L655</f>
        <v>0</v>
      </c>
      <c r="M650" s="146">
        <f>M651+M652+M653+M654+M655</f>
        <v>0</v>
      </c>
      <c r="N650" s="146">
        <f>N651+N652+N653+N654+N655</f>
        <v>0</v>
      </c>
      <c r="O650" s="146">
        <f t="shared" si="346"/>
        <v>0</v>
      </c>
      <c r="P650" s="146">
        <f t="shared" si="346"/>
        <v>0</v>
      </c>
      <c r="Q650" s="146">
        <f t="shared" si="346"/>
        <v>0</v>
      </c>
    </row>
    <row r="651" spans="1:17" ht="0.75" customHeight="1">
      <c r="A651" s="90"/>
      <c r="B651" s="89" t="s">
        <v>221</v>
      </c>
      <c r="C651" s="47" t="s">
        <v>222</v>
      </c>
      <c r="D651" s="37">
        <v>0</v>
      </c>
      <c r="E651" s="37">
        <v>0</v>
      </c>
      <c r="F651" s="32">
        <v>1000</v>
      </c>
      <c r="G651" s="32">
        <v>707</v>
      </c>
      <c r="H651" s="32"/>
      <c r="I651" s="37">
        <v>0</v>
      </c>
      <c r="J651" s="137">
        <v>1072</v>
      </c>
      <c r="K651" s="137">
        <v>1072</v>
      </c>
      <c r="L651" s="137"/>
      <c r="M651" s="137"/>
      <c r="N651" s="137"/>
      <c r="O651" s="137"/>
      <c r="P651" s="137"/>
      <c r="Q651" s="137"/>
    </row>
    <row r="652" spans="1:17" ht="16.5" hidden="1" customHeight="1">
      <c r="A652" s="90"/>
      <c r="B652" s="89" t="s">
        <v>279</v>
      </c>
      <c r="C652" s="47" t="s">
        <v>224</v>
      </c>
      <c r="D652" s="37">
        <v>0</v>
      </c>
      <c r="E652" s="37">
        <v>0</v>
      </c>
      <c r="F652" s="32">
        <v>303</v>
      </c>
      <c r="G652" s="32">
        <v>341</v>
      </c>
      <c r="H652" s="32"/>
      <c r="I652" s="37">
        <v>0</v>
      </c>
      <c r="J652" s="137">
        <v>0</v>
      </c>
      <c r="K652" s="137"/>
      <c r="L652" s="137"/>
      <c r="M652" s="137"/>
      <c r="N652" s="137"/>
      <c r="O652" s="137"/>
      <c r="P652" s="137"/>
      <c r="Q652" s="137"/>
    </row>
    <row r="653" spans="1:17" ht="16.5" hidden="1" customHeight="1">
      <c r="A653" s="90"/>
      <c r="B653" s="89" t="s">
        <v>388</v>
      </c>
      <c r="C653" s="47" t="s">
        <v>226</v>
      </c>
      <c r="D653" s="37">
        <v>0</v>
      </c>
      <c r="E653" s="37">
        <v>0</v>
      </c>
      <c r="F653" s="32">
        <v>9</v>
      </c>
      <c r="G653" s="32">
        <v>37</v>
      </c>
      <c r="H653" s="32"/>
      <c r="I653" s="37">
        <v>0</v>
      </c>
      <c r="J653" s="137">
        <v>0</v>
      </c>
      <c r="K653" s="137"/>
      <c r="L653" s="137"/>
      <c r="M653" s="137"/>
      <c r="N653" s="137"/>
      <c r="O653" s="137"/>
      <c r="P653" s="137"/>
      <c r="Q653" s="137"/>
    </row>
    <row r="654" spans="1:17" ht="15.75" hidden="1" customHeight="1">
      <c r="A654" s="90"/>
      <c r="B654" s="89" t="s">
        <v>227</v>
      </c>
      <c r="C654" s="47" t="s">
        <v>228</v>
      </c>
      <c r="D654" s="37">
        <v>361</v>
      </c>
      <c r="E654" s="37">
        <f>1179+1067</f>
        <v>2246</v>
      </c>
      <c r="F654" s="32">
        <v>878</v>
      </c>
      <c r="G654" s="32">
        <v>940</v>
      </c>
      <c r="H654" s="32"/>
      <c r="I654" s="37"/>
      <c r="J654" s="137">
        <f>504</f>
        <v>504</v>
      </c>
      <c r="K654" s="137">
        <v>504</v>
      </c>
      <c r="L654" s="137"/>
      <c r="M654" s="137"/>
      <c r="N654" s="137"/>
      <c r="O654" s="137"/>
      <c r="P654" s="137"/>
      <c r="Q654" s="137"/>
    </row>
    <row r="655" spans="1:17" ht="0.75" hidden="1" customHeight="1">
      <c r="A655" s="90"/>
      <c r="B655" s="89" t="s">
        <v>229</v>
      </c>
      <c r="C655" s="47">
        <v>71.03</v>
      </c>
      <c r="D655" s="37">
        <v>0</v>
      </c>
      <c r="E655" s="37">
        <v>0</v>
      </c>
      <c r="F655" s="32">
        <v>56</v>
      </c>
      <c r="G655" s="32">
        <v>1335</v>
      </c>
      <c r="H655" s="32"/>
      <c r="I655" s="37">
        <v>0</v>
      </c>
      <c r="J655" s="137">
        <v>0</v>
      </c>
      <c r="K655" s="137">
        <v>0</v>
      </c>
      <c r="L655" s="137">
        <v>0</v>
      </c>
      <c r="M655" s="137">
        <v>0</v>
      </c>
      <c r="N655" s="137">
        <v>0</v>
      </c>
      <c r="O655" s="137"/>
      <c r="P655" s="137"/>
      <c r="Q655" s="137"/>
    </row>
    <row r="656" spans="1:17" ht="30.75" customHeight="1">
      <c r="A656" s="90" t="s">
        <v>389</v>
      </c>
      <c r="B656" s="87" t="s">
        <v>565</v>
      </c>
      <c r="C656" s="47" t="s">
        <v>390</v>
      </c>
      <c r="D656" s="50">
        <f t="shared" ref="D656:Q660" si="347">D663+D670+D677+D698+D717+D705+D684+D691+D710</f>
        <v>21108</v>
      </c>
      <c r="E656" s="50">
        <f t="shared" si="347"/>
        <v>33423</v>
      </c>
      <c r="F656" s="50">
        <f t="shared" si="347"/>
        <v>31805.11</v>
      </c>
      <c r="G656" s="50">
        <f t="shared" si="347"/>
        <v>38282</v>
      </c>
      <c r="H656" s="50">
        <f t="shared" si="347"/>
        <v>0</v>
      </c>
      <c r="I656" s="50">
        <f t="shared" si="347"/>
        <v>163</v>
      </c>
      <c r="J656" s="146">
        <f t="shared" si="347"/>
        <v>30731</v>
      </c>
      <c r="K656" s="146">
        <f t="shared" ref="K656:N660" si="348">K663+K670+K677+K698+K717+K705+K684+K691+K710</f>
        <v>10031</v>
      </c>
      <c r="L656" s="146">
        <f t="shared" si="348"/>
        <v>9670</v>
      </c>
      <c r="M656" s="146">
        <f t="shared" si="348"/>
        <v>9470</v>
      </c>
      <c r="N656" s="146">
        <f t="shared" si="348"/>
        <v>1560</v>
      </c>
      <c r="O656" s="146">
        <f t="shared" si="347"/>
        <v>31150</v>
      </c>
      <c r="P656" s="146">
        <f t="shared" si="347"/>
        <v>31150</v>
      </c>
      <c r="Q656" s="146">
        <f t="shared" si="347"/>
        <v>31215</v>
      </c>
    </row>
    <row r="657" spans="1:17" ht="14.25">
      <c r="A657" s="90"/>
      <c r="B657" s="80" t="s">
        <v>179</v>
      </c>
      <c r="C657" s="47"/>
      <c r="D657" s="50">
        <f t="shared" si="347"/>
        <v>20792</v>
      </c>
      <c r="E657" s="50">
        <f t="shared" si="347"/>
        <v>33045</v>
      </c>
      <c r="F657" s="50">
        <f t="shared" si="347"/>
        <v>31498.11</v>
      </c>
      <c r="G657" s="50">
        <f t="shared" si="347"/>
        <v>37808</v>
      </c>
      <c r="H657" s="50">
        <f t="shared" si="347"/>
        <v>0</v>
      </c>
      <c r="I657" s="50">
        <f t="shared" si="347"/>
        <v>0</v>
      </c>
      <c r="J657" s="146">
        <f t="shared" si="347"/>
        <v>30550</v>
      </c>
      <c r="K657" s="146">
        <f t="shared" si="348"/>
        <v>9850</v>
      </c>
      <c r="L657" s="146">
        <f t="shared" si="348"/>
        <v>9670</v>
      </c>
      <c r="M657" s="146">
        <f t="shared" si="348"/>
        <v>9470</v>
      </c>
      <c r="N657" s="146">
        <f t="shared" si="348"/>
        <v>1560</v>
      </c>
      <c r="O657" s="146">
        <f t="shared" si="347"/>
        <v>31150</v>
      </c>
      <c r="P657" s="146">
        <f t="shared" si="347"/>
        <v>31150</v>
      </c>
      <c r="Q657" s="146">
        <f t="shared" si="347"/>
        <v>31215</v>
      </c>
    </row>
    <row r="658" spans="1:17" ht="14.25">
      <c r="A658" s="90"/>
      <c r="B658" s="82" t="s">
        <v>180</v>
      </c>
      <c r="C658" s="159">
        <v>1</v>
      </c>
      <c r="D658" s="50">
        <f t="shared" si="347"/>
        <v>20792</v>
      </c>
      <c r="E658" s="50">
        <f t="shared" si="347"/>
        <v>33045</v>
      </c>
      <c r="F658" s="50">
        <f t="shared" si="347"/>
        <v>31498.11</v>
      </c>
      <c r="G658" s="50">
        <f t="shared" si="347"/>
        <v>37808</v>
      </c>
      <c r="H658" s="50">
        <f t="shared" si="347"/>
        <v>0</v>
      </c>
      <c r="I658" s="50">
        <f t="shared" si="347"/>
        <v>0</v>
      </c>
      <c r="J658" s="146">
        <f t="shared" si="347"/>
        <v>30550</v>
      </c>
      <c r="K658" s="146">
        <f t="shared" si="348"/>
        <v>9850</v>
      </c>
      <c r="L658" s="146">
        <f t="shared" si="348"/>
        <v>9670</v>
      </c>
      <c r="M658" s="146">
        <f t="shared" si="348"/>
        <v>9470</v>
      </c>
      <c r="N658" s="146">
        <f t="shared" si="348"/>
        <v>1560</v>
      </c>
      <c r="O658" s="146">
        <f t="shared" si="347"/>
        <v>31150</v>
      </c>
      <c r="P658" s="146">
        <f t="shared" si="347"/>
        <v>31150</v>
      </c>
      <c r="Q658" s="146">
        <f t="shared" si="347"/>
        <v>31215</v>
      </c>
    </row>
    <row r="659" spans="1:17" ht="14.25">
      <c r="A659" s="90"/>
      <c r="B659" s="82" t="s">
        <v>181</v>
      </c>
      <c r="C659" s="159">
        <v>10</v>
      </c>
      <c r="D659" s="50">
        <f t="shared" si="347"/>
        <v>14871</v>
      </c>
      <c r="E659" s="50">
        <f t="shared" si="347"/>
        <v>25297</v>
      </c>
      <c r="F659" s="50">
        <f t="shared" si="347"/>
        <v>24539.23</v>
      </c>
      <c r="G659" s="50">
        <f t="shared" si="347"/>
        <v>31764</v>
      </c>
      <c r="H659" s="50">
        <f t="shared" si="347"/>
        <v>0</v>
      </c>
      <c r="I659" s="50">
        <f t="shared" si="347"/>
        <v>0</v>
      </c>
      <c r="J659" s="146">
        <f t="shared" si="347"/>
        <v>24700</v>
      </c>
      <c r="K659" s="146">
        <f t="shared" si="348"/>
        <v>7710</v>
      </c>
      <c r="L659" s="146">
        <f t="shared" si="348"/>
        <v>7970</v>
      </c>
      <c r="M659" s="146">
        <f t="shared" si="348"/>
        <v>7770</v>
      </c>
      <c r="N659" s="146">
        <f t="shared" si="348"/>
        <v>1250</v>
      </c>
      <c r="O659" s="146">
        <f t="shared" si="347"/>
        <v>25250</v>
      </c>
      <c r="P659" s="146">
        <f t="shared" si="347"/>
        <v>25250</v>
      </c>
      <c r="Q659" s="146">
        <f t="shared" si="347"/>
        <v>25315</v>
      </c>
    </row>
    <row r="660" spans="1:17" ht="14.25">
      <c r="A660" s="90"/>
      <c r="B660" s="82" t="s">
        <v>182</v>
      </c>
      <c r="C660" s="159">
        <v>20</v>
      </c>
      <c r="D660" s="50">
        <f t="shared" si="347"/>
        <v>5921</v>
      </c>
      <c r="E660" s="50">
        <f t="shared" si="347"/>
        <v>7748</v>
      </c>
      <c r="F660" s="50">
        <f t="shared" si="347"/>
        <v>6958.88</v>
      </c>
      <c r="G660" s="50">
        <f t="shared" si="347"/>
        <v>6044</v>
      </c>
      <c r="H660" s="50">
        <f t="shared" si="347"/>
        <v>0</v>
      </c>
      <c r="I660" s="50">
        <f t="shared" si="347"/>
        <v>0</v>
      </c>
      <c r="J660" s="146">
        <f t="shared" si="347"/>
        <v>5850</v>
      </c>
      <c r="K660" s="146">
        <f t="shared" si="348"/>
        <v>2140</v>
      </c>
      <c r="L660" s="146">
        <f t="shared" si="348"/>
        <v>1700</v>
      </c>
      <c r="M660" s="146">
        <f t="shared" si="348"/>
        <v>1700</v>
      </c>
      <c r="N660" s="146">
        <f t="shared" si="348"/>
        <v>310</v>
      </c>
      <c r="O660" s="146">
        <f t="shared" si="347"/>
        <v>5900</v>
      </c>
      <c r="P660" s="146">
        <f t="shared" si="347"/>
        <v>5900</v>
      </c>
      <c r="Q660" s="146">
        <f t="shared" si="347"/>
        <v>5900</v>
      </c>
    </row>
    <row r="661" spans="1:17" ht="14.25">
      <c r="A661" s="90"/>
      <c r="B661" s="82" t="s">
        <v>191</v>
      </c>
      <c r="C661" s="159"/>
      <c r="D661" s="50">
        <f>D668+D675+D682+D703+D722+D696+D715+D689</f>
        <v>316</v>
      </c>
      <c r="E661" s="50">
        <f t="shared" ref="E661:Q662" si="349">E668+E675+E682+E703+E722+E696+E715+E689</f>
        <v>378</v>
      </c>
      <c r="F661" s="50">
        <f t="shared" si="349"/>
        <v>307</v>
      </c>
      <c r="G661" s="50">
        <f t="shared" si="349"/>
        <v>474</v>
      </c>
      <c r="H661" s="50">
        <f t="shared" si="349"/>
        <v>0</v>
      </c>
      <c r="I661" s="50">
        <f t="shared" si="349"/>
        <v>163</v>
      </c>
      <c r="J661" s="146">
        <f t="shared" si="349"/>
        <v>181</v>
      </c>
      <c r="K661" s="146">
        <f t="shared" ref="K661:N662" si="350">K668+K675+K682+K703+K722+K696+K715+K689</f>
        <v>181</v>
      </c>
      <c r="L661" s="146">
        <f t="shared" si="350"/>
        <v>0</v>
      </c>
      <c r="M661" s="146">
        <f t="shared" si="350"/>
        <v>0</v>
      </c>
      <c r="N661" s="146">
        <f t="shared" si="350"/>
        <v>0</v>
      </c>
      <c r="O661" s="146">
        <f t="shared" si="349"/>
        <v>0</v>
      </c>
      <c r="P661" s="146">
        <f t="shared" si="349"/>
        <v>0</v>
      </c>
      <c r="Q661" s="146">
        <f t="shared" si="349"/>
        <v>0</v>
      </c>
    </row>
    <row r="662" spans="1:17" ht="14.25">
      <c r="A662" s="90"/>
      <c r="B662" s="82" t="s">
        <v>220</v>
      </c>
      <c r="C662" s="159">
        <v>70</v>
      </c>
      <c r="D662" s="50">
        <f>D669+D676+D683+D704+D723+D697+D716+D690</f>
        <v>316</v>
      </c>
      <c r="E662" s="50">
        <f t="shared" si="349"/>
        <v>378</v>
      </c>
      <c r="F662" s="50">
        <f t="shared" si="349"/>
        <v>307</v>
      </c>
      <c r="G662" s="50">
        <f t="shared" si="349"/>
        <v>474</v>
      </c>
      <c r="H662" s="50">
        <f t="shared" si="349"/>
        <v>0</v>
      </c>
      <c r="I662" s="50">
        <f t="shared" si="349"/>
        <v>163</v>
      </c>
      <c r="J662" s="146">
        <f t="shared" si="349"/>
        <v>181</v>
      </c>
      <c r="K662" s="146">
        <f t="shared" si="350"/>
        <v>181</v>
      </c>
      <c r="L662" s="146">
        <f t="shared" si="350"/>
        <v>0</v>
      </c>
      <c r="M662" s="146">
        <f t="shared" si="350"/>
        <v>0</v>
      </c>
      <c r="N662" s="146">
        <f t="shared" si="350"/>
        <v>0</v>
      </c>
      <c r="O662" s="146">
        <f t="shared" si="349"/>
        <v>0</v>
      </c>
      <c r="P662" s="146">
        <f t="shared" si="349"/>
        <v>0</v>
      </c>
      <c r="Q662" s="146">
        <f t="shared" si="349"/>
        <v>0</v>
      </c>
    </row>
    <row r="663" spans="1:17" ht="28.5">
      <c r="A663" s="90" t="s">
        <v>391</v>
      </c>
      <c r="B663" s="109" t="s">
        <v>392</v>
      </c>
      <c r="C663" s="159" t="s">
        <v>393</v>
      </c>
      <c r="D663" s="50">
        <f t="shared" ref="D663:Q663" si="351">D664+D668</f>
        <v>5491</v>
      </c>
      <c r="E663" s="50">
        <f t="shared" si="351"/>
        <v>9343</v>
      </c>
      <c r="F663" s="50">
        <f t="shared" si="351"/>
        <v>8981</v>
      </c>
      <c r="G663" s="50">
        <f t="shared" si="351"/>
        <v>9947</v>
      </c>
      <c r="H663" s="50">
        <f t="shared" si="351"/>
        <v>0</v>
      </c>
      <c r="I663" s="50">
        <f t="shared" si="351"/>
        <v>0</v>
      </c>
      <c r="J663" s="146">
        <f t="shared" si="351"/>
        <v>8508</v>
      </c>
      <c r="K663" s="146">
        <f>K664+K668</f>
        <v>2708</v>
      </c>
      <c r="L663" s="146">
        <f>L664+L668</f>
        <v>2500</v>
      </c>
      <c r="M663" s="146">
        <f>M664+M668</f>
        <v>3000</v>
      </c>
      <c r="N663" s="146">
        <f>N664+N668</f>
        <v>300</v>
      </c>
      <c r="O663" s="146">
        <f t="shared" si="351"/>
        <v>8500</v>
      </c>
      <c r="P663" s="146">
        <f t="shared" si="351"/>
        <v>8500</v>
      </c>
      <c r="Q663" s="146">
        <f t="shared" si="351"/>
        <v>8500</v>
      </c>
    </row>
    <row r="664" spans="1:17" ht="14.25">
      <c r="A664" s="90"/>
      <c r="B664" s="80" t="s">
        <v>179</v>
      </c>
      <c r="C664" s="47"/>
      <c r="D664" s="50">
        <f t="shared" ref="D664:Q664" si="352">D665</f>
        <v>5491</v>
      </c>
      <c r="E664" s="50">
        <f t="shared" si="352"/>
        <v>9233</v>
      </c>
      <c r="F664" s="50">
        <f t="shared" si="352"/>
        <v>8871</v>
      </c>
      <c r="G664" s="50">
        <f t="shared" si="352"/>
        <v>9939</v>
      </c>
      <c r="H664" s="50">
        <f t="shared" si="352"/>
        <v>0</v>
      </c>
      <c r="I664" s="50">
        <f t="shared" si="352"/>
        <v>0</v>
      </c>
      <c r="J664" s="146">
        <f t="shared" si="352"/>
        <v>8500</v>
      </c>
      <c r="K664" s="146">
        <f t="shared" si="352"/>
        <v>2700</v>
      </c>
      <c r="L664" s="146">
        <f t="shared" si="352"/>
        <v>2500</v>
      </c>
      <c r="M664" s="146">
        <f t="shared" si="352"/>
        <v>3000</v>
      </c>
      <c r="N664" s="146">
        <f t="shared" si="352"/>
        <v>300</v>
      </c>
      <c r="O664" s="146">
        <f t="shared" si="352"/>
        <v>8500</v>
      </c>
      <c r="P664" s="146">
        <f t="shared" si="352"/>
        <v>8500</v>
      </c>
      <c r="Q664" s="146">
        <f t="shared" si="352"/>
        <v>8500</v>
      </c>
    </row>
    <row r="665" spans="1:17" ht="15">
      <c r="A665" s="90"/>
      <c r="B665" s="89" t="s">
        <v>180</v>
      </c>
      <c r="C665" s="47">
        <v>1</v>
      </c>
      <c r="D665" s="36">
        <f t="shared" ref="D665:Q665" si="353">D666+D667</f>
        <v>5491</v>
      </c>
      <c r="E665" s="36">
        <f t="shared" si="353"/>
        <v>9233</v>
      </c>
      <c r="F665" s="36">
        <f t="shared" si="353"/>
        <v>8871</v>
      </c>
      <c r="G665" s="36">
        <f t="shared" si="353"/>
        <v>9939</v>
      </c>
      <c r="H665" s="36">
        <f t="shared" si="353"/>
        <v>0</v>
      </c>
      <c r="I665" s="36">
        <f t="shared" si="353"/>
        <v>0</v>
      </c>
      <c r="J665" s="141">
        <f t="shared" si="353"/>
        <v>8500</v>
      </c>
      <c r="K665" s="141">
        <f>K666+K667</f>
        <v>2700</v>
      </c>
      <c r="L665" s="141">
        <f>L666+L667</f>
        <v>2500</v>
      </c>
      <c r="M665" s="141">
        <f>M666+M667</f>
        <v>3000</v>
      </c>
      <c r="N665" s="141">
        <f>N666+N667</f>
        <v>300</v>
      </c>
      <c r="O665" s="141">
        <f t="shared" si="353"/>
        <v>8500</v>
      </c>
      <c r="P665" s="141">
        <f t="shared" si="353"/>
        <v>8500</v>
      </c>
      <c r="Q665" s="141">
        <f t="shared" si="353"/>
        <v>8500</v>
      </c>
    </row>
    <row r="666" spans="1:17" ht="15">
      <c r="A666" s="90"/>
      <c r="B666" s="89" t="s">
        <v>181</v>
      </c>
      <c r="C666" s="47">
        <v>10</v>
      </c>
      <c r="D666" s="37">
        <v>4324</v>
      </c>
      <c r="E666" s="37">
        <v>7200</v>
      </c>
      <c r="F666" s="32">
        <v>7046</v>
      </c>
      <c r="G666" s="32">
        <v>8039</v>
      </c>
      <c r="H666" s="32"/>
      <c r="I666" s="37"/>
      <c r="J666" s="137">
        <f>7500-500</f>
        <v>7000</v>
      </c>
      <c r="K666" s="137">
        <f>400+100+1500+100</f>
        <v>2100</v>
      </c>
      <c r="L666" s="137">
        <v>2100</v>
      </c>
      <c r="M666" s="137">
        <v>2500</v>
      </c>
      <c r="N666" s="137">
        <v>300</v>
      </c>
      <c r="O666" s="137">
        <v>7000</v>
      </c>
      <c r="P666" s="137">
        <v>7000</v>
      </c>
      <c r="Q666" s="137">
        <v>7000</v>
      </c>
    </row>
    <row r="667" spans="1:17" ht="13.5" customHeight="1">
      <c r="A667" s="90"/>
      <c r="B667" s="89" t="s">
        <v>182</v>
      </c>
      <c r="C667" s="47">
        <v>20</v>
      </c>
      <c r="D667" s="37">
        <v>1167</v>
      </c>
      <c r="E667" s="37">
        <v>2033</v>
      </c>
      <c r="F667" s="32">
        <v>1825</v>
      </c>
      <c r="G667" s="32">
        <v>1900</v>
      </c>
      <c r="H667" s="32"/>
      <c r="I667" s="37"/>
      <c r="J667" s="137">
        <f>1000+500</f>
        <v>1500</v>
      </c>
      <c r="K667" s="137">
        <v>600</v>
      </c>
      <c r="L667" s="137">
        <v>400</v>
      </c>
      <c r="M667" s="137">
        <v>500</v>
      </c>
      <c r="N667" s="137">
        <v>0</v>
      </c>
      <c r="O667" s="137">
        <v>1500</v>
      </c>
      <c r="P667" s="137">
        <v>1500</v>
      </c>
      <c r="Q667" s="137">
        <v>1500</v>
      </c>
    </row>
    <row r="668" spans="1:17" ht="15" customHeight="1">
      <c r="A668" s="90"/>
      <c r="B668" s="82" t="s">
        <v>191</v>
      </c>
      <c r="C668" s="47"/>
      <c r="D668" s="36">
        <f t="shared" ref="D668:Q668" si="354">D669</f>
        <v>0</v>
      </c>
      <c r="E668" s="36">
        <f t="shared" si="354"/>
        <v>110</v>
      </c>
      <c r="F668" s="36">
        <f t="shared" si="354"/>
        <v>110</v>
      </c>
      <c r="G668" s="36">
        <f t="shared" si="354"/>
        <v>8</v>
      </c>
      <c r="H668" s="36">
        <f t="shared" si="354"/>
        <v>0</v>
      </c>
      <c r="I668" s="36">
        <f t="shared" si="354"/>
        <v>0</v>
      </c>
      <c r="J668" s="141">
        <f t="shared" si="354"/>
        <v>8</v>
      </c>
      <c r="K668" s="141">
        <f t="shared" si="354"/>
        <v>8</v>
      </c>
      <c r="L668" s="141">
        <f t="shared" si="354"/>
        <v>0</v>
      </c>
      <c r="M668" s="141">
        <f t="shared" si="354"/>
        <v>0</v>
      </c>
      <c r="N668" s="141">
        <f t="shared" si="354"/>
        <v>0</v>
      </c>
      <c r="O668" s="141">
        <f t="shared" si="354"/>
        <v>0</v>
      </c>
      <c r="P668" s="141">
        <f t="shared" si="354"/>
        <v>0</v>
      </c>
      <c r="Q668" s="141">
        <f t="shared" si="354"/>
        <v>0</v>
      </c>
    </row>
    <row r="669" spans="1:17" ht="12" customHeight="1">
      <c r="A669" s="90"/>
      <c r="B669" s="89" t="s">
        <v>220</v>
      </c>
      <c r="C669" s="47">
        <v>70</v>
      </c>
      <c r="D669" s="37">
        <v>0</v>
      </c>
      <c r="E669" s="37">
        <v>110</v>
      </c>
      <c r="F669" s="32">
        <v>110</v>
      </c>
      <c r="G669" s="32">
        <v>8</v>
      </c>
      <c r="H669" s="32"/>
      <c r="I669" s="37">
        <v>0</v>
      </c>
      <c r="J669" s="137">
        <v>8</v>
      </c>
      <c r="K669" s="137">
        <v>8</v>
      </c>
      <c r="L669" s="137"/>
      <c r="M669" s="137"/>
      <c r="N669" s="137"/>
      <c r="O669" s="137"/>
      <c r="P669" s="137"/>
      <c r="Q669" s="137"/>
    </row>
    <row r="670" spans="1:17" ht="28.5" customHeight="1">
      <c r="A670" s="90" t="s">
        <v>394</v>
      </c>
      <c r="B670" s="109" t="s">
        <v>395</v>
      </c>
      <c r="C670" s="159" t="s">
        <v>396</v>
      </c>
      <c r="D670" s="50">
        <f t="shared" ref="D670:Q670" si="355">D671+D675</f>
        <v>3067</v>
      </c>
      <c r="E670" s="50">
        <f t="shared" si="355"/>
        <v>5039</v>
      </c>
      <c r="F670" s="50">
        <f t="shared" si="355"/>
        <v>4655</v>
      </c>
      <c r="G670" s="50">
        <f t="shared" si="355"/>
        <v>6233</v>
      </c>
      <c r="H670" s="50">
        <f t="shared" si="355"/>
        <v>0</v>
      </c>
      <c r="I670" s="50">
        <f t="shared" si="355"/>
        <v>19</v>
      </c>
      <c r="J670" s="146">
        <f t="shared" si="355"/>
        <v>4406</v>
      </c>
      <c r="K670" s="146">
        <f>K671+K675</f>
        <v>1356</v>
      </c>
      <c r="L670" s="146">
        <f>L671+L675</f>
        <v>1300</v>
      </c>
      <c r="M670" s="146">
        <f>M671+M675</f>
        <v>1500</v>
      </c>
      <c r="N670" s="146">
        <f>N671+N675</f>
        <v>250</v>
      </c>
      <c r="O670" s="146">
        <f t="shared" si="355"/>
        <v>4400</v>
      </c>
      <c r="P670" s="146">
        <f t="shared" si="355"/>
        <v>4400</v>
      </c>
      <c r="Q670" s="146">
        <f t="shared" si="355"/>
        <v>4400</v>
      </c>
    </row>
    <row r="671" spans="1:17" ht="14.25">
      <c r="A671" s="90"/>
      <c r="B671" s="80" t="s">
        <v>179</v>
      </c>
      <c r="C671" s="47"/>
      <c r="D671" s="50">
        <f t="shared" ref="D671:Q671" si="356">D672</f>
        <v>2974</v>
      </c>
      <c r="E671" s="50">
        <f t="shared" si="356"/>
        <v>5020</v>
      </c>
      <c r="F671" s="50">
        <f t="shared" si="356"/>
        <v>4636</v>
      </c>
      <c r="G671" s="50">
        <f t="shared" si="356"/>
        <v>6233</v>
      </c>
      <c r="H671" s="50">
        <f t="shared" si="356"/>
        <v>0</v>
      </c>
      <c r="I671" s="50">
        <f t="shared" si="356"/>
        <v>0</v>
      </c>
      <c r="J671" s="146">
        <f t="shared" si="356"/>
        <v>4400</v>
      </c>
      <c r="K671" s="146">
        <f t="shared" si="356"/>
        <v>1350</v>
      </c>
      <c r="L671" s="146">
        <f t="shared" si="356"/>
        <v>1300</v>
      </c>
      <c r="M671" s="146">
        <f t="shared" si="356"/>
        <v>1500</v>
      </c>
      <c r="N671" s="146">
        <f t="shared" si="356"/>
        <v>250</v>
      </c>
      <c r="O671" s="146">
        <f t="shared" si="356"/>
        <v>4400</v>
      </c>
      <c r="P671" s="146">
        <f t="shared" si="356"/>
        <v>4400</v>
      </c>
      <c r="Q671" s="146">
        <f t="shared" si="356"/>
        <v>4400</v>
      </c>
    </row>
    <row r="672" spans="1:17" ht="15">
      <c r="A672" s="90"/>
      <c r="B672" s="89" t="s">
        <v>180</v>
      </c>
      <c r="C672" s="47">
        <v>1</v>
      </c>
      <c r="D672" s="36">
        <f t="shared" ref="D672:Q672" si="357">D673+D674</f>
        <v>2974</v>
      </c>
      <c r="E672" s="36">
        <f t="shared" si="357"/>
        <v>5020</v>
      </c>
      <c r="F672" s="36">
        <f t="shared" si="357"/>
        <v>4636</v>
      </c>
      <c r="G672" s="36">
        <f t="shared" si="357"/>
        <v>6233</v>
      </c>
      <c r="H672" s="36">
        <f t="shared" si="357"/>
        <v>0</v>
      </c>
      <c r="I672" s="36">
        <f t="shared" si="357"/>
        <v>0</v>
      </c>
      <c r="J672" s="141">
        <f t="shared" si="357"/>
        <v>4400</v>
      </c>
      <c r="K672" s="141">
        <f>K673+K674</f>
        <v>1350</v>
      </c>
      <c r="L672" s="141">
        <f>L673+L674</f>
        <v>1300</v>
      </c>
      <c r="M672" s="141">
        <f>M673+M674</f>
        <v>1500</v>
      </c>
      <c r="N672" s="141">
        <f>N673+N674</f>
        <v>250</v>
      </c>
      <c r="O672" s="141">
        <f t="shared" si="357"/>
        <v>4400</v>
      </c>
      <c r="P672" s="141">
        <f t="shared" si="357"/>
        <v>4400</v>
      </c>
      <c r="Q672" s="141">
        <f t="shared" si="357"/>
        <v>4400</v>
      </c>
    </row>
    <row r="673" spans="1:17" ht="15">
      <c r="A673" s="90"/>
      <c r="B673" s="89" t="s">
        <v>181</v>
      </c>
      <c r="C673" s="47">
        <v>10</v>
      </c>
      <c r="D673" s="37">
        <v>2224</v>
      </c>
      <c r="E673" s="37">
        <v>3798</v>
      </c>
      <c r="F673" s="32">
        <v>3670</v>
      </c>
      <c r="G673" s="32">
        <v>4846</v>
      </c>
      <c r="H673" s="32"/>
      <c r="I673" s="37"/>
      <c r="J673" s="137">
        <f>3800-100</f>
        <v>3700</v>
      </c>
      <c r="K673" s="137">
        <f>400+100+500+100</f>
        <v>1100</v>
      </c>
      <c r="L673" s="137">
        <f>500+300+300</f>
        <v>1100</v>
      </c>
      <c r="M673" s="137">
        <f>1000+800-100-300-100</f>
        <v>1300</v>
      </c>
      <c r="N673" s="137">
        <f>200</f>
        <v>200</v>
      </c>
      <c r="O673" s="137">
        <v>3800</v>
      </c>
      <c r="P673" s="137">
        <v>3800</v>
      </c>
      <c r="Q673" s="137">
        <v>3800</v>
      </c>
    </row>
    <row r="674" spans="1:17" ht="14.25" customHeight="1">
      <c r="A674" s="90"/>
      <c r="B674" s="89" t="s">
        <v>182</v>
      </c>
      <c r="C674" s="47">
        <v>20</v>
      </c>
      <c r="D674" s="37">
        <v>750</v>
      </c>
      <c r="E674" s="37">
        <v>1222</v>
      </c>
      <c r="F674" s="32">
        <v>966</v>
      </c>
      <c r="G674" s="32">
        <v>1387</v>
      </c>
      <c r="H674" s="32"/>
      <c r="I674" s="37"/>
      <c r="J674" s="137">
        <f>600+100</f>
        <v>700</v>
      </c>
      <c r="K674" s="137">
        <v>250</v>
      </c>
      <c r="L674" s="137">
        <f>150+50</f>
        <v>200</v>
      </c>
      <c r="M674" s="137">
        <f>150+100-50</f>
        <v>200</v>
      </c>
      <c r="N674" s="137">
        <v>50</v>
      </c>
      <c r="O674" s="137">
        <v>600</v>
      </c>
      <c r="P674" s="137">
        <v>600</v>
      </c>
      <c r="Q674" s="137">
        <v>600</v>
      </c>
    </row>
    <row r="675" spans="1:17" ht="17.25" customHeight="1">
      <c r="A675" s="90"/>
      <c r="B675" s="82" t="s">
        <v>191</v>
      </c>
      <c r="C675" s="47"/>
      <c r="D675" s="36">
        <f t="shared" ref="D675:Q675" si="358">D676</f>
        <v>93</v>
      </c>
      <c r="E675" s="36">
        <f t="shared" si="358"/>
        <v>19</v>
      </c>
      <c r="F675" s="36">
        <f t="shared" si="358"/>
        <v>19</v>
      </c>
      <c r="G675" s="36">
        <f t="shared" si="358"/>
        <v>0</v>
      </c>
      <c r="H675" s="36">
        <f t="shared" si="358"/>
        <v>0</v>
      </c>
      <c r="I675" s="36">
        <f t="shared" si="358"/>
        <v>19</v>
      </c>
      <c r="J675" s="141">
        <f t="shared" si="358"/>
        <v>6</v>
      </c>
      <c r="K675" s="141">
        <f t="shared" si="358"/>
        <v>6</v>
      </c>
      <c r="L675" s="141">
        <f t="shared" si="358"/>
        <v>0</v>
      </c>
      <c r="M675" s="141">
        <f t="shared" si="358"/>
        <v>0</v>
      </c>
      <c r="N675" s="141">
        <f t="shared" si="358"/>
        <v>0</v>
      </c>
      <c r="O675" s="141">
        <f t="shared" si="358"/>
        <v>0</v>
      </c>
      <c r="P675" s="141">
        <f t="shared" si="358"/>
        <v>0</v>
      </c>
      <c r="Q675" s="141">
        <f t="shared" si="358"/>
        <v>0</v>
      </c>
    </row>
    <row r="676" spans="1:17" ht="18" customHeight="1">
      <c r="A676" s="90"/>
      <c r="B676" s="89" t="s">
        <v>220</v>
      </c>
      <c r="C676" s="47">
        <v>70</v>
      </c>
      <c r="D676" s="37">
        <v>93</v>
      </c>
      <c r="E676" s="37">
        <v>19</v>
      </c>
      <c r="F676" s="32">
        <v>19</v>
      </c>
      <c r="G676" s="32"/>
      <c r="H676" s="32"/>
      <c r="I676" s="37">
        <v>19</v>
      </c>
      <c r="J676" s="137">
        <f>4+0.75+1.05+0.2</f>
        <v>6</v>
      </c>
      <c r="K676" s="137">
        <v>6</v>
      </c>
      <c r="L676" s="137"/>
      <c r="M676" s="137"/>
      <c r="N676" s="137"/>
      <c r="O676" s="137"/>
      <c r="P676" s="137"/>
      <c r="Q676" s="137"/>
    </row>
    <row r="677" spans="1:17" ht="28.5">
      <c r="A677" s="90" t="s">
        <v>397</v>
      </c>
      <c r="B677" s="109" t="s">
        <v>398</v>
      </c>
      <c r="C677" s="159" t="s">
        <v>399</v>
      </c>
      <c r="D677" s="50">
        <f t="shared" ref="D677:Q677" si="359">D678+D682</f>
        <v>6645</v>
      </c>
      <c r="E677" s="50">
        <f t="shared" si="359"/>
        <v>9332</v>
      </c>
      <c r="F677" s="50">
        <f t="shared" si="359"/>
        <v>9218</v>
      </c>
      <c r="G677" s="50">
        <f t="shared" si="359"/>
        <v>8508</v>
      </c>
      <c r="H677" s="50">
        <f t="shared" si="359"/>
        <v>0</v>
      </c>
      <c r="I677" s="50">
        <f t="shared" si="359"/>
        <v>52</v>
      </c>
      <c r="J677" s="146">
        <f t="shared" si="359"/>
        <v>8842</v>
      </c>
      <c r="K677" s="146">
        <f>K678+K682</f>
        <v>2842</v>
      </c>
      <c r="L677" s="146">
        <f>L678+L682</f>
        <v>3000</v>
      </c>
      <c r="M677" s="146">
        <f>M678+M682</f>
        <v>2800</v>
      </c>
      <c r="N677" s="146">
        <f>N678+N682</f>
        <v>200</v>
      </c>
      <c r="O677" s="146">
        <f t="shared" si="359"/>
        <v>8800</v>
      </c>
      <c r="P677" s="146">
        <f t="shared" si="359"/>
        <v>8800</v>
      </c>
      <c r="Q677" s="146">
        <f t="shared" si="359"/>
        <v>8800</v>
      </c>
    </row>
    <row r="678" spans="1:17" ht="14.25">
      <c r="A678" s="90"/>
      <c r="B678" s="80" t="s">
        <v>179</v>
      </c>
      <c r="C678" s="47"/>
      <c r="D678" s="50">
        <f t="shared" ref="D678:Q678" si="360">D679</f>
        <v>6565</v>
      </c>
      <c r="E678" s="50">
        <f t="shared" si="360"/>
        <v>9280</v>
      </c>
      <c r="F678" s="50">
        <f t="shared" si="360"/>
        <v>9166</v>
      </c>
      <c r="G678" s="50">
        <f t="shared" si="360"/>
        <v>8470</v>
      </c>
      <c r="H678" s="50">
        <f t="shared" si="360"/>
        <v>0</v>
      </c>
      <c r="I678" s="50">
        <f t="shared" si="360"/>
        <v>0</v>
      </c>
      <c r="J678" s="146">
        <f t="shared" si="360"/>
        <v>8800</v>
      </c>
      <c r="K678" s="146">
        <f t="shared" si="360"/>
        <v>2800</v>
      </c>
      <c r="L678" s="146">
        <f t="shared" si="360"/>
        <v>3000</v>
      </c>
      <c r="M678" s="146">
        <f t="shared" si="360"/>
        <v>2800</v>
      </c>
      <c r="N678" s="146">
        <f t="shared" si="360"/>
        <v>200</v>
      </c>
      <c r="O678" s="146">
        <f t="shared" si="360"/>
        <v>8800</v>
      </c>
      <c r="P678" s="146">
        <f t="shared" si="360"/>
        <v>8800</v>
      </c>
      <c r="Q678" s="146">
        <f t="shared" si="360"/>
        <v>8800</v>
      </c>
    </row>
    <row r="679" spans="1:17" ht="15">
      <c r="A679" s="90"/>
      <c r="B679" s="89" t="s">
        <v>180</v>
      </c>
      <c r="C679" s="47">
        <v>1</v>
      </c>
      <c r="D679" s="36">
        <f t="shared" ref="D679:Q679" si="361">D680+D681</f>
        <v>6565</v>
      </c>
      <c r="E679" s="36">
        <f t="shared" si="361"/>
        <v>9280</v>
      </c>
      <c r="F679" s="36">
        <f t="shared" si="361"/>
        <v>9166</v>
      </c>
      <c r="G679" s="36">
        <f t="shared" si="361"/>
        <v>8470</v>
      </c>
      <c r="H679" s="36">
        <f t="shared" si="361"/>
        <v>0</v>
      </c>
      <c r="I679" s="36">
        <f t="shared" si="361"/>
        <v>0</v>
      </c>
      <c r="J679" s="141">
        <f t="shared" si="361"/>
        <v>8800</v>
      </c>
      <c r="K679" s="141">
        <f>K680+K681</f>
        <v>2800</v>
      </c>
      <c r="L679" s="141">
        <f>L680+L681</f>
        <v>3000</v>
      </c>
      <c r="M679" s="141">
        <f>M680+M681</f>
        <v>2800</v>
      </c>
      <c r="N679" s="141">
        <f>N680+N681</f>
        <v>200</v>
      </c>
      <c r="O679" s="141">
        <f t="shared" si="361"/>
        <v>8800</v>
      </c>
      <c r="P679" s="141">
        <f t="shared" si="361"/>
        <v>8800</v>
      </c>
      <c r="Q679" s="141">
        <f t="shared" si="361"/>
        <v>8800</v>
      </c>
    </row>
    <row r="680" spans="1:17" ht="15">
      <c r="A680" s="90"/>
      <c r="B680" s="89" t="s">
        <v>181</v>
      </c>
      <c r="C680" s="47">
        <v>10</v>
      </c>
      <c r="D680" s="37">
        <v>4306</v>
      </c>
      <c r="E680" s="37">
        <v>7180</v>
      </c>
      <c r="F680" s="32">
        <v>6942</v>
      </c>
      <c r="G680" s="32">
        <v>8470</v>
      </c>
      <c r="H680" s="32"/>
      <c r="I680" s="37"/>
      <c r="J680" s="137">
        <f>7000-100</f>
        <v>6900</v>
      </c>
      <c r="K680" s="137">
        <f>700+200+2000-100-500-100</f>
        <v>2200</v>
      </c>
      <c r="L680" s="137">
        <f>700+2000-300</f>
        <v>2400</v>
      </c>
      <c r="M680" s="137">
        <v>2200</v>
      </c>
      <c r="N680" s="137">
        <v>100</v>
      </c>
      <c r="O680" s="137">
        <v>6900</v>
      </c>
      <c r="P680" s="137">
        <v>6900</v>
      </c>
      <c r="Q680" s="137">
        <v>6900</v>
      </c>
    </row>
    <row r="681" spans="1:17" ht="15">
      <c r="A681" s="90"/>
      <c r="B681" s="89" t="s">
        <v>182</v>
      </c>
      <c r="C681" s="47">
        <v>20</v>
      </c>
      <c r="D681" s="37">
        <v>2259</v>
      </c>
      <c r="E681" s="37">
        <f>2300-200</f>
        <v>2100</v>
      </c>
      <c r="F681" s="32">
        <v>2224</v>
      </c>
      <c r="G681" s="32"/>
      <c r="H681" s="32"/>
      <c r="I681" s="37"/>
      <c r="J681" s="137">
        <f>1800+100</f>
        <v>1900</v>
      </c>
      <c r="K681" s="137">
        <v>600</v>
      </c>
      <c r="L681" s="137">
        <v>600</v>
      </c>
      <c r="M681" s="137">
        <v>600</v>
      </c>
      <c r="N681" s="137">
        <v>100</v>
      </c>
      <c r="O681" s="137">
        <v>1900</v>
      </c>
      <c r="P681" s="137">
        <v>1900</v>
      </c>
      <c r="Q681" s="137">
        <v>1900</v>
      </c>
    </row>
    <row r="682" spans="1:17" ht="17.25" customHeight="1">
      <c r="A682" s="90"/>
      <c r="B682" s="82" t="s">
        <v>191</v>
      </c>
      <c r="C682" s="47"/>
      <c r="D682" s="36">
        <f t="shared" ref="D682:Q682" si="362">D683</f>
        <v>80</v>
      </c>
      <c r="E682" s="36">
        <f t="shared" si="362"/>
        <v>52</v>
      </c>
      <c r="F682" s="36">
        <f t="shared" si="362"/>
        <v>52</v>
      </c>
      <c r="G682" s="36">
        <f t="shared" si="362"/>
        <v>38</v>
      </c>
      <c r="H682" s="36">
        <f t="shared" si="362"/>
        <v>0</v>
      </c>
      <c r="I682" s="36">
        <f t="shared" si="362"/>
        <v>52</v>
      </c>
      <c r="J682" s="141">
        <f t="shared" si="362"/>
        <v>42</v>
      </c>
      <c r="K682" s="141">
        <f t="shared" si="362"/>
        <v>42</v>
      </c>
      <c r="L682" s="141">
        <f t="shared" si="362"/>
        <v>0</v>
      </c>
      <c r="M682" s="141">
        <f t="shared" si="362"/>
        <v>0</v>
      </c>
      <c r="N682" s="141">
        <f t="shared" si="362"/>
        <v>0</v>
      </c>
      <c r="O682" s="141">
        <f t="shared" si="362"/>
        <v>0</v>
      </c>
      <c r="P682" s="141">
        <f t="shared" si="362"/>
        <v>0</v>
      </c>
      <c r="Q682" s="141">
        <f t="shared" si="362"/>
        <v>0</v>
      </c>
    </row>
    <row r="683" spans="1:17" ht="18.75" customHeight="1">
      <c r="A683" s="90"/>
      <c r="B683" s="89" t="s">
        <v>220</v>
      </c>
      <c r="C683" s="47">
        <v>70</v>
      </c>
      <c r="D683" s="37">
        <v>80</v>
      </c>
      <c r="E683" s="37">
        <v>52</v>
      </c>
      <c r="F683" s="32">
        <v>52</v>
      </c>
      <c r="G683" s="32">
        <v>38</v>
      </c>
      <c r="H683" s="32"/>
      <c r="I683" s="37">
        <v>52</v>
      </c>
      <c r="J683" s="137">
        <f>35+7</f>
        <v>42</v>
      </c>
      <c r="K683" s="137">
        <v>42</v>
      </c>
      <c r="L683" s="137"/>
      <c r="M683" s="137"/>
      <c r="N683" s="137"/>
      <c r="O683" s="137"/>
      <c r="P683" s="137"/>
      <c r="Q683" s="137"/>
    </row>
    <row r="684" spans="1:17" ht="27.75" customHeight="1">
      <c r="A684" s="90" t="s">
        <v>522</v>
      </c>
      <c r="B684" s="109" t="s">
        <v>400</v>
      </c>
      <c r="C684" s="159" t="s">
        <v>399</v>
      </c>
      <c r="D684" s="50">
        <f>D685+D689</f>
        <v>301</v>
      </c>
      <c r="E684" s="50">
        <f t="shared" ref="E684:Q684" si="363">E685+E689</f>
        <v>460</v>
      </c>
      <c r="F684" s="50">
        <f t="shared" si="363"/>
        <v>441</v>
      </c>
      <c r="G684" s="50">
        <f t="shared" si="363"/>
        <v>609</v>
      </c>
      <c r="H684" s="50">
        <f t="shared" si="363"/>
        <v>0</v>
      </c>
      <c r="I684" s="50">
        <f t="shared" si="363"/>
        <v>0</v>
      </c>
      <c r="J684" s="146">
        <f t="shared" si="363"/>
        <v>454</v>
      </c>
      <c r="K684" s="146">
        <f>K685+K689</f>
        <v>134</v>
      </c>
      <c r="L684" s="146">
        <f>L685+L689</f>
        <v>130</v>
      </c>
      <c r="M684" s="146">
        <f>M685+M689</f>
        <v>180</v>
      </c>
      <c r="N684" s="146">
        <f>N685+N689</f>
        <v>10</v>
      </c>
      <c r="O684" s="146">
        <f t="shared" si="363"/>
        <v>450</v>
      </c>
      <c r="P684" s="146">
        <f t="shared" si="363"/>
        <v>450</v>
      </c>
      <c r="Q684" s="146">
        <f t="shared" si="363"/>
        <v>450</v>
      </c>
    </row>
    <row r="685" spans="1:17" ht="13.5" customHeight="1">
      <c r="A685" s="90"/>
      <c r="B685" s="80" t="s">
        <v>179</v>
      </c>
      <c r="C685" s="47"/>
      <c r="D685" s="36">
        <f t="shared" ref="D685:Q685" si="364">D686</f>
        <v>301</v>
      </c>
      <c r="E685" s="36">
        <f t="shared" si="364"/>
        <v>460</v>
      </c>
      <c r="F685" s="36">
        <f t="shared" si="364"/>
        <v>441</v>
      </c>
      <c r="G685" s="36">
        <f t="shared" si="364"/>
        <v>605</v>
      </c>
      <c r="H685" s="36">
        <f t="shared" si="364"/>
        <v>0</v>
      </c>
      <c r="I685" s="36">
        <f t="shared" si="364"/>
        <v>0</v>
      </c>
      <c r="J685" s="141">
        <f t="shared" si="364"/>
        <v>450</v>
      </c>
      <c r="K685" s="141">
        <f t="shared" si="364"/>
        <v>130</v>
      </c>
      <c r="L685" s="141">
        <f t="shared" si="364"/>
        <v>130</v>
      </c>
      <c r="M685" s="141">
        <f t="shared" si="364"/>
        <v>180</v>
      </c>
      <c r="N685" s="141">
        <f t="shared" si="364"/>
        <v>10</v>
      </c>
      <c r="O685" s="141">
        <f t="shared" si="364"/>
        <v>450</v>
      </c>
      <c r="P685" s="141">
        <f t="shared" si="364"/>
        <v>450</v>
      </c>
      <c r="Q685" s="141">
        <f t="shared" si="364"/>
        <v>450</v>
      </c>
    </row>
    <row r="686" spans="1:17" ht="13.5" customHeight="1">
      <c r="A686" s="90"/>
      <c r="B686" s="89" t="s">
        <v>180</v>
      </c>
      <c r="C686" s="47">
        <v>1</v>
      </c>
      <c r="D686" s="36">
        <f t="shared" ref="D686:Q686" si="365">D687+D688</f>
        <v>301</v>
      </c>
      <c r="E686" s="36">
        <f t="shared" si="365"/>
        <v>460</v>
      </c>
      <c r="F686" s="36">
        <f t="shared" si="365"/>
        <v>441</v>
      </c>
      <c r="G686" s="36">
        <f t="shared" si="365"/>
        <v>605</v>
      </c>
      <c r="H686" s="36">
        <f t="shared" si="365"/>
        <v>0</v>
      </c>
      <c r="I686" s="36">
        <f t="shared" si="365"/>
        <v>0</v>
      </c>
      <c r="J686" s="141">
        <f t="shared" si="365"/>
        <v>450</v>
      </c>
      <c r="K686" s="141">
        <f>K687+K688</f>
        <v>130</v>
      </c>
      <c r="L686" s="141">
        <f>L687+L688</f>
        <v>130</v>
      </c>
      <c r="M686" s="141">
        <f>M687+M688</f>
        <v>180</v>
      </c>
      <c r="N686" s="141">
        <f>N687+N688</f>
        <v>10</v>
      </c>
      <c r="O686" s="141">
        <f t="shared" si="365"/>
        <v>450</v>
      </c>
      <c r="P686" s="141">
        <f t="shared" si="365"/>
        <v>450</v>
      </c>
      <c r="Q686" s="141">
        <f t="shared" si="365"/>
        <v>450</v>
      </c>
    </row>
    <row r="687" spans="1:17" ht="13.5" customHeight="1">
      <c r="A687" s="90"/>
      <c r="B687" s="89" t="s">
        <v>181</v>
      </c>
      <c r="C687" s="47">
        <v>10</v>
      </c>
      <c r="D687" s="37">
        <v>184</v>
      </c>
      <c r="E687" s="37">
        <f>310+50</f>
        <v>360</v>
      </c>
      <c r="F687" s="32">
        <v>349</v>
      </c>
      <c r="G687" s="32">
        <v>445</v>
      </c>
      <c r="H687" s="32"/>
      <c r="I687" s="37"/>
      <c r="J687" s="137">
        <v>350</v>
      </c>
      <c r="K687" s="137">
        <f>100</f>
        <v>100</v>
      </c>
      <c r="L687" s="137">
        <f>100</f>
        <v>100</v>
      </c>
      <c r="M687" s="137">
        <v>150</v>
      </c>
      <c r="N687" s="137">
        <v>0</v>
      </c>
      <c r="O687" s="137">
        <v>350</v>
      </c>
      <c r="P687" s="137">
        <v>350</v>
      </c>
      <c r="Q687" s="137">
        <v>350</v>
      </c>
    </row>
    <row r="688" spans="1:17" ht="13.5" customHeight="1">
      <c r="A688" s="90"/>
      <c r="B688" s="89" t="s">
        <v>182</v>
      </c>
      <c r="C688" s="47">
        <v>20</v>
      </c>
      <c r="D688" s="37">
        <v>117</v>
      </c>
      <c r="E688" s="37">
        <f>150-50</f>
        <v>100</v>
      </c>
      <c r="F688" s="32">
        <v>92</v>
      </c>
      <c r="G688" s="32">
        <v>160</v>
      </c>
      <c r="H688" s="32"/>
      <c r="I688" s="37"/>
      <c r="J688" s="137">
        <v>100</v>
      </c>
      <c r="K688" s="137">
        <v>30</v>
      </c>
      <c r="L688" s="137">
        <v>30</v>
      </c>
      <c r="M688" s="137">
        <v>30</v>
      </c>
      <c r="N688" s="137">
        <v>10</v>
      </c>
      <c r="O688" s="137">
        <v>100</v>
      </c>
      <c r="P688" s="137">
        <v>100</v>
      </c>
      <c r="Q688" s="137">
        <v>100</v>
      </c>
    </row>
    <row r="689" spans="1:17" ht="13.5" customHeight="1">
      <c r="A689" s="90"/>
      <c r="B689" s="82" t="s">
        <v>191</v>
      </c>
      <c r="C689" s="47"/>
      <c r="D689" s="32">
        <f>D690</f>
        <v>0</v>
      </c>
      <c r="E689" s="32">
        <f>E690</f>
        <v>0</v>
      </c>
      <c r="F689" s="32">
        <f>F690</f>
        <v>0</v>
      </c>
      <c r="G689" s="32">
        <f>G690</f>
        <v>4</v>
      </c>
      <c r="H689" s="32">
        <f t="shared" ref="H689:Q689" si="366">H690</f>
        <v>0</v>
      </c>
      <c r="I689" s="32">
        <f t="shared" si="366"/>
        <v>0</v>
      </c>
      <c r="J689" s="141">
        <f t="shared" si="366"/>
        <v>4</v>
      </c>
      <c r="K689" s="141">
        <f t="shared" si="366"/>
        <v>4</v>
      </c>
      <c r="L689" s="141">
        <f t="shared" si="366"/>
        <v>0</v>
      </c>
      <c r="M689" s="141">
        <f t="shared" si="366"/>
        <v>0</v>
      </c>
      <c r="N689" s="141">
        <f t="shared" si="366"/>
        <v>0</v>
      </c>
      <c r="O689" s="141">
        <f t="shared" si="366"/>
        <v>0</v>
      </c>
      <c r="P689" s="141">
        <f t="shared" si="366"/>
        <v>0</v>
      </c>
      <c r="Q689" s="141">
        <f t="shared" si="366"/>
        <v>0</v>
      </c>
    </row>
    <row r="690" spans="1:17" ht="13.5" customHeight="1">
      <c r="A690" s="90"/>
      <c r="B690" s="89" t="s">
        <v>220</v>
      </c>
      <c r="C690" s="47">
        <v>70</v>
      </c>
      <c r="D690" s="37"/>
      <c r="E690" s="37"/>
      <c r="F690" s="32"/>
      <c r="G690" s="32">
        <v>4</v>
      </c>
      <c r="H690" s="32"/>
      <c r="I690" s="37"/>
      <c r="J690" s="137">
        <v>4</v>
      </c>
      <c r="K690" s="137">
        <v>4</v>
      </c>
      <c r="L690" s="137"/>
      <c r="M690" s="137"/>
      <c r="N690" s="137"/>
      <c r="O690" s="137"/>
      <c r="P690" s="137"/>
      <c r="Q690" s="137"/>
    </row>
    <row r="691" spans="1:17" ht="27" customHeight="1">
      <c r="A691" s="90" t="s">
        <v>407</v>
      </c>
      <c r="B691" s="109" t="s">
        <v>401</v>
      </c>
      <c r="C691" s="159" t="s">
        <v>399</v>
      </c>
      <c r="D691" s="50">
        <f t="shared" ref="D691:Q691" si="367">D692+D696</f>
        <v>1811</v>
      </c>
      <c r="E691" s="50">
        <f t="shared" si="367"/>
        <v>2716</v>
      </c>
      <c r="F691" s="50">
        <f t="shared" si="367"/>
        <v>2570.61</v>
      </c>
      <c r="G691" s="50">
        <f t="shared" si="367"/>
        <v>3533</v>
      </c>
      <c r="H691" s="50">
        <f t="shared" si="367"/>
        <v>0</v>
      </c>
      <c r="I691" s="50">
        <f t="shared" si="367"/>
        <v>72</v>
      </c>
      <c r="J691" s="146">
        <f t="shared" si="367"/>
        <v>2500</v>
      </c>
      <c r="K691" s="146">
        <f>K692+K696</f>
        <v>1000</v>
      </c>
      <c r="L691" s="146">
        <f>L692+L696</f>
        <v>950</v>
      </c>
      <c r="M691" s="146">
        <f>M692+M696</f>
        <v>400</v>
      </c>
      <c r="N691" s="146">
        <f>N692+N696</f>
        <v>150</v>
      </c>
      <c r="O691" s="146">
        <f t="shared" si="367"/>
        <v>2500</v>
      </c>
      <c r="P691" s="146">
        <f t="shared" si="367"/>
        <v>2500</v>
      </c>
      <c r="Q691" s="146">
        <f t="shared" si="367"/>
        <v>2500</v>
      </c>
    </row>
    <row r="692" spans="1:17" ht="13.5" customHeight="1">
      <c r="A692" s="90"/>
      <c r="B692" s="80" t="s">
        <v>179</v>
      </c>
      <c r="C692" s="47"/>
      <c r="D692" s="36">
        <f t="shared" ref="D692:Q692" si="368">D693</f>
        <v>1722</v>
      </c>
      <c r="E692" s="36">
        <f t="shared" si="368"/>
        <v>2644</v>
      </c>
      <c r="F692" s="36">
        <f t="shared" si="368"/>
        <v>2498.61</v>
      </c>
      <c r="G692" s="36">
        <f t="shared" si="368"/>
        <v>3493</v>
      </c>
      <c r="H692" s="36">
        <f t="shared" si="368"/>
        <v>0</v>
      </c>
      <c r="I692" s="36">
        <f t="shared" si="368"/>
        <v>0</v>
      </c>
      <c r="J692" s="141">
        <f t="shared" si="368"/>
        <v>2500</v>
      </c>
      <c r="K692" s="141">
        <f t="shared" si="368"/>
        <v>1000</v>
      </c>
      <c r="L692" s="141">
        <f t="shared" si="368"/>
        <v>950</v>
      </c>
      <c r="M692" s="141">
        <f t="shared" si="368"/>
        <v>400</v>
      </c>
      <c r="N692" s="141">
        <f t="shared" si="368"/>
        <v>150</v>
      </c>
      <c r="O692" s="141">
        <f t="shared" si="368"/>
        <v>2500</v>
      </c>
      <c r="P692" s="141">
        <f t="shared" si="368"/>
        <v>2500</v>
      </c>
      <c r="Q692" s="141">
        <f t="shared" si="368"/>
        <v>2500</v>
      </c>
    </row>
    <row r="693" spans="1:17" ht="13.5" customHeight="1">
      <c r="A693" s="90"/>
      <c r="B693" s="89" t="s">
        <v>180</v>
      </c>
      <c r="C693" s="47">
        <v>1</v>
      </c>
      <c r="D693" s="36">
        <f t="shared" ref="D693:Q693" si="369">D694+D695</f>
        <v>1722</v>
      </c>
      <c r="E693" s="36">
        <f t="shared" si="369"/>
        <v>2644</v>
      </c>
      <c r="F693" s="36">
        <f t="shared" si="369"/>
        <v>2498.61</v>
      </c>
      <c r="G693" s="36">
        <f t="shared" si="369"/>
        <v>3493</v>
      </c>
      <c r="H693" s="36">
        <f t="shared" si="369"/>
        <v>0</v>
      </c>
      <c r="I693" s="36">
        <f t="shared" si="369"/>
        <v>0</v>
      </c>
      <c r="J693" s="141">
        <f t="shared" si="369"/>
        <v>2500</v>
      </c>
      <c r="K693" s="141">
        <f>K694+K695</f>
        <v>1000</v>
      </c>
      <c r="L693" s="141">
        <f>L694+L695</f>
        <v>950</v>
      </c>
      <c r="M693" s="141">
        <f>M694+M695</f>
        <v>400</v>
      </c>
      <c r="N693" s="141">
        <f>N694+N695</f>
        <v>150</v>
      </c>
      <c r="O693" s="141">
        <f t="shared" si="369"/>
        <v>2500</v>
      </c>
      <c r="P693" s="141">
        <f t="shared" si="369"/>
        <v>2500</v>
      </c>
      <c r="Q693" s="141">
        <f t="shared" si="369"/>
        <v>2500</v>
      </c>
    </row>
    <row r="694" spans="1:17" ht="13.5" customHeight="1">
      <c r="A694" s="90"/>
      <c r="B694" s="89" t="s">
        <v>181</v>
      </c>
      <c r="C694" s="47">
        <v>10</v>
      </c>
      <c r="D694" s="37">
        <v>1112</v>
      </c>
      <c r="E694" s="37">
        <v>2037</v>
      </c>
      <c r="F694" s="32">
        <v>1940.23</v>
      </c>
      <c r="G694" s="32">
        <v>2857</v>
      </c>
      <c r="H694" s="32"/>
      <c r="I694" s="37"/>
      <c r="J694" s="137">
        <f>2100-100</f>
        <v>2000</v>
      </c>
      <c r="K694" s="137">
        <f>400+400</f>
        <v>800</v>
      </c>
      <c r="L694" s="137">
        <f>400+300+100</f>
        <v>800</v>
      </c>
      <c r="M694" s="137">
        <v>300</v>
      </c>
      <c r="N694" s="137">
        <v>100</v>
      </c>
      <c r="O694" s="137">
        <v>2000</v>
      </c>
      <c r="P694" s="137">
        <v>2000</v>
      </c>
      <c r="Q694" s="137">
        <v>2000</v>
      </c>
    </row>
    <row r="695" spans="1:17" ht="13.5" customHeight="1">
      <c r="A695" s="90"/>
      <c r="B695" s="89" t="s">
        <v>182</v>
      </c>
      <c r="C695" s="47">
        <v>20</v>
      </c>
      <c r="D695" s="37">
        <v>610</v>
      </c>
      <c r="E695" s="37">
        <v>607</v>
      </c>
      <c r="F695" s="32">
        <v>558.38</v>
      </c>
      <c r="G695" s="32">
        <v>636</v>
      </c>
      <c r="H695" s="32"/>
      <c r="I695" s="37"/>
      <c r="J695" s="137">
        <f>400+100</f>
        <v>500</v>
      </c>
      <c r="K695" s="137">
        <v>200</v>
      </c>
      <c r="L695" s="137">
        <v>150</v>
      </c>
      <c r="M695" s="137">
        <v>100</v>
      </c>
      <c r="N695" s="137">
        <v>50</v>
      </c>
      <c r="O695" s="137">
        <v>500</v>
      </c>
      <c r="P695" s="137">
        <v>500</v>
      </c>
      <c r="Q695" s="137">
        <v>500</v>
      </c>
    </row>
    <row r="696" spans="1:17" ht="12.75" customHeight="1">
      <c r="A696" s="90"/>
      <c r="B696" s="82" t="s">
        <v>191</v>
      </c>
      <c r="C696" s="47"/>
      <c r="D696" s="36">
        <f t="shared" ref="D696:Q696" si="370">D697</f>
        <v>89</v>
      </c>
      <c r="E696" s="36">
        <f t="shared" si="370"/>
        <v>72</v>
      </c>
      <c r="F696" s="36">
        <f t="shared" si="370"/>
        <v>72</v>
      </c>
      <c r="G696" s="36">
        <f t="shared" si="370"/>
        <v>40</v>
      </c>
      <c r="H696" s="36">
        <f t="shared" si="370"/>
        <v>0</v>
      </c>
      <c r="I696" s="36">
        <f t="shared" si="370"/>
        <v>72</v>
      </c>
      <c r="J696" s="141">
        <f t="shared" si="370"/>
        <v>0</v>
      </c>
      <c r="K696" s="141">
        <f t="shared" si="370"/>
        <v>0</v>
      </c>
      <c r="L696" s="141">
        <f t="shared" si="370"/>
        <v>0</v>
      </c>
      <c r="M696" s="141">
        <f t="shared" si="370"/>
        <v>0</v>
      </c>
      <c r="N696" s="141">
        <f t="shared" si="370"/>
        <v>0</v>
      </c>
      <c r="O696" s="141">
        <f t="shared" si="370"/>
        <v>0</v>
      </c>
      <c r="P696" s="141">
        <f t="shared" si="370"/>
        <v>0</v>
      </c>
      <c r="Q696" s="141">
        <f t="shared" si="370"/>
        <v>0</v>
      </c>
    </row>
    <row r="697" spans="1:17" ht="13.5" hidden="1" customHeight="1">
      <c r="A697" s="90"/>
      <c r="B697" s="89" t="s">
        <v>220</v>
      </c>
      <c r="C697" s="47">
        <v>70</v>
      </c>
      <c r="D697" s="37">
        <v>89</v>
      </c>
      <c r="E697" s="37">
        <v>72</v>
      </c>
      <c r="F697" s="32">
        <v>72</v>
      </c>
      <c r="G697" s="32">
        <v>40</v>
      </c>
      <c r="H697" s="32"/>
      <c r="I697" s="37">
        <v>72</v>
      </c>
      <c r="J697" s="137">
        <v>0</v>
      </c>
      <c r="K697" s="137">
        <v>0</v>
      </c>
      <c r="L697" s="137">
        <v>0</v>
      </c>
      <c r="M697" s="137">
        <v>0</v>
      </c>
      <c r="N697" s="137">
        <v>0</v>
      </c>
      <c r="O697" s="137"/>
      <c r="P697" s="137"/>
      <c r="Q697" s="137"/>
    </row>
    <row r="698" spans="1:17" ht="30" customHeight="1">
      <c r="A698" s="90" t="s">
        <v>523</v>
      </c>
      <c r="B698" s="109" t="s">
        <v>402</v>
      </c>
      <c r="C698" s="47" t="s">
        <v>403</v>
      </c>
      <c r="D698" s="50">
        <f t="shared" ref="D698:Q698" si="371">D699+D703</f>
        <v>2264</v>
      </c>
      <c r="E698" s="50">
        <f t="shared" si="371"/>
        <v>3991</v>
      </c>
      <c r="F698" s="50">
        <f t="shared" si="371"/>
        <v>3581.5</v>
      </c>
      <c r="G698" s="50">
        <f t="shared" si="371"/>
        <v>5685</v>
      </c>
      <c r="H698" s="50">
        <f t="shared" si="371"/>
        <v>0</v>
      </c>
      <c r="I698" s="50">
        <f t="shared" si="371"/>
        <v>0</v>
      </c>
      <c r="J698" s="146">
        <f t="shared" si="371"/>
        <v>3771</v>
      </c>
      <c r="K698" s="146">
        <f>K699+K703</f>
        <v>1271</v>
      </c>
      <c r="L698" s="146">
        <f>L699+L703</f>
        <v>1150</v>
      </c>
      <c r="M698" s="146">
        <f>M699+M703</f>
        <v>1000</v>
      </c>
      <c r="N698" s="146">
        <f>N699+N703</f>
        <v>350</v>
      </c>
      <c r="O698" s="146">
        <f t="shared" si="371"/>
        <v>3700</v>
      </c>
      <c r="P698" s="146">
        <f t="shared" si="371"/>
        <v>3700</v>
      </c>
      <c r="Q698" s="146">
        <f t="shared" si="371"/>
        <v>3700</v>
      </c>
    </row>
    <row r="699" spans="1:17" ht="14.25">
      <c r="A699" s="90"/>
      <c r="B699" s="80" t="s">
        <v>179</v>
      </c>
      <c r="C699" s="47"/>
      <c r="D699" s="50">
        <f t="shared" ref="D699:Q699" si="372">D700</f>
        <v>2264</v>
      </c>
      <c r="E699" s="50">
        <f t="shared" si="372"/>
        <v>3886</v>
      </c>
      <c r="F699" s="50">
        <f t="shared" si="372"/>
        <v>3547.5</v>
      </c>
      <c r="G699" s="50">
        <f t="shared" si="372"/>
        <v>5543</v>
      </c>
      <c r="H699" s="50">
        <f t="shared" si="372"/>
        <v>0</v>
      </c>
      <c r="I699" s="50">
        <f t="shared" si="372"/>
        <v>0</v>
      </c>
      <c r="J699" s="146">
        <f t="shared" si="372"/>
        <v>3700</v>
      </c>
      <c r="K699" s="146">
        <f t="shared" si="372"/>
        <v>1200</v>
      </c>
      <c r="L699" s="146">
        <f t="shared" si="372"/>
        <v>1150</v>
      </c>
      <c r="M699" s="146">
        <f t="shared" si="372"/>
        <v>1000</v>
      </c>
      <c r="N699" s="146">
        <f t="shared" si="372"/>
        <v>350</v>
      </c>
      <c r="O699" s="146">
        <f t="shared" si="372"/>
        <v>3700</v>
      </c>
      <c r="P699" s="146">
        <f t="shared" si="372"/>
        <v>3700</v>
      </c>
      <c r="Q699" s="146">
        <f t="shared" si="372"/>
        <v>3700</v>
      </c>
    </row>
    <row r="700" spans="1:17" ht="15">
      <c r="A700" s="90"/>
      <c r="B700" s="89" t="s">
        <v>180</v>
      </c>
      <c r="C700" s="47">
        <v>1</v>
      </c>
      <c r="D700" s="36">
        <f t="shared" ref="D700:Q700" si="373">D701+D702</f>
        <v>2264</v>
      </c>
      <c r="E700" s="36">
        <f t="shared" si="373"/>
        <v>3886</v>
      </c>
      <c r="F700" s="36">
        <f t="shared" si="373"/>
        <v>3547.5</v>
      </c>
      <c r="G700" s="36">
        <f t="shared" si="373"/>
        <v>5543</v>
      </c>
      <c r="H700" s="36">
        <f t="shared" si="373"/>
        <v>0</v>
      </c>
      <c r="I700" s="36">
        <f t="shared" si="373"/>
        <v>0</v>
      </c>
      <c r="J700" s="141">
        <f t="shared" si="373"/>
        <v>3700</v>
      </c>
      <c r="K700" s="141">
        <f>K701+K702</f>
        <v>1200</v>
      </c>
      <c r="L700" s="141">
        <f>L701+L702</f>
        <v>1150</v>
      </c>
      <c r="M700" s="141">
        <f>M701+M702</f>
        <v>1000</v>
      </c>
      <c r="N700" s="141">
        <f>N701+N702</f>
        <v>350</v>
      </c>
      <c r="O700" s="141">
        <f t="shared" si="373"/>
        <v>3700</v>
      </c>
      <c r="P700" s="141">
        <f t="shared" si="373"/>
        <v>3700</v>
      </c>
      <c r="Q700" s="141">
        <f t="shared" si="373"/>
        <v>3700</v>
      </c>
    </row>
    <row r="701" spans="1:17" ht="15">
      <c r="A701" s="90"/>
      <c r="B701" s="89" t="s">
        <v>181</v>
      </c>
      <c r="C701" s="47">
        <v>10</v>
      </c>
      <c r="D701" s="37">
        <v>1814</v>
      </c>
      <c r="E701" s="37">
        <v>3058</v>
      </c>
      <c r="F701" s="32">
        <v>2976</v>
      </c>
      <c r="G701" s="32">
        <v>4483</v>
      </c>
      <c r="H701" s="32"/>
      <c r="I701" s="37"/>
      <c r="J701" s="137">
        <v>3100</v>
      </c>
      <c r="K701" s="137">
        <f>400+600-100</f>
        <v>900</v>
      </c>
      <c r="L701" s="137">
        <f>400+600</f>
        <v>1000</v>
      </c>
      <c r="M701" s="137">
        <v>900</v>
      </c>
      <c r="N701" s="137">
        <v>300</v>
      </c>
      <c r="O701" s="137">
        <v>3200</v>
      </c>
      <c r="P701" s="137">
        <v>3200</v>
      </c>
      <c r="Q701" s="137">
        <v>3200</v>
      </c>
    </row>
    <row r="702" spans="1:17" ht="12" customHeight="1">
      <c r="A702" s="90"/>
      <c r="B702" s="89" t="s">
        <v>182</v>
      </c>
      <c r="C702" s="47">
        <v>20</v>
      </c>
      <c r="D702" s="37">
        <v>450</v>
      </c>
      <c r="E702" s="37">
        <v>828</v>
      </c>
      <c r="F702" s="32">
        <v>571.5</v>
      </c>
      <c r="G702" s="32">
        <v>1060</v>
      </c>
      <c r="H702" s="32"/>
      <c r="I702" s="37"/>
      <c r="J702" s="137">
        <v>600</v>
      </c>
      <c r="K702" s="137">
        <f>200+100</f>
        <v>300</v>
      </c>
      <c r="L702" s="137">
        <v>150</v>
      </c>
      <c r="M702" s="137">
        <v>100</v>
      </c>
      <c r="N702" s="137">
        <v>50</v>
      </c>
      <c r="O702" s="137">
        <v>500</v>
      </c>
      <c r="P702" s="137">
        <v>500</v>
      </c>
      <c r="Q702" s="137">
        <v>500</v>
      </c>
    </row>
    <row r="703" spans="1:17" ht="12.75" customHeight="1">
      <c r="A703" s="90"/>
      <c r="B703" s="82" t="s">
        <v>191</v>
      </c>
      <c r="C703" s="47"/>
      <c r="D703" s="36">
        <f t="shared" ref="D703:Q703" si="374">D704</f>
        <v>0</v>
      </c>
      <c r="E703" s="36">
        <f t="shared" si="374"/>
        <v>105</v>
      </c>
      <c r="F703" s="36">
        <f t="shared" si="374"/>
        <v>34</v>
      </c>
      <c r="G703" s="36">
        <f t="shared" si="374"/>
        <v>142</v>
      </c>
      <c r="H703" s="36">
        <f t="shared" si="374"/>
        <v>0</v>
      </c>
      <c r="I703" s="36">
        <f t="shared" si="374"/>
        <v>0</v>
      </c>
      <c r="J703" s="141">
        <f t="shared" si="374"/>
        <v>71</v>
      </c>
      <c r="K703" s="141">
        <f t="shared" si="374"/>
        <v>71</v>
      </c>
      <c r="L703" s="141">
        <f t="shared" si="374"/>
        <v>0</v>
      </c>
      <c r="M703" s="141">
        <f t="shared" si="374"/>
        <v>0</v>
      </c>
      <c r="N703" s="141">
        <f t="shared" si="374"/>
        <v>0</v>
      </c>
      <c r="O703" s="141">
        <f t="shared" si="374"/>
        <v>0</v>
      </c>
      <c r="P703" s="141">
        <f t="shared" si="374"/>
        <v>0</v>
      </c>
      <c r="Q703" s="141">
        <f t="shared" si="374"/>
        <v>0</v>
      </c>
    </row>
    <row r="704" spans="1:17" ht="18.75" customHeight="1">
      <c r="A704" s="90"/>
      <c r="B704" s="89" t="s">
        <v>220</v>
      </c>
      <c r="C704" s="47">
        <v>70</v>
      </c>
      <c r="D704" s="37">
        <v>0</v>
      </c>
      <c r="E704" s="37">
        <v>105</v>
      </c>
      <c r="F704" s="32">
        <v>34</v>
      </c>
      <c r="G704" s="32">
        <v>142</v>
      </c>
      <c r="H704" s="32"/>
      <c r="I704" s="37"/>
      <c r="J704" s="137">
        <f>61+10</f>
        <v>71</v>
      </c>
      <c r="K704" s="137">
        <v>71</v>
      </c>
      <c r="L704" s="137"/>
      <c r="M704" s="137"/>
      <c r="N704" s="137"/>
      <c r="O704" s="137"/>
      <c r="P704" s="137"/>
      <c r="Q704" s="137"/>
    </row>
    <row r="705" spans="1:17" ht="0.75" customHeight="1">
      <c r="A705" s="90" t="s">
        <v>523</v>
      </c>
      <c r="B705" s="82" t="s">
        <v>404</v>
      </c>
      <c r="C705" s="47" t="s">
        <v>405</v>
      </c>
      <c r="D705" s="44">
        <f>D706</f>
        <v>0</v>
      </c>
      <c r="E705" s="44">
        <f>E706</f>
        <v>0</v>
      </c>
      <c r="F705" s="32"/>
      <c r="G705" s="32"/>
      <c r="H705" s="32"/>
      <c r="I705" s="44">
        <f>I706</f>
        <v>0</v>
      </c>
      <c r="J705" s="137"/>
      <c r="K705" s="137"/>
      <c r="L705" s="137"/>
      <c r="M705" s="137"/>
      <c r="N705" s="137"/>
      <c r="O705" s="137"/>
      <c r="P705" s="137"/>
      <c r="Q705" s="137"/>
    </row>
    <row r="706" spans="1:17" ht="12.75" hidden="1" customHeight="1">
      <c r="A706" s="90"/>
      <c r="B706" s="80" t="s">
        <v>179</v>
      </c>
      <c r="C706" s="47"/>
      <c r="D706" s="44">
        <f>D707</f>
        <v>0</v>
      </c>
      <c r="E706" s="44">
        <f>E707</f>
        <v>0</v>
      </c>
      <c r="F706" s="32"/>
      <c r="G706" s="32"/>
      <c r="H706" s="32"/>
      <c r="I706" s="44">
        <f>I707</f>
        <v>0</v>
      </c>
      <c r="J706" s="137"/>
      <c r="K706" s="137"/>
      <c r="L706" s="137"/>
      <c r="M706" s="137"/>
      <c r="N706" s="137"/>
      <c r="O706" s="137"/>
      <c r="P706" s="137"/>
      <c r="Q706" s="137"/>
    </row>
    <row r="707" spans="1:17" ht="12.75" hidden="1" customHeight="1">
      <c r="A707" s="90"/>
      <c r="B707" s="89" t="s">
        <v>180</v>
      </c>
      <c r="C707" s="47">
        <v>1</v>
      </c>
      <c r="D707" s="37">
        <f>D708+D709</f>
        <v>0</v>
      </c>
      <c r="E707" s="37">
        <f>E708+E709</f>
        <v>0</v>
      </c>
      <c r="F707" s="32"/>
      <c r="G707" s="32"/>
      <c r="H707" s="32"/>
      <c r="I707" s="37">
        <f>I708+I709</f>
        <v>0</v>
      </c>
      <c r="J707" s="137"/>
      <c r="K707" s="137"/>
      <c r="L707" s="137"/>
      <c r="M707" s="137"/>
      <c r="N707" s="137"/>
      <c r="O707" s="137"/>
      <c r="P707" s="137"/>
      <c r="Q707" s="137"/>
    </row>
    <row r="708" spans="1:17" ht="12.75" hidden="1" customHeight="1">
      <c r="A708" s="90"/>
      <c r="B708" s="89" t="s">
        <v>181</v>
      </c>
      <c r="C708" s="47">
        <v>10</v>
      </c>
      <c r="D708" s="37"/>
      <c r="E708" s="37"/>
      <c r="F708" s="32"/>
      <c r="G708" s="32"/>
      <c r="H708" s="32"/>
      <c r="I708" s="37"/>
      <c r="J708" s="137"/>
      <c r="K708" s="137"/>
      <c r="L708" s="137"/>
      <c r="M708" s="137"/>
      <c r="N708" s="137"/>
      <c r="O708" s="137"/>
      <c r="P708" s="137"/>
      <c r="Q708" s="137"/>
    </row>
    <row r="709" spans="1:17" ht="9" hidden="1" customHeight="1">
      <c r="A709" s="90"/>
      <c r="B709" s="89" t="s">
        <v>182</v>
      </c>
      <c r="C709" s="47">
        <v>20</v>
      </c>
      <c r="D709" s="37"/>
      <c r="E709" s="37"/>
      <c r="F709" s="32"/>
      <c r="G709" s="32"/>
      <c r="H709" s="32"/>
      <c r="I709" s="37"/>
      <c r="J709" s="137"/>
      <c r="K709" s="137"/>
      <c r="L709" s="137"/>
      <c r="M709" s="137"/>
      <c r="N709" s="137"/>
      <c r="O709" s="137"/>
      <c r="P709" s="137"/>
      <c r="Q709" s="137"/>
    </row>
    <row r="710" spans="1:17" ht="28.5" customHeight="1">
      <c r="A710" s="90" t="s">
        <v>524</v>
      </c>
      <c r="B710" s="109" t="s">
        <v>406</v>
      </c>
      <c r="C710" s="47" t="s">
        <v>405</v>
      </c>
      <c r="D710" s="50">
        <f>D711+D715</f>
        <v>772</v>
      </c>
      <c r="E710" s="50">
        <f t="shared" ref="E710:Q710" si="375">E711+E715</f>
        <v>1372</v>
      </c>
      <c r="F710" s="50">
        <f t="shared" si="375"/>
        <v>1188</v>
      </c>
      <c r="G710" s="50">
        <f t="shared" si="375"/>
        <v>2359</v>
      </c>
      <c r="H710" s="50">
        <f t="shared" si="375"/>
        <v>0</v>
      </c>
      <c r="I710" s="50">
        <f t="shared" si="375"/>
        <v>0</v>
      </c>
      <c r="J710" s="146">
        <f t="shared" si="375"/>
        <v>1200</v>
      </c>
      <c r="K710" s="146">
        <f>K711+K715</f>
        <v>350</v>
      </c>
      <c r="L710" s="146">
        <f>L711+L715</f>
        <v>370</v>
      </c>
      <c r="M710" s="146">
        <f>M711+M715</f>
        <v>370</v>
      </c>
      <c r="N710" s="146">
        <f>N711+N715</f>
        <v>110</v>
      </c>
      <c r="O710" s="146">
        <f t="shared" si="375"/>
        <v>1400</v>
      </c>
      <c r="P710" s="146">
        <f t="shared" si="375"/>
        <v>1400</v>
      </c>
      <c r="Q710" s="146">
        <f t="shared" si="375"/>
        <v>1465</v>
      </c>
    </row>
    <row r="711" spans="1:17" ht="12.75" customHeight="1">
      <c r="A711" s="90"/>
      <c r="B711" s="80" t="s">
        <v>179</v>
      </c>
      <c r="C711" s="47"/>
      <c r="D711" s="36">
        <f t="shared" ref="D711:Q711" si="376">D712</f>
        <v>772</v>
      </c>
      <c r="E711" s="36">
        <f t="shared" si="376"/>
        <v>1372</v>
      </c>
      <c r="F711" s="36">
        <f t="shared" si="376"/>
        <v>1188</v>
      </c>
      <c r="G711" s="36">
        <f t="shared" si="376"/>
        <v>2177</v>
      </c>
      <c r="H711" s="36">
        <f t="shared" si="376"/>
        <v>0</v>
      </c>
      <c r="I711" s="36">
        <f t="shared" si="376"/>
        <v>0</v>
      </c>
      <c r="J711" s="141">
        <f t="shared" si="376"/>
        <v>1200</v>
      </c>
      <c r="K711" s="141">
        <f t="shared" si="376"/>
        <v>350</v>
      </c>
      <c r="L711" s="141">
        <f t="shared" si="376"/>
        <v>370</v>
      </c>
      <c r="M711" s="141">
        <f t="shared" si="376"/>
        <v>370</v>
      </c>
      <c r="N711" s="141">
        <f t="shared" si="376"/>
        <v>110</v>
      </c>
      <c r="O711" s="141">
        <f t="shared" si="376"/>
        <v>1400</v>
      </c>
      <c r="P711" s="141">
        <f t="shared" si="376"/>
        <v>1400</v>
      </c>
      <c r="Q711" s="141">
        <f t="shared" si="376"/>
        <v>1465</v>
      </c>
    </row>
    <row r="712" spans="1:17" ht="12.75" customHeight="1">
      <c r="A712" s="90"/>
      <c r="B712" s="89" t="s">
        <v>180</v>
      </c>
      <c r="C712" s="47">
        <v>1</v>
      </c>
      <c r="D712" s="36">
        <f t="shared" ref="D712:Q712" si="377">D713+D714</f>
        <v>772</v>
      </c>
      <c r="E712" s="36">
        <f t="shared" si="377"/>
        <v>1372</v>
      </c>
      <c r="F712" s="36">
        <f t="shared" si="377"/>
        <v>1188</v>
      </c>
      <c r="G712" s="36">
        <f t="shared" si="377"/>
        <v>2177</v>
      </c>
      <c r="H712" s="36">
        <f t="shared" si="377"/>
        <v>0</v>
      </c>
      <c r="I712" s="36">
        <f t="shared" si="377"/>
        <v>0</v>
      </c>
      <c r="J712" s="141">
        <f t="shared" si="377"/>
        <v>1200</v>
      </c>
      <c r="K712" s="141">
        <f>K713+K714</f>
        <v>350</v>
      </c>
      <c r="L712" s="141">
        <f>L713+L714</f>
        <v>370</v>
      </c>
      <c r="M712" s="141">
        <f>M713+M714</f>
        <v>370</v>
      </c>
      <c r="N712" s="141">
        <f>N713+N714</f>
        <v>110</v>
      </c>
      <c r="O712" s="141">
        <f t="shared" si="377"/>
        <v>1400</v>
      </c>
      <c r="P712" s="141">
        <f t="shared" si="377"/>
        <v>1400</v>
      </c>
      <c r="Q712" s="141">
        <f t="shared" si="377"/>
        <v>1465</v>
      </c>
    </row>
    <row r="713" spans="1:17" ht="12.75" customHeight="1">
      <c r="A713" s="90"/>
      <c r="B713" s="89" t="s">
        <v>181</v>
      </c>
      <c r="C713" s="47">
        <v>10</v>
      </c>
      <c r="D713" s="37">
        <v>444</v>
      </c>
      <c r="E713" s="37">
        <v>864</v>
      </c>
      <c r="F713" s="32">
        <v>816</v>
      </c>
      <c r="G713" s="32">
        <v>1647</v>
      </c>
      <c r="H713" s="32"/>
      <c r="I713" s="37"/>
      <c r="J713" s="137">
        <v>900</v>
      </c>
      <c r="K713" s="137">
        <v>260</v>
      </c>
      <c r="L713" s="137">
        <v>270</v>
      </c>
      <c r="M713" s="137">
        <v>270</v>
      </c>
      <c r="N713" s="137">
        <v>100</v>
      </c>
      <c r="O713" s="137">
        <v>1000</v>
      </c>
      <c r="P713" s="137">
        <v>1000</v>
      </c>
      <c r="Q713" s="137">
        <f>1000+65</f>
        <v>1065</v>
      </c>
    </row>
    <row r="714" spans="1:17" ht="16.5" customHeight="1">
      <c r="A714" s="90"/>
      <c r="B714" s="89" t="s">
        <v>182</v>
      </c>
      <c r="C714" s="47">
        <v>20</v>
      </c>
      <c r="D714" s="37">
        <v>328</v>
      </c>
      <c r="E714" s="37">
        <v>508</v>
      </c>
      <c r="F714" s="32">
        <v>372</v>
      </c>
      <c r="G714" s="32">
        <v>530</v>
      </c>
      <c r="H714" s="32"/>
      <c r="I714" s="37"/>
      <c r="J714" s="137">
        <v>300</v>
      </c>
      <c r="K714" s="137">
        <v>90</v>
      </c>
      <c r="L714" s="137">
        <v>100</v>
      </c>
      <c r="M714" s="137">
        <f>100</f>
        <v>100</v>
      </c>
      <c r="N714" s="137">
        <v>10</v>
      </c>
      <c r="O714" s="137">
        <v>400</v>
      </c>
      <c r="P714" s="137">
        <v>400</v>
      </c>
      <c r="Q714" s="137">
        <v>400</v>
      </c>
    </row>
    <row r="715" spans="1:17" ht="13.5" customHeight="1">
      <c r="A715" s="90"/>
      <c r="B715" s="82" t="s">
        <v>191</v>
      </c>
      <c r="C715" s="47"/>
      <c r="D715" s="37">
        <f t="shared" ref="D715:Q715" si="378">D716</f>
        <v>0</v>
      </c>
      <c r="E715" s="37">
        <f t="shared" si="378"/>
        <v>0</v>
      </c>
      <c r="F715" s="37">
        <f t="shared" si="378"/>
        <v>0</v>
      </c>
      <c r="G715" s="37">
        <f t="shared" si="378"/>
        <v>182</v>
      </c>
      <c r="H715" s="37">
        <f t="shared" si="378"/>
        <v>0</v>
      </c>
      <c r="I715" s="37">
        <f t="shared" si="378"/>
        <v>0</v>
      </c>
      <c r="J715" s="140">
        <f t="shared" si="378"/>
        <v>0</v>
      </c>
      <c r="K715" s="141">
        <f t="shared" si="378"/>
        <v>0</v>
      </c>
      <c r="L715" s="141">
        <f t="shared" si="378"/>
        <v>0</v>
      </c>
      <c r="M715" s="141">
        <f t="shared" si="378"/>
        <v>0</v>
      </c>
      <c r="N715" s="141">
        <f t="shared" si="378"/>
        <v>0</v>
      </c>
      <c r="O715" s="141">
        <f t="shared" si="378"/>
        <v>0</v>
      </c>
      <c r="P715" s="141">
        <f t="shared" si="378"/>
        <v>0</v>
      </c>
      <c r="Q715" s="141">
        <f t="shared" si="378"/>
        <v>0</v>
      </c>
    </row>
    <row r="716" spans="1:17" ht="16.5" customHeight="1">
      <c r="A716" s="90"/>
      <c r="B716" s="89" t="s">
        <v>220</v>
      </c>
      <c r="C716" s="47"/>
      <c r="D716" s="37">
        <v>0</v>
      </c>
      <c r="E716" s="37">
        <v>0</v>
      </c>
      <c r="F716" s="32"/>
      <c r="G716" s="32">
        <v>182</v>
      </c>
      <c r="H716" s="32"/>
      <c r="I716" s="37">
        <v>0</v>
      </c>
      <c r="J716" s="137">
        <v>0</v>
      </c>
      <c r="K716" s="137">
        <v>0</v>
      </c>
      <c r="L716" s="137">
        <v>0</v>
      </c>
      <c r="M716" s="137">
        <v>0</v>
      </c>
      <c r="N716" s="137">
        <v>0</v>
      </c>
      <c r="O716" s="137"/>
      <c r="P716" s="137"/>
      <c r="Q716" s="137">
        <v>0</v>
      </c>
    </row>
    <row r="717" spans="1:17" ht="16.5" customHeight="1">
      <c r="A717" s="90" t="s">
        <v>525</v>
      </c>
      <c r="B717" s="87" t="s">
        <v>408</v>
      </c>
      <c r="C717" s="47" t="s">
        <v>390</v>
      </c>
      <c r="D717" s="50">
        <f t="shared" ref="D717:Q717" si="379">D718+D722</f>
        <v>757</v>
      </c>
      <c r="E717" s="50">
        <f t="shared" si="379"/>
        <v>1170</v>
      </c>
      <c r="F717" s="50">
        <f t="shared" si="379"/>
        <v>1170</v>
      </c>
      <c r="G717" s="50">
        <f t="shared" si="379"/>
        <v>1408</v>
      </c>
      <c r="H717" s="50">
        <f t="shared" si="379"/>
        <v>0</v>
      </c>
      <c r="I717" s="50">
        <f t="shared" si="379"/>
        <v>20</v>
      </c>
      <c r="J717" s="146">
        <f t="shared" si="379"/>
        <v>1050</v>
      </c>
      <c r="K717" s="146">
        <f>K718+K722</f>
        <v>370</v>
      </c>
      <c r="L717" s="146">
        <f>L718+L722</f>
        <v>270</v>
      </c>
      <c r="M717" s="146">
        <f>M718+M722</f>
        <v>220</v>
      </c>
      <c r="N717" s="146">
        <f>N718+N722</f>
        <v>190</v>
      </c>
      <c r="O717" s="146">
        <f t="shared" si="379"/>
        <v>1400</v>
      </c>
      <c r="P717" s="146">
        <f t="shared" si="379"/>
        <v>1400</v>
      </c>
      <c r="Q717" s="146">
        <f t="shared" si="379"/>
        <v>1400</v>
      </c>
    </row>
    <row r="718" spans="1:17" ht="12.75" customHeight="1">
      <c r="A718" s="90"/>
      <c r="B718" s="80" t="s">
        <v>179</v>
      </c>
      <c r="C718" s="47"/>
      <c r="D718" s="50">
        <f t="shared" ref="D718:Q718" si="380">D719</f>
        <v>703</v>
      </c>
      <c r="E718" s="50">
        <f t="shared" si="380"/>
        <v>1150</v>
      </c>
      <c r="F718" s="50">
        <f t="shared" si="380"/>
        <v>1150</v>
      </c>
      <c r="G718" s="50">
        <f t="shared" si="380"/>
        <v>1348</v>
      </c>
      <c r="H718" s="50">
        <f t="shared" si="380"/>
        <v>0</v>
      </c>
      <c r="I718" s="50">
        <f t="shared" si="380"/>
        <v>0</v>
      </c>
      <c r="J718" s="146">
        <f t="shared" si="380"/>
        <v>1000</v>
      </c>
      <c r="K718" s="146">
        <f t="shared" si="380"/>
        <v>320</v>
      </c>
      <c r="L718" s="146">
        <f t="shared" si="380"/>
        <v>270</v>
      </c>
      <c r="M718" s="146">
        <f t="shared" si="380"/>
        <v>220</v>
      </c>
      <c r="N718" s="146">
        <f t="shared" si="380"/>
        <v>190</v>
      </c>
      <c r="O718" s="146">
        <f t="shared" si="380"/>
        <v>1400</v>
      </c>
      <c r="P718" s="146">
        <f t="shared" si="380"/>
        <v>1400</v>
      </c>
      <c r="Q718" s="146">
        <f t="shared" si="380"/>
        <v>1400</v>
      </c>
    </row>
    <row r="719" spans="1:17" ht="12.75" customHeight="1">
      <c r="A719" s="90"/>
      <c r="B719" s="89" t="s">
        <v>180</v>
      </c>
      <c r="C719" s="47">
        <v>1</v>
      </c>
      <c r="D719" s="36">
        <f t="shared" ref="D719:Q719" si="381">D720+D721</f>
        <v>703</v>
      </c>
      <c r="E719" s="36">
        <f t="shared" si="381"/>
        <v>1150</v>
      </c>
      <c r="F719" s="36">
        <f t="shared" si="381"/>
        <v>1150</v>
      </c>
      <c r="G719" s="36">
        <f t="shared" si="381"/>
        <v>1348</v>
      </c>
      <c r="H719" s="36">
        <f t="shared" si="381"/>
        <v>0</v>
      </c>
      <c r="I719" s="36">
        <f t="shared" si="381"/>
        <v>0</v>
      </c>
      <c r="J719" s="141">
        <f t="shared" si="381"/>
        <v>1000</v>
      </c>
      <c r="K719" s="141">
        <f>K720+K721</f>
        <v>320</v>
      </c>
      <c r="L719" s="141">
        <f>L720+L721</f>
        <v>270</v>
      </c>
      <c r="M719" s="141">
        <f>M720+M721</f>
        <v>220</v>
      </c>
      <c r="N719" s="141">
        <f>N720+N721</f>
        <v>190</v>
      </c>
      <c r="O719" s="141">
        <f t="shared" si="381"/>
        <v>1400</v>
      </c>
      <c r="P719" s="141">
        <f t="shared" si="381"/>
        <v>1400</v>
      </c>
      <c r="Q719" s="141">
        <f t="shared" si="381"/>
        <v>1400</v>
      </c>
    </row>
    <row r="720" spans="1:17" ht="12.75" customHeight="1">
      <c r="A720" s="90"/>
      <c r="B720" s="89" t="s">
        <v>181</v>
      </c>
      <c r="C720" s="47">
        <v>10</v>
      </c>
      <c r="D720" s="37">
        <v>463</v>
      </c>
      <c r="E720" s="37">
        <f>720+80</f>
        <v>800</v>
      </c>
      <c r="F720" s="32">
        <v>800</v>
      </c>
      <c r="G720" s="32">
        <v>977</v>
      </c>
      <c r="H720" s="32"/>
      <c r="I720" s="37"/>
      <c r="J720" s="137">
        <v>750</v>
      </c>
      <c r="K720" s="137">
        <v>250</v>
      </c>
      <c r="L720" s="137">
        <f>20+180</f>
        <v>200</v>
      </c>
      <c r="M720" s="137">
        <v>150</v>
      </c>
      <c r="N720" s="137">
        <f>11+139</f>
        <v>150</v>
      </c>
      <c r="O720" s="137">
        <v>1000</v>
      </c>
      <c r="P720" s="137">
        <v>1000</v>
      </c>
      <c r="Q720" s="137">
        <v>1000</v>
      </c>
    </row>
    <row r="721" spans="1:17" ht="12.75" customHeight="1">
      <c r="A721" s="90"/>
      <c r="B721" s="89" t="s">
        <v>182</v>
      </c>
      <c r="C721" s="47">
        <v>20</v>
      </c>
      <c r="D721" s="37">
        <v>240</v>
      </c>
      <c r="E721" s="37">
        <f>350-50+50</f>
        <v>350</v>
      </c>
      <c r="F721" s="32">
        <v>350</v>
      </c>
      <c r="G721" s="32">
        <v>371</v>
      </c>
      <c r="H721" s="32"/>
      <c r="I721" s="37"/>
      <c r="J721" s="137">
        <v>250</v>
      </c>
      <c r="K721" s="137">
        <v>70</v>
      </c>
      <c r="L721" s="137">
        <v>70</v>
      </c>
      <c r="M721" s="137">
        <v>70</v>
      </c>
      <c r="N721" s="137">
        <v>40</v>
      </c>
      <c r="O721" s="137">
        <v>400</v>
      </c>
      <c r="P721" s="137">
        <v>400</v>
      </c>
      <c r="Q721" s="137">
        <v>400</v>
      </c>
    </row>
    <row r="722" spans="1:17" ht="12.75" customHeight="1">
      <c r="A722" s="90"/>
      <c r="B722" s="82" t="s">
        <v>191</v>
      </c>
      <c r="C722" s="47"/>
      <c r="D722" s="50">
        <f t="shared" ref="D722:Q722" si="382">D723</f>
        <v>54</v>
      </c>
      <c r="E722" s="50">
        <f t="shared" si="382"/>
        <v>20</v>
      </c>
      <c r="F722" s="50">
        <f t="shared" si="382"/>
        <v>20</v>
      </c>
      <c r="G722" s="50">
        <f t="shared" si="382"/>
        <v>60</v>
      </c>
      <c r="H722" s="50">
        <f t="shared" si="382"/>
        <v>0</v>
      </c>
      <c r="I722" s="50">
        <f t="shared" si="382"/>
        <v>20</v>
      </c>
      <c r="J722" s="146">
        <f t="shared" si="382"/>
        <v>50</v>
      </c>
      <c r="K722" s="146">
        <f t="shared" si="382"/>
        <v>50</v>
      </c>
      <c r="L722" s="146">
        <f t="shared" si="382"/>
        <v>0</v>
      </c>
      <c r="M722" s="146">
        <f t="shared" si="382"/>
        <v>0</v>
      </c>
      <c r="N722" s="146">
        <f t="shared" si="382"/>
        <v>0</v>
      </c>
      <c r="O722" s="146">
        <f t="shared" si="382"/>
        <v>0</v>
      </c>
      <c r="P722" s="146">
        <f t="shared" si="382"/>
        <v>0</v>
      </c>
      <c r="Q722" s="146">
        <f t="shared" si="382"/>
        <v>0</v>
      </c>
    </row>
    <row r="723" spans="1:17" ht="12.75" customHeight="1">
      <c r="A723" s="90"/>
      <c r="B723" s="89" t="s">
        <v>220</v>
      </c>
      <c r="C723" s="47">
        <v>70</v>
      </c>
      <c r="D723" s="37">
        <v>54</v>
      </c>
      <c r="E723" s="37">
        <v>20</v>
      </c>
      <c r="F723" s="32">
        <v>20</v>
      </c>
      <c r="G723" s="32">
        <v>60</v>
      </c>
      <c r="H723" s="32"/>
      <c r="I723" s="37">
        <v>20</v>
      </c>
      <c r="J723" s="137">
        <v>50</v>
      </c>
      <c r="K723" s="137">
        <v>50</v>
      </c>
      <c r="L723" s="137"/>
      <c r="M723" s="137"/>
      <c r="N723" s="137"/>
      <c r="O723" s="137"/>
      <c r="P723" s="137"/>
      <c r="Q723" s="137"/>
    </row>
    <row r="724" spans="1:17" ht="31.5" customHeight="1">
      <c r="A724" s="90" t="s">
        <v>409</v>
      </c>
      <c r="B724" s="87" t="s">
        <v>410</v>
      </c>
      <c r="C724" s="47" t="s">
        <v>411</v>
      </c>
      <c r="D724" s="50">
        <f t="shared" ref="D724:N724" si="383">D730+D738+D746+D755+D763</f>
        <v>6586</v>
      </c>
      <c r="E724" s="50">
        <f t="shared" si="383"/>
        <v>11138</v>
      </c>
      <c r="F724" s="50">
        <f t="shared" si="383"/>
        <v>10163.4</v>
      </c>
      <c r="G724" s="50">
        <f t="shared" si="383"/>
        <v>14558</v>
      </c>
      <c r="H724" s="50">
        <f t="shared" si="383"/>
        <v>0</v>
      </c>
      <c r="I724" s="50">
        <f t="shared" si="383"/>
        <v>1012</v>
      </c>
      <c r="J724" s="146">
        <f t="shared" si="383"/>
        <v>10776</v>
      </c>
      <c r="K724" s="146">
        <f t="shared" si="383"/>
        <v>4626</v>
      </c>
      <c r="L724" s="146">
        <f t="shared" si="383"/>
        <v>2520</v>
      </c>
      <c r="M724" s="146">
        <f t="shared" si="383"/>
        <v>2440</v>
      </c>
      <c r="N724" s="146">
        <f t="shared" si="383"/>
        <v>1190</v>
      </c>
      <c r="O724" s="146">
        <f t="shared" ref="O724:Q727" si="384">O730+O738+O746+O755+O763</f>
        <v>11050</v>
      </c>
      <c r="P724" s="146">
        <f t="shared" si="384"/>
        <v>11050</v>
      </c>
      <c r="Q724" s="146">
        <f t="shared" si="384"/>
        <v>11050</v>
      </c>
    </row>
    <row r="725" spans="1:17" ht="14.25">
      <c r="A725" s="90"/>
      <c r="B725" s="80" t="s">
        <v>179</v>
      </c>
      <c r="C725" s="47"/>
      <c r="D725" s="50">
        <f t="shared" ref="D725:N725" si="385">D731+D739+D747+D756+D764</f>
        <v>5947</v>
      </c>
      <c r="E725" s="50">
        <f t="shared" si="385"/>
        <v>9884</v>
      </c>
      <c r="F725" s="50">
        <f t="shared" si="385"/>
        <v>9331.4599999999991</v>
      </c>
      <c r="G725" s="50">
        <f t="shared" si="385"/>
        <v>12412</v>
      </c>
      <c r="H725" s="50">
        <f t="shared" si="385"/>
        <v>0</v>
      </c>
      <c r="I725" s="50">
        <f t="shared" si="385"/>
        <v>0</v>
      </c>
      <c r="J725" s="146">
        <f t="shared" si="385"/>
        <v>8630</v>
      </c>
      <c r="K725" s="146">
        <f t="shared" si="385"/>
        <v>2480</v>
      </c>
      <c r="L725" s="146">
        <f t="shared" si="385"/>
        <v>2520</v>
      </c>
      <c r="M725" s="146">
        <f t="shared" si="385"/>
        <v>2440</v>
      </c>
      <c r="N725" s="146">
        <f t="shared" si="385"/>
        <v>1190</v>
      </c>
      <c r="O725" s="146">
        <f t="shared" si="384"/>
        <v>11050</v>
      </c>
      <c r="P725" s="146">
        <f t="shared" si="384"/>
        <v>11050</v>
      </c>
      <c r="Q725" s="146">
        <f t="shared" si="384"/>
        <v>11050</v>
      </c>
    </row>
    <row r="726" spans="1:17" ht="14.25">
      <c r="A726" s="90"/>
      <c r="B726" s="82" t="s">
        <v>180</v>
      </c>
      <c r="C726" s="159">
        <v>1</v>
      </c>
      <c r="D726" s="50">
        <f t="shared" ref="D726:N726" si="386">D732+D740+D748+D757+D765</f>
        <v>5947</v>
      </c>
      <c r="E726" s="50">
        <f t="shared" si="386"/>
        <v>9884</v>
      </c>
      <c r="F726" s="50">
        <f t="shared" si="386"/>
        <v>9331.4599999999991</v>
      </c>
      <c r="G726" s="50">
        <f t="shared" si="386"/>
        <v>12412</v>
      </c>
      <c r="H726" s="50">
        <f t="shared" si="386"/>
        <v>0</v>
      </c>
      <c r="I726" s="50">
        <f t="shared" si="386"/>
        <v>0</v>
      </c>
      <c r="J726" s="146">
        <f t="shared" si="386"/>
        <v>8630</v>
      </c>
      <c r="K726" s="146">
        <f t="shared" si="386"/>
        <v>2480</v>
      </c>
      <c r="L726" s="146">
        <f t="shared" si="386"/>
        <v>2520</v>
      </c>
      <c r="M726" s="146">
        <f t="shared" si="386"/>
        <v>2440</v>
      </c>
      <c r="N726" s="146">
        <f t="shared" si="386"/>
        <v>1190</v>
      </c>
      <c r="O726" s="146">
        <f t="shared" si="384"/>
        <v>11050</v>
      </c>
      <c r="P726" s="146">
        <f t="shared" si="384"/>
        <v>11050</v>
      </c>
      <c r="Q726" s="146">
        <f t="shared" si="384"/>
        <v>11050</v>
      </c>
    </row>
    <row r="727" spans="1:17" ht="14.25">
      <c r="A727" s="90"/>
      <c r="B727" s="82" t="s">
        <v>285</v>
      </c>
      <c r="C727" s="159" t="s">
        <v>335</v>
      </c>
      <c r="D727" s="50">
        <f t="shared" ref="D727:N727" si="387">D733+D741+D749+D758+D766</f>
        <v>5947</v>
      </c>
      <c r="E727" s="50">
        <f t="shared" si="387"/>
        <v>9884</v>
      </c>
      <c r="F727" s="50">
        <f t="shared" si="387"/>
        <v>9331.4599999999991</v>
      </c>
      <c r="G727" s="50">
        <f t="shared" si="387"/>
        <v>12412</v>
      </c>
      <c r="H727" s="50">
        <f t="shared" si="387"/>
        <v>0</v>
      </c>
      <c r="I727" s="50">
        <f t="shared" si="387"/>
        <v>0</v>
      </c>
      <c r="J727" s="146">
        <f t="shared" si="387"/>
        <v>8630</v>
      </c>
      <c r="K727" s="146">
        <f t="shared" si="387"/>
        <v>2480</v>
      </c>
      <c r="L727" s="146">
        <f t="shared" si="387"/>
        <v>2520</v>
      </c>
      <c r="M727" s="146">
        <f t="shared" si="387"/>
        <v>2440</v>
      </c>
      <c r="N727" s="146">
        <f t="shared" si="387"/>
        <v>1190</v>
      </c>
      <c r="O727" s="146">
        <f t="shared" si="384"/>
        <v>11050</v>
      </c>
      <c r="P727" s="146">
        <f t="shared" si="384"/>
        <v>11050</v>
      </c>
      <c r="Q727" s="146">
        <f t="shared" si="384"/>
        <v>11050</v>
      </c>
    </row>
    <row r="728" spans="1:17" ht="14.25">
      <c r="A728" s="90"/>
      <c r="B728" s="82" t="s">
        <v>191</v>
      </c>
      <c r="C728" s="47"/>
      <c r="D728" s="50">
        <f t="shared" ref="D728:Q728" si="388">D736+D744+D753+D761+D769</f>
        <v>639</v>
      </c>
      <c r="E728" s="50">
        <f t="shared" si="388"/>
        <v>1254</v>
      </c>
      <c r="F728" s="50">
        <f t="shared" si="388"/>
        <v>831.94</v>
      </c>
      <c r="G728" s="50">
        <f t="shared" si="388"/>
        <v>2146</v>
      </c>
      <c r="H728" s="50">
        <f t="shared" si="388"/>
        <v>0</v>
      </c>
      <c r="I728" s="50">
        <f t="shared" si="388"/>
        <v>1012</v>
      </c>
      <c r="J728" s="146">
        <f t="shared" si="388"/>
        <v>2146</v>
      </c>
      <c r="K728" s="146">
        <f>K736+K744+K753+K761+K769</f>
        <v>2146</v>
      </c>
      <c r="L728" s="146">
        <f>L736+L744+L753+L761+L769</f>
        <v>0</v>
      </c>
      <c r="M728" s="146">
        <f>M736+M744+M753+M761+M769</f>
        <v>0</v>
      </c>
      <c r="N728" s="146">
        <f>N736+N744+N753+N761+N769</f>
        <v>0</v>
      </c>
      <c r="O728" s="146">
        <f t="shared" si="388"/>
        <v>0</v>
      </c>
      <c r="P728" s="146">
        <f t="shared" si="388"/>
        <v>0</v>
      </c>
      <c r="Q728" s="146">
        <f t="shared" si="388"/>
        <v>0</v>
      </c>
    </row>
    <row r="729" spans="1:17" ht="14.25">
      <c r="A729" s="90"/>
      <c r="B729" s="82" t="s">
        <v>197</v>
      </c>
      <c r="C729" s="159">
        <v>51</v>
      </c>
      <c r="D729" s="36">
        <f t="shared" ref="D729:Q729" si="389">D737+D745+D754+D761+D769</f>
        <v>639</v>
      </c>
      <c r="E729" s="36">
        <f t="shared" si="389"/>
        <v>1254</v>
      </c>
      <c r="F729" s="36">
        <f t="shared" si="389"/>
        <v>831.94</v>
      </c>
      <c r="G729" s="36">
        <f t="shared" si="389"/>
        <v>2146</v>
      </c>
      <c r="H729" s="36">
        <f t="shared" si="389"/>
        <v>0</v>
      </c>
      <c r="I729" s="36">
        <f t="shared" si="389"/>
        <v>1012</v>
      </c>
      <c r="J729" s="141">
        <f t="shared" si="389"/>
        <v>2146</v>
      </c>
      <c r="K729" s="141">
        <f>K737+K745+K754+K761+K769</f>
        <v>2146</v>
      </c>
      <c r="L729" s="141">
        <f>L737+L745+L754+L761+L769</f>
        <v>0</v>
      </c>
      <c r="M729" s="141">
        <f>M737+M745+M754+M761+M769</f>
        <v>0</v>
      </c>
      <c r="N729" s="141">
        <f>N737+N745+N754+N761+N769</f>
        <v>0</v>
      </c>
      <c r="O729" s="141">
        <f t="shared" si="389"/>
        <v>0</v>
      </c>
      <c r="P729" s="141">
        <f t="shared" si="389"/>
        <v>0</v>
      </c>
      <c r="Q729" s="141">
        <f t="shared" si="389"/>
        <v>0</v>
      </c>
    </row>
    <row r="730" spans="1:17" ht="25.5" customHeight="1">
      <c r="A730" s="90" t="s">
        <v>412</v>
      </c>
      <c r="B730" s="109" t="s">
        <v>337</v>
      </c>
      <c r="C730" s="47" t="s">
        <v>413</v>
      </c>
      <c r="D730" s="50">
        <f t="shared" ref="D730:Q730" si="390">D731+D736</f>
        <v>939</v>
      </c>
      <c r="E730" s="50">
        <f t="shared" si="390"/>
        <v>1522</v>
      </c>
      <c r="F730" s="50">
        <f t="shared" si="390"/>
        <v>1496</v>
      </c>
      <c r="G730" s="50">
        <f t="shared" si="390"/>
        <v>1855</v>
      </c>
      <c r="H730" s="50">
        <f t="shared" si="390"/>
        <v>0</v>
      </c>
      <c r="I730" s="50">
        <f t="shared" si="390"/>
        <v>0</v>
      </c>
      <c r="J730" s="146">
        <f t="shared" si="390"/>
        <v>1430</v>
      </c>
      <c r="K730" s="146">
        <f>K731+K736</f>
        <v>410</v>
      </c>
      <c r="L730" s="146">
        <f>L731+L736</f>
        <v>450</v>
      </c>
      <c r="M730" s="146">
        <f>M731+M736</f>
        <v>400</v>
      </c>
      <c r="N730" s="146">
        <f>N731+N736</f>
        <v>170</v>
      </c>
      <c r="O730" s="146">
        <f t="shared" si="390"/>
        <v>1750</v>
      </c>
      <c r="P730" s="146">
        <f t="shared" si="390"/>
        <v>1750</v>
      </c>
      <c r="Q730" s="146">
        <f t="shared" si="390"/>
        <v>1750</v>
      </c>
    </row>
    <row r="731" spans="1:17" ht="14.25">
      <c r="A731" s="90"/>
      <c r="B731" s="80" t="s">
        <v>179</v>
      </c>
      <c r="C731" s="47"/>
      <c r="D731" s="50">
        <f t="shared" ref="D731:Q732" si="391">D732</f>
        <v>939</v>
      </c>
      <c r="E731" s="50">
        <f t="shared" si="391"/>
        <v>1522</v>
      </c>
      <c r="F731" s="50">
        <f t="shared" si="391"/>
        <v>1496</v>
      </c>
      <c r="G731" s="50">
        <f t="shared" si="391"/>
        <v>1855</v>
      </c>
      <c r="H731" s="50">
        <f t="shared" si="391"/>
        <v>0</v>
      </c>
      <c r="I731" s="50">
        <f t="shared" si="391"/>
        <v>0</v>
      </c>
      <c r="J731" s="146">
        <f t="shared" si="391"/>
        <v>1430</v>
      </c>
      <c r="K731" s="146">
        <f t="shared" si="391"/>
        <v>410</v>
      </c>
      <c r="L731" s="146">
        <f t="shared" si="391"/>
        <v>450</v>
      </c>
      <c r="M731" s="146">
        <f t="shared" si="391"/>
        <v>400</v>
      </c>
      <c r="N731" s="146">
        <f t="shared" si="391"/>
        <v>170</v>
      </c>
      <c r="O731" s="146">
        <f t="shared" si="391"/>
        <v>1750</v>
      </c>
      <c r="P731" s="146">
        <f t="shared" si="391"/>
        <v>1750</v>
      </c>
      <c r="Q731" s="146">
        <f t="shared" si="391"/>
        <v>1750</v>
      </c>
    </row>
    <row r="732" spans="1:17" ht="15">
      <c r="A732" s="90"/>
      <c r="B732" s="89" t="s">
        <v>180</v>
      </c>
      <c r="C732" s="47">
        <v>1</v>
      </c>
      <c r="D732" s="36">
        <f t="shared" si="391"/>
        <v>939</v>
      </c>
      <c r="E732" s="36">
        <f t="shared" si="391"/>
        <v>1522</v>
      </c>
      <c r="F732" s="36">
        <f t="shared" si="391"/>
        <v>1496</v>
      </c>
      <c r="G732" s="36">
        <f t="shared" si="391"/>
        <v>1855</v>
      </c>
      <c r="H732" s="36">
        <f t="shared" si="391"/>
        <v>0</v>
      </c>
      <c r="I732" s="36">
        <f t="shared" si="391"/>
        <v>0</v>
      </c>
      <c r="J732" s="141">
        <f t="shared" si="391"/>
        <v>1430</v>
      </c>
      <c r="K732" s="141">
        <f t="shared" si="391"/>
        <v>410</v>
      </c>
      <c r="L732" s="141">
        <f t="shared" si="391"/>
        <v>450</v>
      </c>
      <c r="M732" s="141">
        <f t="shared" si="391"/>
        <v>400</v>
      </c>
      <c r="N732" s="141">
        <f t="shared" si="391"/>
        <v>170</v>
      </c>
      <c r="O732" s="141">
        <f t="shared" si="391"/>
        <v>1750</v>
      </c>
      <c r="P732" s="141">
        <f t="shared" si="391"/>
        <v>1750</v>
      </c>
      <c r="Q732" s="141">
        <f t="shared" si="391"/>
        <v>1750</v>
      </c>
    </row>
    <row r="733" spans="1:17" ht="15">
      <c r="A733" s="90"/>
      <c r="B733" s="89" t="s">
        <v>285</v>
      </c>
      <c r="C733" s="47" t="s">
        <v>335</v>
      </c>
      <c r="D733" s="36">
        <f t="shared" ref="D733:Q733" si="392">D734+D735</f>
        <v>939</v>
      </c>
      <c r="E733" s="36">
        <f t="shared" si="392"/>
        <v>1522</v>
      </c>
      <c r="F733" s="36">
        <f t="shared" si="392"/>
        <v>1496</v>
      </c>
      <c r="G733" s="36">
        <f t="shared" si="392"/>
        <v>1855</v>
      </c>
      <c r="H733" s="36">
        <f t="shared" si="392"/>
        <v>0</v>
      </c>
      <c r="I733" s="36">
        <f t="shared" si="392"/>
        <v>0</v>
      </c>
      <c r="J733" s="141">
        <f t="shared" si="392"/>
        <v>1430</v>
      </c>
      <c r="K733" s="141">
        <f>K734+K735</f>
        <v>410</v>
      </c>
      <c r="L733" s="141">
        <f>L734+L735</f>
        <v>450</v>
      </c>
      <c r="M733" s="141">
        <f>M734+M735</f>
        <v>400</v>
      </c>
      <c r="N733" s="141">
        <f>N734+N735</f>
        <v>170</v>
      </c>
      <c r="O733" s="141">
        <f t="shared" si="392"/>
        <v>1750</v>
      </c>
      <c r="P733" s="141">
        <f t="shared" si="392"/>
        <v>1750</v>
      </c>
      <c r="Q733" s="141">
        <f t="shared" si="392"/>
        <v>1750</v>
      </c>
    </row>
    <row r="734" spans="1:17" ht="12.75" customHeight="1">
      <c r="A734" s="90"/>
      <c r="B734" s="89" t="s">
        <v>181</v>
      </c>
      <c r="C734" s="47">
        <v>10</v>
      </c>
      <c r="D734" s="37">
        <v>250</v>
      </c>
      <c r="E734" s="37">
        <v>1272</v>
      </c>
      <c r="F734" s="32">
        <v>1268</v>
      </c>
      <c r="G734" s="32">
        <v>1605</v>
      </c>
      <c r="H734" s="32"/>
      <c r="I734" s="37"/>
      <c r="J734" s="137">
        <f>1200+30</f>
        <v>1230</v>
      </c>
      <c r="K734" s="137">
        <v>360</v>
      </c>
      <c r="L734" s="137">
        <v>400</v>
      </c>
      <c r="M734" s="137">
        <v>350</v>
      </c>
      <c r="N734" s="137">
        <v>120</v>
      </c>
      <c r="O734" s="137">
        <v>1500</v>
      </c>
      <c r="P734" s="137">
        <v>1500</v>
      </c>
      <c r="Q734" s="137">
        <v>1500</v>
      </c>
    </row>
    <row r="735" spans="1:17" ht="14.25" customHeight="1">
      <c r="A735" s="90"/>
      <c r="B735" s="89" t="s">
        <v>182</v>
      </c>
      <c r="C735" s="47">
        <v>20</v>
      </c>
      <c r="D735" s="37">
        <f>939-250</f>
        <v>689</v>
      </c>
      <c r="E735" s="37">
        <v>250</v>
      </c>
      <c r="F735" s="32">
        <v>228</v>
      </c>
      <c r="G735" s="32">
        <v>250</v>
      </c>
      <c r="H735" s="32"/>
      <c r="I735" s="37"/>
      <c r="J735" s="137">
        <f>230-30</f>
        <v>200</v>
      </c>
      <c r="K735" s="137">
        <v>50</v>
      </c>
      <c r="L735" s="137">
        <v>50</v>
      </c>
      <c r="M735" s="137">
        <v>50</v>
      </c>
      <c r="N735" s="137">
        <v>50</v>
      </c>
      <c r="O735" s="137">
        <v>250</v>
      </c>
      <c r="P735" s="137">
        <v>250</v>
      </c>
      <c r="Q735" s="137">
        <v>250</v>
      </c>
    </row>
    <row r="736" spans="1:17" ht="0.75" customHeight="1">
      <c r="A736" s="90"/>
      <c r="B736" s="82" t="s">
        <v>191</v>
      </c>
      <c r="C736" s="47"/>
      <c r="D736" s="37">
        <f>D737</f>
        <v>0</v>
      </c>
      <c r="E736" s="37">
        <f>E737</f>
        <v>0</v>
      </c>
      <c r="F736" s="32"/>
      <c r="G736" s="32"/>
      <c r="H736" s="32"/>
      <c r="I736" s="37">
        <f>I737</f>
        <v>0</v>
      </c>
      <c r="J736" s="137"/>
      <c r="K736" s="137"/>
      <c r="L736" s="137"/>
      <c r="M736" s="137"/>
      <c r="N736" s="137"/>
      <c r="O736" s="137"/>
      <c r="P736" s="137"/>
      <c r="Q736" s="137"/>
    </row>
    <row r="737" spans="1:17" ht="0.75" customHeight="1">
      <c r="A737" s="90"/>
      <c r="B737" s="89" t="s">
        <v>197</v>
      </c>
      <c r="C737" s="47" t="s">
        <v>198</v>
      </c>
      <c r="D737" s="37">
        <v>0</v>
      </c>
      <c r="E737" s="37">
        <v>0</v>
      </c>
      <c r="F737" s="32"/>
      <c r="G737" s="32"/>
      <c r="H737" s="32"/>
      <c r="I737" s="37">
        <v>0</v>
      </c>
      <c r="J737" s="137"/>
      <c r="K737" s="137"/>
      <c r="L737" s="137"/>
      <c r="M737" s="137"/>
      <c r="N737" s="137"/>
      <c r="O737" s="137"/>
      <c r="P737" s="137"/>
      <c r="Q737" s="137"/>
    </row>
    <row r="738" spans="1:17" ht="27" customHeight="1">
      <c r="A738" s="90" t="s">
        <v>414</v>
      </c>
      <c r="B738" s="109" t="s">
        <v>339</v>
      </c>
      <c r="C738" s="47" t="s">
        <v>415</v>
      </c>
      <c r="D738" s="50">
        <f t="shared" ref="D738:Q738" si="393">D739+D744</f>
        <v>1630</v>
      </c>
      <c r="E738" s="50">
        <f t="shared" si="393"/>
        <v>3213</v>
      </c>
      <c r="F738" s="50">
        <f t="shared" si="393"/>
        <v>2769.4</v>
      </c>
      <c r="G738" s="50">
        <f t="shared" si="393"/>
        <v>4059</v>
      </c>
      <c r="H738" s="50">
        <f t="shared" si="393"/>
        <v>0</v>
      </c>
      <c r="I738" s="50">
        <f t="shared" si="393"/>
        <v>1000</v>
      </c>
      <c r="J738" s="146">
        <f t="shared" si="393"/>
        <v>3833</v>
      </c>
      <c r="K738" s="146">
        <f>K739+K744</f>
        <v>2543</v>
      </c>
      <c r="L738" s="146">
        <f>L739+L744</f>
        <v>475</v>
      </c>
      <c r="M738" s="146">
        <f>M739+M744</f>
        <v>475</v>
      </c>
      <c r="N738" s="146">
        <f>N739+N744</f>
        <v>340</v>
      </c>
      <c r="O738" s="146">
        <f t="shared" si="393"/>
        <v>1800</v>
      </c>
      <c r="P738" s="146">
        <f t="shared" si="393"/>
        <v>1800</v>
      </c>
      <c r="Q738" s="146">
        <f t="shared" si="393"/>
        <v>1800</v>
      </c>
    </row>
    <row r="739" spans="1:17" ht="14.25">
      <c r="A739" s="90"/>
      <c r="B739" s="80" t="s">
        <v>179</v>
      </c>
      <c r="C739" s="47"/>
      <c r="D739" s="50">
        <f t="shared" ref="D739:Q740" si="394">D740</f>
        <v>1389</v>
      </c>
      <c r="E739" s="50">
        <f t="shared" si="394"/>
        <v>2063</v>
      </c>
      <c r="F739" s="50">
        <f t="shared" si="394"/>
        <v>2031.46</v>
      </c>
      <c r="G739" s="50">
        <f t="shared" si="394"/>
        <v>1976</v>
      </c>
      <c r="H739" s="50">
        <f t="shared" si="394"/>
        <v>0</v>
      </c>
      <c r="I739" s="50">
        <f t="shared" si="394"/>
        <v>0</v>
      </c>
      <c r="J739" s="146">
        <f t="shared" si="394"/>
        <v>1750</v>
      </c>
      <c r="K739" s="146">
        <f t="shared" si="394"/>
        <v>460</v>
      </c>
      <c r="L739" s="146">
        <f t="shared" si="394"/>
        <v>475</v>
      </c>
      <c r="M739" s="146">
        <f t="shared" si="394"/>
        <v>475</v>
      </c>
      <c r="N739" s="146">
        <f t="shared" si="394"/>
        <v>340</v>
      </c>
      <c r="O739" s="146">
        <f t="shared" si="394"/>
        <v>1800</v>
      </c>
      <c r="P739" s="146">
        <f t="shared" si="394"/>
        <v>1800</v>
      </c>
      <c r="Q739" s="146">
        <f t="shared" si="394"/>
        <v>1800</v>
      </c>
    </row>
    <row r="740" spans="1:17" ht="15">
      <c r="A740" s="90"/>
      <c r="B740" s="89" t="s">
        <v>180</v>
      </c>
      <c r="C740" s="47">
        <v>1</v>
      </c>
      <c r="D740" s="36">
        <f t="shared" si="394"/>
        <v>1389</v>
      </c>
      <c r="E740" s="36">
        <f t="shared" si="394"/>
        <v>2063</v>
      </c>
      <c r="F740" s="36">
        <f t="shared" si="394"/>
        <v>2031.46</v>
      </c>
      <c r="G740" s="36">
        <f t="shared" si="394"/>
        <v>1976</v>
      </c>
      <c r="H740" s="36">
        <f t="shared" si="394"/>
        <v>0</v>
      </c>
      <c r="I740" s="36">
        <f t="shared" si="394"/>
        <v>0</v>
      </c>
      <c r="J740" s="141">
        <f t="shared" si="394"/>
        <v>1750</v>
      </c>
      <c r="K740" s="141">
        <f t="shared" si="394"/>
        <v>460</v>
      </c>
      <c r="L740" s="141">
        <f t="shared" si="394"/>
        <v>475</v>
      </c>
      <c r="M740" s="141">
        <f t="shared" si="394"/>
        <v>475</v>
      </c>
      <c r="N740" s="141">
        <f t="shared" si="394"/>
        <v>340</v>
      </c>
      <c r="O740" s="141">
        <f t="shared" si="394"/>
        <v>1800</v>
      </c>
      <c r="P740" s="141">
        <f t="shared" si="394"/>
        <v>1800</v>
      </c>
      <c r="Q740" s="141">
        <f t="shared" si="394"/>
        <v>1800</v>
      </c>
    </row>
    <row r="741" spans="1:17" ht="15" customHeight="1">
      <c r="A741" s="90"/>
      <c r="B741" s="89" t="s">
        <v>285</v>
      </c>
      <c r="C741" s="47" t="s">
        <v>335</v>
      </c>
      <c r="D741" s="36">
        <f t="shared" ref="D741:Q741" si="395">D742+D743</f>
        <v>1389</v>
      </c>
      <c r="E741" s="36">
        <f t="shared" si="395"/>
        <v>2063</v>
      </c>
      <c r="F741" s="36">
        <f t="shared" si="395"/>
        <v>2031.46</v>
      </c>
      <c r="G741" s="36">
        <f t="shared" si="395"/>
        <v>1976</v>
      </c>
      <c r="H741" s="36">
        <f t="shared" si="395"/>
        <v>0</v>
      </c>
      <c r="I741" s="36">
        <f t="shared" si="395"/>
        <v>0</v>
      </c>
      <c r="J741" s="141">
        <f t="shared" si="395"/>
        <v>1750</v>
      </c>
      <c r="K741" s="141">
        <f>K742+K743</f>
        <v>460</v>
      </c>
      <c r="L741" s="141">
        <f>L742+L743</f>
        <v>475</v>
      </c>
      <c r="M741" s="141">
        <f>M742+M743</f>
        <v>475</v>
      </c>
      <c r="N741" s="141">
        <f>N742+N743</f>
        <v>340</v>
      </c>
      <c r="O741" s="141">
        <f t="shared" si="395"/>
        <v>1800</v>
      </c>
      <c r="P741" s="141">
        <f t="shared" si="395"/>
        <v>1800</v>
      </c>
      <c r="Q741" s="141">
        <f t="shared" si="395"/>
        <v>1800</v>
      </c>
    </row>
    <row r="742" spans="1:17" ht="13.5" customHeight="1">
      <c r="A742" s="90"/>
      <c r="B742" s="89" t="s">
        <v>181</v>
      </c>
      <c r="C742" s="47">
        <v>10</v>
      </c>
      <c r="D742" s="37">
        <v>775</v>
      </c>
      <c r="E742" s="37">
        <v>1412</v>
      </c>
      <c r="F742" s="32">
        <v>1392.68</v>
      </c>
      <c r="G742" s="32">
        <v>1424</v>
      </c>
      <c r="H742" s="32"/>
      <c r="I742" s="37"/>
      <c r="J742" s="137">
        <v>1300</v>
      </c>
      <c r="K742" s="137">
        <v>360</v>
      </c>
      <c r="L742" s="137">
        <v>350</v>
      </c>
      <c r="M742" s="137">
        <v>350</v>
      </c>
      <c r="N742" s="137">
        <v>240</v>
      </c>
      <c r="O742" s="137">
        <v>1300</v>
      </c>
      <c r="P742" s="137">
        <v>1300</v>
      </c>
      <c r="Q742" s="137">
        <v>1300</v>
      </c>
    </row>
    <row r="743" spans="1:17" ht="12.75" customHeight="1">
      <c r="A743" s="90"/>
      <c r="B743" s="89" t="s">
        <v>182</v>
      </c>
      <c r="C743" s="47">
        <v>20</v>
      </c>
      <c r="D743" s="37">
        <f>1389-775</f>
        <v>614</v>
      </c>
      <c r="E743" s="37">
        <v>651</v>
      </c>
      <c r="F743" s="32">
        <v>638.78</v>
      </c>
      <c r="G743" s="32">
        <v>552</v>
      </c>
      <c r="H743" s="32"/>
      <c r="I743" s="37"/>
      <c r="J743" s="137">
        <v>450</v>
      </c>
      <c r="K743" s="137">
        <v>100</v>
      </c>
      <c r="L743" s="137">
        <v>125</v>
      </c>
      <c r="M743" s="137">
        <v>125</v>
      </c>
      <c r="N743" s="137">
        <v>100</v>
      </c>
      <c r="O743" s="137">
        <v>500</v>
      </c>
      <c r="P743" s="137">
        <v>500</v>
      </c>
      <c r="Q743" s="137">
        <v>500</v>
      </c>
    </row>
    <row r="744" spans="1:17" ht="15.75" customHeight="1">
      <c r="A744" s="90"/>
      <c r="B744" s="82" t="s">
        <v>191</v>
      </c>
      <c r="C744" s="47"/>
      <c r="D744" s="50">
        <f t="shared" ref="D744:Q744" si="396">D745</f>
        <v>241</v>
      </c>
      <c r="E744" s="50">
        <f t="shared" si="396"/>
        <v>1150</v>
      </c>
      <c r="F744" s="50">
        <f t="shared" si="396"/>
        <v>737.94</v>
      </c>
      <c r="G744" s="50">
        <f t="shared" si="396"/>
        <v>2083</v>
      </c>
      <c r="H744" s="50">
        <f t="shared" si="396"/>
        <v>0</v>
      </c>
      <c r="I744" s="50">
        <f t="shared" si="396"/>
        <v>1000</v>
      </c>
      <c r="J744" s="146">
        <f t="shared" si="396"/>
        <v>2083</v>
      </c>
      <c r="K744" s="146">
        <f t="shared" si="396"/>
        <v>2083</v>
      </c>
      <c r="L744" s="146">
        <f t="shared" si="396"/>
        <v>0</v>
      </c>
      <c r="M744" s="146">
        <f t="shared" si="396"/>
        <v>0</v>
      </c>
      <c r="N744" s="146">
        <f t="shared" si="396"/>
        <v>0</v>
      </c>
      <c r="O744" s="146">
        <f t="shared" si="396"/>
        <v>0</v>
      </c>
      <c r="P744" s="146">
        <f t="shared" si="396"/>
        <v>0</v>
      </c>
      <c r="Q744" s="146">
        <f t="shared" si="396"/>
        <v>0</v>
      </c>
    </row>
    <row r="745" spans="1:17" ht="15">
      <c r="A745" s="90"/>
      <c r="B745" s="89" t="s">
        <v>197</v>
      </c>
      <c r="C745" s="47" t="s">
        <v>198</v>
      </c>
      <c r="D745" s="37">
        <v>241</v>
      </c>
      <c r="E745" s="37">
        <v>1150</v>
      </c>
      <c r="F745" s="32">
        <v>737.94</v>
      </c>
      <c r="G745" s="32">
        <v>2083</v>
      </c>
      <c r="H745" s="32">
        <v>0</v>
      </c>
      <c r="I745" s="37">
        <v>1000</v>
      </c>
      <c r="J745" s="137">
        <v>2083</v>
      </c>
      <c r="K745" s="137">
        <v>2083</v>
      </c>
      <c r="L745" s="137"/>
      <c r="M745" s="137"/>
      <c r="N745" s="137"/>
      <c r="O745" s="137">
        <v>0</v>
      </c>
      <c r="P745" s="137"/>
      <c r="Q745" s="137"/>
    </row>
    <row r="746" spans="1:17" ht="28.5">
      <c r="A746" s="90" t="s">
        <v>416</v>
      </c>
      <c r="B746" s="109" t="s">
        <v>417</v>
      </c>
      <c r="C746" s="47" t="s">
        <v>418</v>
      </c>
      <c r="D746" s="50">
        <f t="shared" ref="D746:Q746" si="397">D747+D753</f>
        <v>2766</v>
      </c>
      <c r="E746" s="50">
        <f t="shared" si="397"/>
        <v>4094</v>
      </c>
      <c r="F746" s="50">
        <f t="shared" si="397"/>
        <v>3946</v>
      </c>
      <c r="G746" s="50">
        <f t="shared" si="397"/>
        <v>4350</v>
      </c>
      <c r="H746" s="50">
        <f t="shared" si="397"/>
        <v>0</v>
      </c>
      <c r="I746" s="50">
        <f t="shared" si="397"/>
        <v>0</v>
      </c>
      <c r="J746" s="146">
        <f t="shared" si="397"/>
        <v>3500</v>
      </c>
      <c r="K746" s="146">
        <f>K747+K753</f>
        <v>1050</v>
      </c>
      <c r="L746" s="146">
        <f>L747+L753</f>
        <v>975</v>
      </c>
      <c r="M746" s="146">
        <f>M747+M753</f>
        <v>975</v>
      </c>
      <c r="N746" s="146">
        <f>N747+N753</f>
        <v>500</v>
      </c>
      <c r="O746" s="146">
        <f t="shared" si="397"/>
        <v>4600</v>
      </c>
      <c r="P746" s="146">
        <f t="shared" si="397"/>
        <v>4600</v>
      </c>
      <c r="Q746" s="146">
        <f t="shared" si="397"/>
        <v>4600</v>
      </c>
    </row>
    <row r="747" spans="1:17" ht="14.25">
      <c r="A747" s="90"/>
      <c r="B747" s="80" t="s">
        <v>179</v>
      </c>
      <c r="C747" s="47"/>
      <c r="D747" s="50">
        <f t="shared" ref="D747:Q748" si="398">D748</f>
        <v>2368</v>
      </c>
      <c r="E747" s="50">
        <f t="shared" si="398"/>
        <v>4014</v>
      </c>
      <c r="F747" s="50">
        <f t="shared" si="398"/>
        <v>3871</v>
      </c>
      <c r="G747" s="50">
        <f t="shared" si="398"/>
        <v>4350</v>
      </c>
      <c r="H747" s="50">
        <f t="shared" si="398"/>
        <v>0</v>
      </c>
      <c r="I747" s="50">
        <f t="shared" si="398"/>
        <v>0</v>
      </c>
      <c r="J747" s="146">
        <f t="shared" si="398"/>
        <v>3500</v>
      </c>
      <c r="K747" s="146">
        <f t="shared" si="398"/>
        <v>1050</v>
      </c>
      <c r="L747" s="146">
        <f t="shared" si="398"/>
        <v>975</v>
      </c>
      <c r="M747" s="146">
        <f t="shared" si="398"/>
        <v>975</v>
      </c>
      <c r="N747" s="146">
        <f t="shared" si="398"/>
        <v>500</v>
      </c>
      <c r="O747" s="146">
        <f t="shared" si="398"/>
        <v>4600</v>
      </c>
      <c r="P747" s="146">
        <f t="shared" si="398"/>
        <v>4600</v>
      </c>
      <c r="Q747" s="146">
        <f t="shared" si="398"/>
        <v>4600</v>
      </c>
    </row>
    <row r="748" spans="1:17" ht="15">
      <c r="A748" s="90"/>
      <c r="B748" s="89" t="s">
        <v>180</v>
      </c>
      <c r="C748" s="47">
        <v>1</v>
      </c>
      <c r="D748" s="36">
        <f t="shared" si="398"/>
        <v>2368</v>
      </c>
      <c r="E748" s="36">
        <f t="shared" si="398"/>
        <v>4014</v>
      </c>
      <c r="F748" s="36">
        <f t="shared" si="398"/>
        <v>3871</v>
      </c>
      <c r="G748" s="36">
        <f t="shared" si="398"/>
        <v>4350</v>
      </c>
      <c r="H748" s="36">
        <f t="shared" si="398"/>
        <v>0</v>
      </c>
      <c r="I748" s="36">
        <f t="shared" si="398"/>
        <v>0</v>
      </c>
      <c r="J748" s="141">
        <f t="shared" si="398"/>
        <v>3500</v>
      </c>
      <c r="K748" s="141">
        <f t="shared" si="398"/>
        <v>1050</v>
      </c>
      <c r="L748" s="141">
        <f t="shared" si="398"/>
        <v>975</v>
      </c>
      <c r="M748" s="141">
        <f t="shared" si="398"/>
        <v>975</v>
      </c>
      <c r="N748" s="141">
        <f t="shared" si="398"/>
        <v>500</v>
      </c>
      <c r="O748" s="141">
        <f t="shared" si="398"/>
        <v>4600</v>
      </c>
      <c r="P748" s="141">
        <f t="shared" si="398"/>
        <v>4600</v>
      </c>
      <c r="Q748" s="141">
        <f t="shared" si="398"/>
        <v>4600</v>
      </c>
    </row>
    <row r="749" spans="1:17" ht="15">
      <c r="A749" s="90"/>
      <c r="B749" s="89" t="s">
        <v>285</v>
      </c>
      <c r="C749" s="47" t="s">
        <v>335</v>
      </c>
      <c r="D749" s="36">
        <f t="shared" ref="D749:I749" si="399">D750+D751</f>
        <v>2368</v>
      </c>
      <c r="E749" s="36">
        <f t="shared" si="399"/>
        <v>4014</v>
      </c>
      <c r="F749" s="36">
        <f t="shared" si="399"/>
        <v>3871</v>
      </c>
      <c r="G749" s="36">
        <f t="shared" si="399"/>
        <v>4350</v>
      </c>
      <c r="H749" s="36">
        <f t="shared" si="399"/>
        <v>0</v>
      </c>
      <c r="I749" s="36">
        <f t="shared" si="399"/>
        <v>0</v>
      </c>
      <c r="J749" s="141">
        <f>J750+J751+J752</f>
        <v>3500</v>
      </c>
      <c r="K749" s="141">
        <f t="shared" ref="K749:Q749" si="400">K750+K751+K752</f>
        <v>1050</v>
      </c>
      <c r="L749" s="141">
        <f t="shared" si="400"/>
        <v>975</v>
      </c>
      <c r="M749" s="141">
        <f t="shared" si="400"/>
        <v>975</v>
      </c>
      <c r="N749" s="141">
        <f t="shared" si="400"/>
        <v>500</v>
      </c>
      <c r="O749" s="141">
        <f t="shared" si="400"/>
        <v>4600</v>
      </c>
      <c r="P749" s="141">
        <f t="shared" si="400"/>
        <v>4600</v>
      </c>
      <c r="Q749" s="141">
        <f t="shared" si="400"/>
        <v>4600</v>
      </c>
    </row>
    <row r="750" spans="1:17" ht="15.75" customHeight="1">
      <c r="A750" s="90"/>
      <c r="B750" s="89" t="s">
        <v>181</v>
      </c>
      <c r="C750" s="47">
        <v>10</v>
      </c>
      <c r="D750" s="37">
        <v>2229</v>
      </c>
      <c r="E750" s="37">
        <v>3314</v>
      </c>
      <c r="F750" s="32">
        <v>3219</v>
      </c>
      <c r="G750" s="32">
        <v>3650</v>
      </c>
      <c r="H750" s="32"/>
      <c r="I750" s="37"/>
      <c r="J750" s="137">
        <f>3000-45</f>
        <v>2955</v>
      </c>
      <c r="K750" s="137">
        <f>900-10</f>
        <v>890</v>
      </c>
      <c r="L750" s="137">
        <f>850-12</f>
        <v>838</v>
      </c>
      <c r="M750" s="137">
        <f>850-12</f>
        <v>838</v>
      </c>
      <c r="N750" s="137">
        <f>400-11</f>
        <v>389</v>
      </c>
      <c r="O750" s="137">
        <v>3900</v>
      </c>
      <c r="P750" s="137">
        <v>3900</v>
      </c>
      <c r="Q750" s="137">
        <v>3900</v>
      </c>
    </row>
    <row r="751" spans="1:17" ht="15" customHeight="1">
      <c r="A751" s="90"/>
      <c r="B751" s="89" t="s">
        <v>182</v>
      </c>
      <c r="C751" s="47">
        <v>20</v>
      </c>
      <c r="D751" s="37">
        <f>2368-2229</f>
        <v>139</v>
      </c>
      <c r="E751" s="37">
        <v>700</v>
      </c>
      <c r="F751" s="32">
        <v>652</v>
      </c>
      <c r="G751" s="32">
        <v>700</v>
      </c>
      <c r="H751" s="32"/>
      <c r="I751" s="37"/>
      <c r="J751" s="137">
        <v>500</v>
      </c>
      <c r="K751" s="137">
        <v>150</v>
      </c>
      <c r="L751" s="137">
        <v>125</v>
      </c>
      <c r="M751" s="137">
        <v>125</v>
      </c>
      <c r="N751" s="137">
        <v>100</v>
      </c>
      <c r="O751" s="137">
        <v>700</v>
      </c>
      <c r="P751" s="137">
        <v>700</v>
      </c>
      <c r="Q751" s="137">
        <v>700</v>
      </c>
    </row>
    <row r="752" spans="1:17" ht="15" customHeight="1">
      <c r="A752" s="90"/>
      <c r="B752" s="89" t="s">
        <v>543</v>
      </c>
      <c r="C752" s="47">
        <v>59</v>
      </c>
      <c r="D752" s="37"/>
      <c r="E752" s="37"/>
      <c r="F752" s="32"/>
      <c r="G752" s="32"/>
      <c r="H752" s="32"/>
      <c r="I752" s="37"/>
      <c r="J752" s="137">
        <v>45</v>
      </c>
      <c r="K752" s="137">
        <v>10</v>
      </c>
      <c r="L752" s="137">
        <v>12</v>
      </c>
      <c r="M752" s="137">
        <v>12</v>
      </c>
      <c r="N752" s="137">
        <v>11</v>
      </c>
      <c r="O752" s="137"/>
      <c r="P752" s="137"/>
      <c r="Q752" s="137"/>
    </row>
    <row r="753" spans="1:17" ht="12" customHeight="1">
      <c r="A753" s="90"/>
      <c r="B753" s="82" t="s">
        <v>191</v>
      </c>
      <c r="C753" s="47"/>
      <c r="D753" s="50">
        <f t="shared" ref="D753:Q753" si="401">D754</f>
        <v>398</v>
      </c>
      <c r="E753" s="50">
        <f t="shared" si="401"/>
        <v>80</v>
      </c>
      <c r="F753" s="50">
        <f t="shared" si="401"/>
        <v>75</v>
      </c>
      <c r="G753" s="50">
        <f t="shared" si="401"/>
        <v>0</v>
      </c>
      <c r="H753" s="50">
        <f t="shared" si="401"/>
        <v>0</v>
      </c>
      <c r="I753" s="50">
        <f t="shared" si="401"/>
        <v>0</v>
      </c>
      <c r="J753" s="146">
        <f t="shared" si="401"/>
        <v>0</v>
      </c>
      <c r="K753" s="146">
        <f t="shared" si="401"/>
        <v>0</v>
      </c>
      <c r="L753" s="146">
        <f t="shared" si="401"/>
        <v>0</v>
      </c>
      <c r="M753" s="146">
        <f t="shared" si="401"/>
        <v>0</v>
      </c>
      <c r="N753" s="146">
        <f t="shared" si="401"/>
        <v>0</v>
      </c>
      <c r="O753" s="146">
        <f t="shared" si="401"/>
        <v>0</v>
      </c>
      <c r="P753" s="146">
        <f t="shared" si="401"/>
        <v>0</v>
      </c>
      <c r="Q753" s="146">
        <f t="shared" si="401"/>
        <v>0</v>
      </c>
    </row>
    <row r="754" spans="1:17" ht="15" customHeight="1">
      <c r="A754" s="90"/>
      <c r="B754" s="89" t="s">
        <v>197</v>
      </c>
      <c r="C754" s="47">
        <v>51</v>
      </c>
      <c r="D754" s="37">
        <v>398</v>
      </c>
      <c r="E754" s="37">
        <v>80</v>
      </c>
      <c r="F754" s="32">
        <v>75</v>
      </c>
      <c r="G754" s="32">
        <v>0</v>
      </c>
      <c r="H754" s="32"/>
      <c r="I754" s="37"/>
      <c r="J754" s="137">
        <v>0</v>
      </c>
      <c r="K754" s="137">
        <v>0</v>
      </c>
      <c r="L754" s="137">
        <v>0</v>
      </c>
      <c r="M754" s="137">
        <v>0</v>
      </c>
      <c r="N754" s="137">
        <v>0</v>
      </c>
      <c r="O754" s="137"/>
      <c r="P754" s="137"/>
      <c r="Q754" s="137"/>
    </row>
    <row r="755" spans="1:17" ht="33" customHeight="1">
      <c r="A755" s="90" t="s">
        <v>419</v>
      </c>
      <c r="B755" s="109" t="s">
        <v>420</v>
      </c>
      <c r="C755" s="47" t="s">
        <v>418</v>
      </c>
      <c r="D755" s="50">
        <f t="shared" ref="D755:Q755" si="402">D756+D761</f>
        <v>979</v>
      </c>
      <c r="E755" s="50">
        <f t="shared" si="402"/>
        <v>1597</v>
      </c>
      <c r="F755" s="50">
        <f t="shared" si="402"/>
        <v>1561</v>
      </c>
      <c r="G755" s="50">
        <f t="shared" si="402"/>
        <v>1869</v>
      </c>
      <c r="H755" s="50">
        <f t="shared" si="402"/>
        <v>0</v>
      </c>
      <c r="I755" s="50">
        <f t="shared" si="402"/>
        <v>12</v>
      </c>
      <c r="J755" s="146">
        <f t="shared" si="402"/>
        <v>1313</v>
      </c>
      <c r="K755" s="146">
        <f>K756+K761</f>
        <v>463</v>
      </c>
      <c r="L755" s="146">
        <f>L756+L761</f>
        <v>420</v>
      </c>
      <c r="M755" s="146">
        <f>M756+M761</f>
        <v>390</v>
      </c>
      <c r="N755" s="146">
        <f>N756+N761</f>
        <v>40</v>
      </c>
      <c r="O755" s="146">
        <f t="shared" si="402"/>
        <v>1400</v>
      </c>
      <c r="P755" s="146">
        <f t="shared" si="402"/>
        <v>1400</v>
      </c>
      <c r="Q755" s="146">
        <f t="shared" si="402"/>
        <v>1400</v>
      </c>
    </row>
    <row r="756" spans="1:17" ht="15" customHeight="1">
      <c r="A756" s="90"/>
      <c r="B756" s="80" t="s">
        <v>179</v>
      </c>
      <c r="C756" s="47"/>
      <c r="D756" s="36">
        <f t="shared" ref="D756:Q757" si="403">D757</f>
        <v>979</v>
      </c>
      <c r="E756" s="36">
        <f t="shared" si="403"/>
        <v>1585</v>
      </c>
      <c r="F756" s="36">
        <f t="shared" si="403"/>
        <v>1553</v>
      </c>
      <c r="G756" s="36">
        <f t="shared" si="403"/>
        <v>1806</v>
      </c>
      <c r="H756" s="36">
        <f t="shared" si="403"/>
        <v>0</v>
      </c>
      <c r="I756" s="36">
        <f t="shared" si="403"/>
        <v>0</v>
      </c>
      <c r="J756" s="141">
        <f t="shared" si="403"/>
        <v>1250</v>
      </c>
      <c r="K756" s="141">
        <f t="shared" si="403"/>
        <v>400</v>
      </c>
      <c r="L756" s="141">
        <f t="shared" si="403"/>
        <v>420</v>
      </c>
      <c r="M756" s="141">
        <f t="shared" si="403"/>
        <v>390</v>
      </c>
      <c r="N756" s="141">
        <f t="shared" si="403"/>
        <v>40</v>
      </c>
      <c r="O756" s="141">
        <f t="shared" si="403"/>
        <v>1400</v>
      </c>
      <c r="P756" s="141">
        <f t="shared" si="403"/>
        <v>1400</v>
      </c>
      <c r="Q756" s="141">
        <f t="shared" si="403"/>
        <v>1400</v>
      </c>
    </row>
    <row r="757" spans="1:17" ht="15" customHeight="1">
      <c r="A757" s="90"/>
      <c r="B757" s="89" t="s">
        <v>180</v>
      </c>
      <c r="C757" s="47">
        <v>1</v>
      </c>
      <c r="D757" s="36">
        <f t="shared" si="403"/>
        <v>979</v>
      </c>
      <c r="E757" s="36">
        <f t="shared" si="403"/>
        <v>1585</v>
      </c>
      <c r="F757" s="36">
        <f t="shared" si="403"/>
        <v>1553</v>
      </c>
      <c r="G757" s="36">
        <f t="shared" si="403"/>
        <v>1806</v>
      </c>
      <c r="H757" s="36">
        <f t="shared" si="403"/>
        <v>0</v>
      </c>
      <c r="I757" s="36">
        <f t="shared" si="403"/>
        <v>0</v>
      </c>
      <c r="J757" s="141">
        <f t="shared" si="403"/>
        <v>1250</v>
      </c>
      <c r="K757" s="141">
        <f t="shared" si="403"/>
        <v>400</v>
      </c>
      <c r="L757" s="141">
        <f t="shared" si="403"/>
        <v>420</v>
      </c>
      <c r="M757" s="141">
        <f t="shared" si="403"/>
        <v>390</v>
      </c>
      <c r="N757" s="141">
        <f t="shared" si="403"/>
        <v>40</v>
      </c>
      <c r="O757" s="141">
        <f t="shared" si="403"/>
        <v>1400</v>
      </c>
      <c r="P757" s="141">
        <f t="shared" si="403"/>
        <v>1400</v>
      </c>
      <c r="Q757" s="141">
        <f t="shared" si="403"/>
        <v>1400</v>
      </c>
    </row>
    <row r="758" spans="1:17" ht="15" customHeight="1">
      <c r="A758" s="90"/>
      <c r="B758" s="89" t="s">
        <v>285</v>
      </c>
      <c r="C758" s="47" t="s">
        <v>335</v>
      </c>
      <c r="D758" s="36">
        <f t="shared" ref="D758:Q758" si="404">D759+D760</f>
        <v>979</v>
      </c>
      <c r="E758" s="36">
        <f t="shared" si="404"/>
        <v>1585</v>
      </c>
      <c r="F758" s="36">
        <f t="shared" si="404"/>
        <v>1553</v>
      </c>
      <c r="G758" s="36">
        <f t="shared" si="404"/>
        <v>1806</v>
      </c>
      <c r="H758" s="36">
        <f t="shared" si="404"/>
        <v>0</v>
      </c>
      <c r="I758" s="36">
        <f t="shared" si="404"/>
        <v>0</v>
      </c>
      <c r="J758" s="141">
        <f t="shared" si="404"/>
        <v>1250</v>
      </c>
      <c r="K758" s="141">
        <f>K759+K760</f>
        <v>400</v>
      </c>
      <c r="L758" s="141">
        <f>L759+L760</f>
        <v>420</v>
      </c>
      <c r="M758" s="141">
        <f>M759+M760</f>
        <v>390</v>
      </c>
      <c r="N758" s="141">
        <f>N759+N760</f>
        <v>40</v>
      </c>
      <c r="O758" s="141">
        <f t="shared" si="404"/>
        <v>1400</v>
      </c>
      <c r="P758" s="141">
        <f t="shared" si="404"/>
        <v>1400</v>
      </c>
      <c r="Q758" s="141">
        <f t="shared" si="404"/>
        <v>1400</v>
      </c>
    </row>
    <row r="759" spans="1:17" ht="15" customHeight="1">
      <c r="A759" s="90"/>
      <c r="B759" s="89" t="s">
        <v>181</v>
      </c>
      <c r="C759" s="47">
        <v>10</v>
      </c>
      <c r="D759" s="37">
        <v>687</v>
      </c>
      <c r="E759" s="37">
        <v>1220</v>
      </c>
      <c r="F759" s="32">
        <v>1205</v>
      </c>
      <c r="G759" s="32">
        <v>1338</v>
      </c>
      <c r="H759" s="32"/>
      <c r="I759" s="37"/>
      <c r="J759" s="137">
        <v>1000</v>
      </c>
      <c r="K759" s="137">
        <v>330</v>
      </c>
      <c r="L759" s="137">
        <v>350</v>
      </c>
      <c r="M759" s="137">
        <v>320</v>
      </c>
      <c r="N759" s="137">
        <v>0</v>
      </c>
      <c r="O759" s="137">
        <v>1100</v>
      </c>
      <c r="P759" s="137">
        <v>1100</v>
      </c>
      <c r="Q759" s="137">
        <v>1100</v>
      </c>
    </row>
    <row r="760" spans="1:17" ht="15" customHeight="1">
      <c r="A760" s="90"/>
      <c r="B760" s="89" t="s">
        <v>182</v>
      </c>
      <c r="C760" s="47">
        <v>20</v>
      </c>
      <c r="D760" s="37">
        <f>979-687</f>
        <v>292</v>
      </c>
      <c r="E760" s="37">
        <v>365</v>
      </c>
      <c r="F760" s="32">
        <v>348</v>
      </c>
      <c r="G760" s="32">
        <v>468</v>
      </c>
      <c r="H760" s="32"/>
      <c r="I760" s="37"/>
      <c r="J760" s="137">
        <v>250</v>
      </c>
      <c r="K760" s="137">
        <v>70</v>
      </c>
      <c r="L760" s="137">
        <v>70</v>
      </c>
      <c r="M760" s="137">
        <v>70</v>
      </c>
      <c r="N760" s="137">
        <v>40</v>
      </c>
      <c r="O760" s="137">
        <v>300</v>
      </c>
      <c r="P760" s="137">
        <v>300</v>
      </c>
      <c r="Q760" s="137">
        <v>300</v>
      </c>
    </row>
    <row r="761" spans="1:17" ht="15" customHeight="1">
      <c r="A761" s="90"/>
      <c r="B761" s="82" t="s">
        <v>191</v>
      </c>
      <c r="C761" s="47"/>
      <c r="D761" s="50">
        <f t="shared" ref="D761:Q761" si="405">D762</f>
        <v>0</v>
      </c>
      <c r="E761" s="50">
        <f t="shared" si="405"/>
        <v>12</v>
      </c>
      <c r="F761" s="50">
        <f t="shared" si="405"/>
        <v>8</v>
      </c>
      <c r="G761" s="50">
        <f t="shared" si="405"/>
        <v>63</v>
      </c>
      <c r="H761" s="50">
        <f t="shared" si="405"/>
        <v>0</v>
      </c>
      <c r="I761" s="50">
        <f t="shared" si="405"/>
        <v>12</v>
      </c>
      <c r="J761" s="146">
        <f t="shared" si="405"/>
        <v>63</v>
      </c>
      <c r="K761" s="146">
        <f t="shared" si="405"/>
        <v>63</v>
      </c>
      <c r="L761" s="146">
        <f t="shared" si="405"/>
        <v>0</v>
      </c>
      <c r="M761" s="146">
        <f t="shared" si="405"/>
        <v>0</v>
      </c>
      <c r="N761" s="146">
        <f t="shared" si="405"/>
        <v>0</v>
      </c>
      <c r="O761" s="146">
        <f t="shared" si="405"/>
        <v>0</v>
      </c>
      <c r="P761" s="146">
        <f t="shared" si="405"/>
        <v>0</v>
      </c>
      <c r="Q761" s="146">
        <f t="shared" si="405"/>
        <v>0</v>
      </c>
    </row>
    <row r="762" spans="1:17" ht="15" customHeight="1">
      <c r="A762" s="90"/>
      <c r="B762" s="89" t="s">
        <v>197</v>
      </c>
      <c r="C762" s="47" t="s">
        <v>198</v>
      </c>
      <c r="D762" s="37">
        <v>0</v>
      </c>
      <c r="E762" s="37">
        <v>12</v>
      </c>
      <c r="F762" s="32">
        <v>8</v>
      </c>
      <c r="G762" s="32">
        <v>63</v>
      </c>
      <c r="H762" s="32"/>
      <c r="I762" s="37">
        <v>12</v>
      </c>
      <c r="J762" s="137">
        <v>63</v>
      </c>
      <c r="K762" s="137">
        <v>63</v>
      </c>
      <c r="L762" s="137"/>
      <c r="M762" s="137"/>
      <c r="N762" s="137"/>
      <c r="O762" s="137"/>
      <c r="P762" s="137"/>
      <c r="Q762" s="137"/>
    </row>
    <row r="763" spans="1:17" ht="28.5" customHeight="1">
      <c r="A763" s="90" t="s">
        <v>421</v>
      </c>
      <c r="B763" s="109" t="s">
        <v>422</v>
      </c>
      <c r="C763" s="47" t="s">
        <v>418</v>
      </c>
      <c r="D763" s="50">
        <f t="shared" ref="D763:Q763" si="406">D764+D769</f>
        <v>272</v>
      </c>
      <c r="E763" s="50">
        <f t="shared" si="406"/>
        <v>712</v>
      </c>
      <c r="F763" s="50">
        <f t="shared" si="406"/>
        <v>391</v>
      </c>
      <c r="G763" s="50">
        <f t="shared" si="406"/>
        <v>2425</v>
      </c>
      <c r="H763" s="50">
        <f t="shared" si="406"/>
        <v>0</v>
      </c>
      <c r="I763" s="50">
        <f t="shared" si="406"/>
        <v>0</v>
      </c>
      <c r="J763" s="146">
        <f t="shared" si="406"/>
        <v>700</v>
      </c>
      <c r="K763" s="146">
        <f>K764+K769</f>
        <v>160</v>
      </c>
      <c r="L763" s="146">
        <f>L764+L769</f>
        <v>200</v>
      </c>
      <c r="M763" s="146">
        <f>M764+M769</f>
        <v>200</v>
      </c>
      <c r="N763" s="146">
        <f>N764+N769</f>
        <v>140</v>
      </c>
      <c r="O763" s="146">
        <f t="shared" si="406"/>
        <v>1500</v>
      </c>
      <c r="P763" s="146">
        <f t="shared" si="406"/>
        <v>1500</v>
      </c>
      <c r="Q763" s="146">
        <f t="shared" si="406"/>
        <v>1500</v>
      </c>
    </row>
    <row r="764" spans="1:17" ht="15" customHeight="1">
      <c r="A764" s="90"/>
      <c r="B764" s="80" t="s">
        <v>179</v>
      </c>
      <c r="C764" s="47"/>
      <c r="D764" s="50">
        <f t="shared" ref="D764:Q765" si="407">D765</f>
        <v>272</v>
      </c>
      <c r="E764" s="50">
        <f t="shared" si="407"/>
        <v>700</v>
      </c>
      <c r="F764" s="50">
        <f t="shared" si="407"/>
        <v>380</v>
      </c>
      <c r="G764" s="50">
        <f t="shared" si="407"/>
        <v>2425</v>
      </c>
      <c r="H764" s="50">
        <f t="shared" si="407"/>
        <v>0</v>
      </c>
      <c r="I764" s="50">
        <f t="shared" si="407"/>
        <v>0</v>
      </c>
      <c r="J764" s="146">
        <f t="shared" si="407"/>
        <v>700</v>
      </c>
      <c r="K764" s="146">
        <f t="shared" si="407"/>
        <v>160</v>
      </c>
      <c r="L764" s="146">
        <f t="shared" si="407"/>
        <v>200</v>
      </c>
      <c r="M764" s="146">
        <f t="shared" si="407"/>
        <v>200</v>
      </c>
      <c r="N764" s="146">
        <f t="shared" si="407"/>
        <v>140</v>
      </c>
      <c r="O764" s="146">
        <f t="shared" si="407"/>
        <v>1500</v>
      </c>
      <c r="P764" s="146">
        <f t="shared" si="407"/>
        <v>1500</v>
      </c>
      <c r="Q764" s="146">
        <f t="shared" si="407"/>
        <v>1500</v>
      </c>
    </row>
    <row r="765" spans="1:17" ht="15" customHeight="1">
      <c r="A765" s="90"/>
      <c r="B765" s="89" t="s">
        <v>180</v>
      </c>
      <c r="C765" s="47">
        <v>1</v>
      </c>
      <c r="D765" s="36">
        <f t="shared" si="407"/>
        <v>272</v>
      </c>
      <c r="E765" s="36">
        <f t="shared" si="407"/>
        <v>700</v>
      </c>
      <c r="F765" s="36">
        <f t="shared" si="407"/>
        <v>380</v>
      </c>
      <c r="G765" s="36">
        <f t="shared" si="407"/>
        <v>2425</v>
      </c>
      <c r="H765" s="36">
        <f t="shared" si="407"/>
        <v>0</v>
      </c>
      <c r="I765" s="36">
        <f t="shared" si="407"/>
        <v>0</v>
      </c>
      <c r="J765" s="141">
        <f t="shared" si="407"/>
        <v>700</v>
      </c>
      <c r="K765" s="141">
        <f t="shared" si="407"/>
        <v>160</v>
      </c>
      <c r="L765" s="141">
        <f t="shared" si="407"/>
        <v>200</v>
      </c>
      <c r="M765" s="141">
        <f t="shared" si="407"/>
        <v>200</v>
      </c>
      <c r="N765" s="141">
        <f t="shared" si="407"/>
        <v>140</v>
      </c>
      <c r="O765" s="141">
        <f t="shared" si="407"/>
        <v>1500</v>
      </c>
      <c r="P765" s="141">
        <f t="shared" si="407"/>
        <v>1500</v>
      </c>
      <c r="Q765" s="141">
        <f t="shared" si="407"/>
        <v>1500</v>
      </c>
    </row>
    <row r="766" spans="1:17" ht="15" customHeight="1">
      <c r="A766" s="90"/>
      <c r="B766" s="89" t="s">
        <v>285</v>
      </c>
      <c r="C766" s="47" t="s">
        <v>335</v>
      </c>
      <c r="D766" s="36">
        <f t="shared" ref="D766:Q766" si="408">D767+D768</f>
        <v>272</v>
      </c>
      <c r="E766" s="36">
        <f t="shared" si="408"/>
        <v>700</v>
      </c>
      <c r="F766" s="36">
        <f t="shared" si="408"/>
        <v>380</v>
      </c>
      <c r="G766" s="36">
        <f t="shared" si="408"/>
        <v>2425</v>
      </c>
      <c r="H766" s="36">
        <f t="shared" si="408"/>
        <v>0</v>
      </c>
      <c r="I766" s="36">
        <f t="shared" si="408"/>
        <v>0</v>
      </c>
      <c r="J766" s="141">
        <f t="shared" si="408"/>
        <v>700</v>
      </c>
      <c r="K766" s="141">
        <f>K767+K768</f>
        <v>160</v>
      </c>
      <c r="L766" s="141">
        <f>L767+L768</f>
        <v>200</v>
      </c>
      <c r="M766" s="141">
        <f>M767+M768</f>
        <v>200</v>
      </c>
      <c r="N766" s="141">
        <f>N767+N768</f>
        <v>140</v>
      </c>
      <c r="O766" s="141">
        <f t="shared" si="408"/>
        <v>1500</v>
      </c>
      <c r="P766" s="141">
        <f t="shared" si="408"/>
        <v>1500</v>
      </c>
      <c r="Q766" s="141">
        <f t="shared" si="408"/>
        <v>1500</v>
      </c>
    </row>
    <row r="767" spans="1:17" ht="15" customHeight="1">
      <c r="A767" s="90"/>
      <c r="B767" s="89" t="s">
        <v>181</v>
      </c>
      <c r="C767" s="47">
        <v>10</v>
      </c>
      <c r="D767" s="37">
        <v>120</v>
      </c>
      <c r="E767" s="37">
        <f>800-500</f>
        <v>300</v>
      </c>
      <c r="F767" s="32">
        <v>179</v>
      </c>
      <c r="G767" s="32">
        <v>1785</v>
      </c>
      <c r="H767" s="32"/>
      <c r="I767" s="37"/>
      <c r="J767" s="137">
        <v>500</v>
      </c>
      <c r="K767" s="137">
        <v>100</v>
      </c>
      <c r="L767" s="137">
        <v>150</v>
      </c>
      <c r="M767" s="137">
        <v>150</v>
      </c>
      <c r="N767" s="137">
        <v>100</v>
      </c>
      <c r="O767" s="137">
        <v>1000</v>
      </c>
      <c r="P767" s="137">
        <v>1000</v>
      </c>
      <c r="Q767" s="137">
        <v>1000</v>
      </c>
    </row>
    <row r="768" spans="1:17" ht="15" customHeight="1">
      <c r="A768" s="90"/>
      <c r="B768" s="89" t="s">
        <v>182</v>
      </c>
      <c r="C768" s="47">
        <v>20</v>
      </c>
      <c r="D768" s="37">
        <f>272-120</f>
        <v>152</v>
      </c>
      <c r="E768" s="37">
        <v>400</v>
      </c>
      <c r="F768" s="32">
        <v>201</v>
      </c>
      <c r="G768" s="32">
        <v>640</v>
      </c>
      <c r="H768" s="32"/>
      <c r="I768" s="37"/>
      <c r="J768" s="137">
        <v>200</v>
      </c>
      <c r="K768" s="137">
        <v>60</v>
      </c>
      <c r="L768" s="137">
        <v>50</v>
      </c>
      <c r="M768" s="137">
        <v>50</v>
      </c>
      <c r="N768" s="137">
        <v>40</v>
      </c>
      <c r="O768" s="137">
        <v>500</v>
      </c>
      <c r="P768" s="137">
        <v>500</v>
      </c>
      <c r="Q768" s="137">
        <v>500</v>
      </c>
    </row>
    <row r="769" spans="1:17" ht="15" customHeight="1">
      <c r="A769" s="90"/>
      <c r="B769" s="82" t="s">
        <v>191</v>
      </c>
      <c r="C769" s="47"/>
      <c r="D769" s="36">
        <f t="shared" ref="D769:Q769" si="409">D770</f>
        <v>0</v>
      </c>
      <c r="E769" s="36">
        <f t="shared" si="409"/>
        <v>12</v>
      </c>
      <c r="F769" s="36">
        <f t="shared" si="409"/>
        <v>11</v>
      </c>
      <c r="G769" s="36">
        <f t="shared" si="409"/>
        <v>0</v>
      </c>
      <c r="H769" s="36">
        <f t="shared" si="409"/>
        <v>0</v>
      </c>
      <c r="I769" s="36">
        <f t="shared" si="409"/>
        <v>0</v>
      </c>
      <c r="J769" s="141">
        <f t="shared" si="409"/>
        <v>0</v>
      </c>
      <c r="K769" s="141">
        <f t="shared" si="409"/>
        <v>0</v>
      </c>
      <c r="L769" s="141">
        <f t="shared" si="409"/>
        <v>0</v>
      </c>
      <c r="M769" s="141">
        <f t="shared" si="409"/>
        <v>0</v>
      </c>
      <c r="N769" s="141">
        <f t="shared" si="409"/>
        <v>0</v>
      </c>
      <c r="O769" s="141">
        <f t="shared" si="409"/>
        <v>0</v>
      </c>
      <c r="P769" s="141">
        <f t="shared" si="409"/>
        <v>0</v>
      </c>
      <c r="Q769" s="141">
        <f t="shared" si="409"/>
        <v>0</v>
      </c>
    </row>
    <row r="770" spans="1:17" ht="15" hidden="1" customHeight="1">
      <c r="A770" s="90"/>
      <c r="B770" s="89" t="s">
        <v>197</v>
      </c>
      <c r="C770" s="47" t="s">
        <v>198</v>
      </c>
      <c r="D770" s="37">
        <v>0</v>
      </c>
      <c r="E770" s="37">
        <v>12</v>
      </c>
      <c r="F770" s="32">
        <v>11</v>
      </c>
      <c r="G770" s="32"/>
      <c r="H770" s="32"/>
      <c r="I770" s="37">
        <v>0</v>
      </c>
      <c r="J770" s="137"/>
      <c r="K770" s="137"/>
      <c r="L770" s="137"/>
      <c r="M770" s="137"/>
      <c r="N770" s="137"/>
      <c r="O770" s="137"/>
      <c r="P770" s="137"/>
      <c r="Q770" s="137"/>
    </row>
    <row r="771" spans="1:17" ht="14.25">
      <c r="A771" s="90" t="s">
        <v>423</v>
      </c>
      <c r="B771" s="82" t="s">
        <v>424</v>
      </c>
      <c r="C771" s="47" t="s">
        <v>425</v>
      </c>
      <c r="D771" s="50">
        <f t="shared" ref="D771:Q773" si="410">D772</f>
        <v>611</v>
      </c>
      <c r="E771" s="50">
        <f t="shared" si="410"/>
        <v>630</v>
      </c>
      <c r="F771" s="50">
        <f t="shared" si="410"/>
        <v>650</v>
      </c>
      <c r="G771" s="50">
        <f t="shared" si="410"/>
        <v>770</v>
      </c>
      <c r="H771" s="50">
        <f t="shared" si="410"/>
        <v>0</v>
      </c>
      <c r="I771" s="50">
        <f t="shared" si="410"/>
        <v>0</v>
      </c>
      <c r="J771" s="146">
        <f t="shared" si="410"/>
        <v>500</v>
      </c>
      <c r="K771" s="146">
        <f t="shared" si="410"/>
        <v>150</v>
      </c>
      <c r="L771" s="146">
        <f t="shared" si="410"/>
        <v>200</v>
      </c>
      <c r="M771" s="146">
        <f t="shared" si="410"/>
        <v>100</v>
      </c>
      <c r="N771" s="146">
        <f t="shared" si="410"/>
        <v>50</v>
      </c>
      <c r="O771" s="146">
        <f t="shared" si="410"/>
        <v>700</v>
      </c>
      <c r="P771" s="146">
        <f t="shared" si="410"/>
        <v>700</v>
      </c>
      <c r="Q771" s="146">
        <f t="shared" si="410"/>
        <v>700</v>
      </c>
    </row>
    <row r="772" spans="1:17" ht="14.25">
      <c r="A772" s="90"/>
      <c r="B772" s="80" t="s">
        <v>179</v>
      </c>
      <c r="C772" s="47"/>
      <c r="D772" s="50">
        <f t="shared" si="410"/>
        <v>611</v>
      </c>
      <c r="E772" s="50">
        <f t="shared" si="410"/>
        <v>630</v>
      </c>
      <c r="F772" s="50">
        <f t="shared" si="410"/>
        <v>650</v>
      </c>
      <c r="G772" s="50">
        <f t="shared" si="410"/>
        <v>770</v>
      </c>
      <c r="H772" s="50">
        <f t="shared" si="410"/>
        <v>0</v>
      </c>
      <c r="I772" s="50">
        <f t="shared" si="410"/>
        <v>0</v>
      </c>
      <c r="J772" s="146">
        <f t="shared" si="410"/>
        <v>500</v>
      </c>
      <c r="K772" s="146">
        <f t="shared" si="410"/>
        <v>150</v>
      </c>
      <c r="L772" s="146">
        <f t="shared" si="410"/>
        <v>200</v>
      </c>
      <c r="M772" s="146">
        <f t="shared" si="410"/>
        <v>100</v>
      </c>
      <c r="N772" s="146">
        <f t="shared" si="410"/>
        <v>50</v>
      </c>
      <c r="O772" s="146">
        <f t="shared" si="410"/>
        <v>700</v>
      </c>
      <c r="P772" s="146">
        <f t="shared" si="410"/>
        <v>700</v>
      </c>
      <c r="Q772" s="146">
        <f t="shared" si="410"/>
        <v>700</v>
      </c>
    </row>
    <row r="773" spans="1:17" ht="15">
      <c r="A773" s="90"/>
      <c r="B773" s="89" t="s">
        <v>180</v>
      </c>
      <c r="C773" s="47">
        <v>1</v>
      </c>
      <c r="D773" s="36">
        <f t="shared" si="410"/>
        <v>611</v>
      </c>
      <c r="E773" s="36">
        <f t="shared" si="410"/>
        <v>630</v>
      </c>
      <c r="F773" s="36">
        <f t="shared" si="410"/>
        <v>650</v>
      </c>
      <c r="G773" s="36">
        <f t="shared" si="410"/>
        <v>770</v>
      </c>
      <c r="H773" s="36">
        <f t="shared" si="410"/>
        <v>0</v>
      </c>
      <c r="I773" s="36">
        <f t="shared" si="410"/>
        <v>0</v>
      </c>
      <c r="J773" s="141">
        <f t="shared" si="410"/>
        <v>500</v>
      </c>
      <c r="K773" s="141">
        <f t="shared" si="410"/>
        <v>150</v>
      </c>
      <c r="L773" s="141">
        <f t="shared" si="410"/>
        <v>200</v>
      </c>
      <c r="M773" s="141">
        <f t="shared" si="410"/>
        <v>100</v>
      </c>
      <c r="N773" s="141">
        <f t="shared" si="410"/>
        <v>50</v>
      </c>
      <c r="O773" s="141">
        <f t="shared" si="410"/>
        <v>700</v>
      </c>
      <c r="P773" s="141">
        <f t="shared" si="410"/>
        <v>700</v>
      </c>
      <c r="Q773" s="141">
        <f t="shared" si="410"/>
        <v>700</v>
      </c>
    </row>
    <row r="774" spans="1:17" ht="12" customHeight="1">
      <c r="A774" s="90"/>
      <c r="B774" s="89" t="s">
        <v>294</v>
      </c>
      <c r="C774" s="47" t="s">
        <v>308</v>
      </c>
      <c r="D774" s="37">
        <v>611</v>
      </c>
      <c r="E774" s="37">
        <v>630</v>
      </c>
      <c r="F774" s="32">
        <f>110+540</f>
        <v>650</v>
      </c>
      <c r="G774" s="32">
        <f>120+650</f>
        <v>770</v>
      </c>
      <c r="H774" s="32"/>
      <c r="I774" s="37"/>
      <c r="J774" s="137">
        <v>500</v>
      </c>
      <c r="K774" s="137">
        <v>150</v>
      </c>
      <c r="L774" s="137">
        <v>200</v>
      </c>
      <c r="M774" s="137">
        <v>100</v>
      </c>
      <c r="N774" s="137">
        <v>50</v>
      </c>
      <c r="O774" s="137">
        <v>700</v>
      </c>
      <c r="P774" s="137">
        <v>700</v>
      </c>
      <c r="Q774" s="137">
        <v>700</v>
      </c>
    </row>
    <row r="775" spans="1:17" ht="27.75" customHeight="1">
      <c r="A775" s="99" t="s">
        <v>10</v>
      </c>
      <c r="B775" s="116" t="s">
        <v>581</v>
      </c>
      <c r="C775" s="166">
        <v>69.02</v>
      </c>
      <c r="D775" s="58">
        <f t="shared" ref="D775:Q777" si="411">D785+D817</f>
        <v>6830</v>
      </c>
      <c r="E775" s="58">
        <f t="shared" si="411"/>
        <v>3069</v>
      </c>
      <c r="F775" s="58">
        <f t="shared" si="411"/>
        <v>1484</v>
      </c>
      <c r="G775" s="58">
        <f t="shared" si="411"/>
        <v>3349</v>
      </c>
      <c r="H775" s="58">
        <f t="shared" si="411"/>
        <v>15</v>
      </c>
      <c r="I775" s="58">
        <f t="shared" si="411"/>
        <v>1315</v>
      </c>
      <c r="J775" s="149">
        <f t="shared" si="411"/>
        <v>2583</v>
      </c>
      <c r="K775" s="149">
        <f t="shared" ref="K775:N777" si="412">K785+K817</f>
        <v>1733</v>
      </c>
      <c r="L775" s="149">
        <f t="shared" si="412"/>
        <v>350</v>
      </c>
      <c r="M775" s="149">
        <f t="shared" si="412"/>
        <v>300</v>
      </c>
      <c r="N775" s="149">
        <f t="shared" si="412"/>
        <v>200</v>
      </c>
      <c r="O775" s="149">
        <f t="shared" si="411"/>
        <v>1500</v>
      </c>
      <c r="P775" s="149">
        <f t="shared" si="411"/>
        <v>1500</v>
      </c>
      <c r="Q775" s="149">
        <f t="shared" si="411"/>
        <v>1500</v>
      </c>
    </row>
    <row r="776" spans="1:17" ht="18" customHeight="1">
      <c r="A776" s="90"/>
      <c r="B776" s="80" t="s">
        <v>179</v>
      </c>
      <c r="C776" s="159"/>
      <c r="D776" s="58">
        <f t="shared" si="411"/>
        <v>1169</v>
      </c>
      <c r="E776" s="58">
        <f t="shared" si="411"/>
        <v>1423</v>
      </c>
      <c r="F776" s="58">
        <f t="shared" si="411"/>
        <v>1354</v>
      </c>
      <c r="G776" s="58">
        <f t="shared" si="411"/>
        <v>2869</v>
      </c>
      <c r="H776" s="58">
        <f t="shared" si="411"/>
        <v>0</v>
      </c>
      <c r="I776" s="58">
        <f t="shared" si="411"/>
        <v>0</v>
      </c>
      <c r="J776" s="149">
        <f t="shared" si="411"/>
        <v>1250</v>
      </c>
      <c r="K776" s="149">
        <f t="shared" si="412"/>
        <v>400</v>
      </c>
      <c r="L776" s="149">
        <f t="shared" si="412"/>
        <v>350</v>
      </c>
      <c r="M776" s="149">
        <f t="shared" si="412"/>
        <v>300</v>
      </c>
      <c r="N776" s="149">
        <f t="shared" si="412"/>
        <v>200</v>
      </c>
      <c r="O776" s="149">
        <f t="shared" si="411"/>
        <v>1500</v>
      </c>
      <c r="P776" s="149">
        <f t="shared" si="411"/>
        <v>1500</v>
      </c>
      <c r="Q776" s="149">
        <f t="shared" si="411"/>
        <v>1500</v>
      </c>
    </row>
    <row r="777" spans="1:17" ht="15">
      <c r="A777" s="90"/>
      <c r="B777" s="89" t="s">
        <v>180</v>
      </c>
      <c r="C777" s="47">
        <v>1</v>
      </c>
      <c r="D777" s="36">
        <f t="shared" si="411"/>
        <v>1169</v>
      </c>
      <c r="E777" s="36">
        <f t="shared" si="411"/>
        <v>1423</v>
      </c>
      <c r="F777" s="36">
        <f t="shared" si="411"/>
        <v>1354</v>
      </c>
      <c r="G777" s="36">
        <f t="shared" si="411"/>
        <v>2869</v>
      </c>
      <c r="H777" s="36">
        <f t="shared" si="411"/>
        <v>0</v>
      </c>
      <c r="I777" s="36">
        <f t="shared" si="411"/>
        <v>0</v>
      </c>
      <c r="J777" s="141">
        <f t="shared" si="411"/>
        <v>1250</v>
      </c>
      <c r="K777" s="141">
        <f t="shared" si="412"/>
        <v>400</v>
      </c>
      <c r="L777" s="141">
        <f t="shared" si="412"/>
        <v>350</v>
      </c>
      <c r="M777" s="141">
        <f t="shared" si="412"/>
        <v>300</v>
      </c>
      <c r="N777" s="141">
        <f t="shared" si="412"/>
        <v>200</v>
      </c>
      <c r="O777" s="141">
        <f t="shared" si="411"/>
        <v>1500</v>
      </c>
      <c r="P777" s="141">
        <f t="shared" si="411"/>
        <v>1500</v>
      </c>
      <c r="Q777" s="141">
        <f t="shared" si="411"/>
        <v>1500</v>
      </c>
    </row>
    <row r="778" spans="1:17" ht="15">
      <c r="A778" s="90"/>
      <c r="B778" s="89" t="s">
        <v>181</v>
      </c>
      <c r="C778" s="47">
        <v>10</v>
      </c>
      <c r="D778" s="36">
        <f t="shared" ref="D778:Q778" si="413">D788</f>
        <v>390</v>
      </c>
      <c r="E778" s="36">
        <f t="shared" si="413"/>
        <v>700</v>
      </c>
      <c r="F778" s="36">
        <f t="shared" si="413"/>
        <v>657</v>
      </c>
      <c r="G778" s="36">
        <f t="shared" si="413"/>
        <v>1346</v>
      </c>
      <c r="H778" s="36">
        <f t="shared" si="413"/>
        <v>0</v>
      </c>
      <c r="I778" s="36">
        <f t="shared" si="413"/>
        <v>0</v>
      </c>
      <c r="J778" s="141">
        <f t="shared" si="413"/>
        <v>900</v>
      </c>
      <c r="K778" s="141">
        <f>K788</f>
        <v>250</v>
      </c>
      <c r="L778" s="141">
        <f>L788</f>
        <v>250</v>
      </c>
      <c r="M778" s="141">
        <f>M788</f>
        <v>250</v>
      </c>
      <c r="N778" s="141">
        <f>N788</f>
        <v>150</v>
      </c>
      <c r="O778" s="141">
        <f t="shared" si="413"/>
        <v>1000</v>
      </c>
      <c r="P778" s="141">
        <f t="shared" si="413"/>
        <v>1000</v>
      </c>
      <c r="Q778" s="141">
        <f t="shared" si="413"/>
        <v>1000</v>
      </c>
    </row>
    <row r="779" spans="1:17" ht="15">
      <c r="A779" s="90"/>
      <c r="B779" s="89" t="s">
        <v>182</v>
      </c>
      <c r="C779" s="47">
        <v>20</v>
      </c>
      <c r="D779" s="36">
        <f t="shared" ref="D779:Q780" si="414">D789+D820</f>
        <v>779</v>
      </c>
      <c r="E779" s="36">
        <f t="shared" si="414"/>
        <v>723</v>
      </c>
      <c r="F779" s="36">
        <f t="shared" si="414"/>
        <v>697</v>
      </c>
      <c r="G779" s="36">
        <f t="shared" si="414"/>
        <v>1523</v>
      </c>
      <c r="H779" s="36">
        <f t="shared" si="414"/>
        <v>0</v>
      </c>
      <c r="I779" s="36">
        <f t="shared" si="414"/>
        <v>0</v>
      </c>
      <c r="J779" s="141">
        <f t="shared" si="414"/>
        <v>350</v>
      </c>
      <c r="K779" s="141">
        <f t="shared" ref="K779:N780" si="415">K789+K820</f>
        <v>150</v>
      </c>
      <c r="L779" s="141">
        <f t="shared" si="415"/>
        <v>100</v>
      </c>
      <c r="M779" s="141">
        <f t="shared" si="415"/>
        <v>50</v>
      </c>
      <c r="N779" s="141">
        <f t="shared" si="415"/>
        <v>50</v>
      </c>
      <c r="O779" s="141">
        <f t="shared" si="414"/>
        <v>500</v>
      </c>
      <c r="P779" s="141">
        <f t="shared" si="414"/>
        <v>500</v>
      </c>
      <c r="Q779" s="141">
        <f t="shared" si="414"/>
        <v>500</v>
      </c>
    </row>
    <row r="780" spans="1:17" ht="12" customHeight="1">
      <c r="A780" s="90"/>
      <c r="B780" s="82" t="s">
        <v>191</v>
      </c>
      <c r="C780" s="47"/>
      <c r="D780" s="50">
        <f>D790+D821</f>
        <v>5661</v>
      </c>
      <c r="E780" s="50">
        <f>E790+E821</f>
        <v>1646</v>
      </c>
      <c r="F780" s="50">
        <f t="shared" si="414"/>
        <v>130</v>
      </c>
      <c r="G780" s="50">
        <f t="shared" si="414"/>
        <v>480</v>
      </c>
      <c r="H780" s="50">
        <f t="shared" si="414"/>
        <v>15</v>
      </c>
      <c r="I780" s="50">
        <f>I790+I821</f>
        <v>1315</v>
      </c>
      <c r="J780" s="146">
        <f t="shared" si="414"/>
        <v>1333</v>
      </c>
      <c r="K780" s="146">
        <f t="shared" si="415"/>
        <v>1333</v>
      </c>
      <c r="L780" s="146">
        <f t="shared" si="415"/>
        <v>0</v>
      </c>
      <c r="M780" s="146">
        <f t="shared" si="415"/>
        <v>0</v>
      </c>
      <c r="N780" s="146">
        <f t="shared" si="415"/>
        <v>0</v>
      </c>
      <c r="O780" s="146">
        <f t="shared" si="414"/>
        <v>0</v>
      </c>
      <c r="P780" s="146">
        <f t="shared" si="414"/>
        <v>0</v>
      </c>
      <c r="Q780" s="146">
        <f t="shared" si="414"/>
        <v>0</v>
      </c>
    </row>
    <row r="781" spans="1:17" ht="14.25" hidden="1">
      <c r="A781" s="90"/>
      <c r="B781" s="82"/>
      <c r="C781" s="47"/>
      <c r="D781" s="50"/>
      <c r="E781" s="50"/>
      <c r="F781" s="50"/>
      <c r="G781" s="50"/>
      <c r="H781" s="50"/>
      <c r="I781" s="50"/>
      <c r="J781" s="146"/>
      <c r="K781" s="146"/>
      <c r="L781" s="146"/>
      <c r="M781" s="146"/>
      <c r="N781" s="146"/>
      <c r="O781" s="146"/>
      <c r="P781" s="146"/>
      <c r="Q781" s="146"/>
    </row>
    <row r="782" spans="1:17" ht="13.5" customHeight="1">
      <c r="A782" s="90"/>
      <c r="B782" s="82" t="s">
        <v>200</v>
      </c>
      <c r="C782" s="47">
        <v>56</v>
      </c>
      <c r="D782" s="36">
        <f t="shared" ref="D782:Q782" si="416">D791+D822</f>
        <v>5561</v>
      </c>
      <c r="E782" s="36">
        <f t="shared" si="416"/>
        <v>1503</v>
      </c>
      <c r="F782" s="36">
        <f t="shared" si="416"/>
        <v>0</v>
      </c>
      <c r="G782" s="36">
        <f t="shared" si="416"/>
        <v>0</v>
      </c>
      <c r="H782" s="36">
        <f t="shared" si="416"/>
        <v>15</v>
      </c>
      <c r="I782" s="36">
        <f t="shared" si="416"/>
        <v>1303</v>
      </c>
      <c r="J782" s="141">
        <f t="shared" si="416"/>
        <v>1208</v>
      </c>
      <c r="K782" s="141">
        <f>K791+K822</f>
        <v>1208</v>
      </c>
      <c r="L782" s="141">
        <f>L791+L822</f>
        <v>0</v>
      </c>
      <c r="M782" s="141">
        <f>M791+M822</f>
        <v>0</v>
      </c>
      <c r="N782" s="141">
        <f>N791+N822</f>
        <v>0</v>
      </c>
      <c r="O782" s="141">
        <f t="shared" si="416"/>
        <v>0</v>
      </c>
      <c r="P782" s="141">
        <f t="shared" si="416"/>
        <v>0</v>
      </c>
      <c r="Q782" s="141">
        <f t="shared" si="416"/>
        <v>0</v>
      </c>
    </row>
    <row r="783" spans="1:17" ht="14.25" hidden="1">
      <c r="A783" s="90"/>
      <c r="B783" s="82" t="s">
        <v>200</v>
      </c>
      <c r="C783" s="47">
        <v>58</v>
      </c>
      <c r="D783" s="36">
        <f t="shared" ref="D783:N783" si="417">D792</f>
        <v>0</v>
      </c>
      <c r="E783" s="36">
        <f t="shared" si="417"/>
        <v>12</v>
      </c>
      <c r="F783" s="36">
        <f t="shared" si="417"/>
        <v>0</v>
      </c>
      <c r="G783" s="36">
        <f t="shared" si="417"/>
        <v>0</v>
      </c>
      <c r="H783" s="36">
        <f t="shared" si="417"/>
        <v>0</v>
      </c>
      <c r="I783" s="36">
        <f t="shared" si="417"/>
        <v>12</v>
      </c>
      <c r="J783" s="141">
        <f t="shared" si="417"/>
        <v>0</v>
      </c>
      <c r="K783" s="141">
        <f t="shared" si="417"/>
        <v>0</v>
      </c>
      <c r="L783" s="141">
        <f t="shared" si="417"/>
        <v>0</v>
      </c>
      <c r="M783" s="141">
        <f t="shared" si="417"/>
        <v>0</v>
      </c>
      <c r="N783" s="141">
        <f t="shared" si="417"/>
        <v>0</v>
      </c>
      <c r="O783" s="141">
        <f>O792</f>
        <v>0</v>
      </c>
      <c r="P783" s="141">
        <f>P792</f>
        <v>0</v>
      </c>
      <c r="Q783" s="141">
        <f>Q792</f>
        <v>0</v>
      </c>
    </row>
    <row r="784" spans="1:17" ht="15.75" customHeight="1">
      <c r="A784" s="90"/>
      <c r="B784" s="89" t="s">
        <v>220</v>
      </c>
      <c r="C784" s="47">
        <v>70</v>
      </c>
      <c r="D784" s="36">
        <f t="shared" ref="D784:Q784" si="418">D793</f>
        <v>100</v>
      </c>
      <c r="E784" s="36">
        <f t="shared" si="418"/>
        <v>131</v>
      </c>
      <c r="F784" s="36">
        <f t="shared" si="418"/>
        <v>130</v>
      </c>
      <c r="G784" s="36">
        <f t="shared" si="418"/>
        <v>480</v>
      </c>
      <c r="H784" s="36">
        <f t="shared" si="418"/>
        <v>0</v>
      </c>
      <c r="I784" s="36">
        <f t="shared" si="418"/>
        <v>0</v>
      </c>
      <c r="J784" s="141">
        <f t="shared" si="418"/>
        <v>125</v>
      </c>
      <c r="K784" s="141">
        <f>K793</f>
        <v>125</v>
      </c>
      <c r="L784" s="141">
        <f>L793</f>
        <v>0</v>
      </c>
      <c r="M784" s="141">
        <f>M793</f>
        <v>0</v>
      </c>
      <c r="N784" s="141">
        <f>N793</f>
        <v>0</v>
      </c>
      <c r="O784" s="141">
        <f t="shared" si="418"/>
        <v>0</v>
      </c>
      <c r="P784" s="141">
        <f t="shared" si="418"/>
        <v>0</v>
      </c>
      <c r="Q784" s="141">
        <f t="shared" si="418"/>
        <v>0</v>
      </c>
    </row>
    <row r="785" spans="1:17" ht="28.5">
      <c r="A785" s="99">
        <v>1</v>
      </c>
      <c r="B785" s="101" t="s">
        <v>566</v>
      </c>
      <c r="C785" s="166">
        <v>70.02</v>
      </c>
      <c r="D785" s="50">
        <f t="shared" ref="D785:Q785" si="419">D794+D801+D807+D811</f>
        <v>1518</v>
      </c>
      <c r="E785" s="50">
        <f t="shared" si="419"/>
        <v>2774</v>
      </c>
      <c r="F785" s="50">
        <f t="shared" si="419"/>
        <v>1484</v>
      </c>
      <c r="G785" s="50">
        <f t="shared" si="419"/>
        <v>3349</v>
      </c>
      <c r="H785" s="50">
        <f t="shared" si="419"/>
        <v>0</v>
      </c>
      <c r="I785" s="50">
        <f t="shared" si="419"/>
        <v>1020</v>
      </c>
      <c r="J785" s="146">
        <f t="shared" si="419"/>
        <v>2583</v>
      </c>
      <c r="K785" s="146">
        <f>K794+K801+K807+K811</f>
        <v>1733</v>
      </c>
      <c r="L785" s="146">
        <f>L794+L801+L807+L811</f>
        <v>350</v>
      </c>
      <c r="M785" s="146">
        <f>M794+M801+M807+M811</f>
        <v>300</v>
      </c>
      <c r="N785" s="146">
        <f>N794+N801+N807+N811</f>
        <v>200</v>
      </c>
      <c r="O785" s="146">
        <f t="shared" si="419"/>
        <v>1500</v>
      </c>
      <c r="P785" s="146">
        <f t="shared" si="419"/>
        <v>1500</v>
      </c>
      <c r="Q785" s="146">
        <f t="shared" si="419"/>
        <v>1500</v>
      </c>
    </row>
    <row r="786" spans="1:17" ht="14.25">
      <c r="A786" s="90"/>
      <c r="B786" s="80" t="s">
        <v>179</v>
      </c>
      <c r="C786" s="159"/>
      <c r="D786" s="50">
        <f t="shared" ref="D786:Q787" si="420">D795+D812</f>
        <v>1169</v>
      </c>
      <c r="E786" s="50">
        <f t="shared" si="420"/>
        <v>1423</v>
      </c>
      <c r="F786" s="50">
        <f t="shared" si="420"/>
        <v>1354</v>
      </c>
      <c r="G786" s="50">
        <f t="shared" si="420"/>
        <v>2869</v>
      </c>
      <c r="H786" s="50">
        <f t="shared" si="420"/>
        <v>0</v>
      </c>
      <c r="I786" s="50">
        <f t="shared" si="420"/>
        <v>0</v>
      </c>
      <c r="J786" s="146">
        <f t="shared" si="420"/>
        <v>1250</v>
      </c>
      <c r="K786" s="146">
        <f t="shared" ref="K786:N787" si="421">K795+K812</f>
        <v>400</v>
      </c>
      <c r="L786" s="146">
        <f t="shared" si="421"/>
        <v>350</v>
      </c>
      <c r="M786" s="146">
        <f t="shared" si="421"/>
        <v>300</v>
      </c>
      <c r="N786" s="146">
        <f t="shared" si="421"/>
        <v>200</v>
      </c>
      <c r="O786" s="146">
        <f t="shared" si="420"/>
        <v>1500</v>
      </c>
      <c r="P786" s="146">
        <f t="shared" si="420"/>
        <v>1500</v>
      </c>
      <c r="Q786" s="146">
        <f t="shared" si="420"/>
        <v>1500</v>
      </c>
    </row>
    <row r="787" spans="1:17" ht="15">
      <c r="A787" s="90"/>
      <c r="B787" s="89" t="s">
        <v>180</v>
      </c>
      <c r="C787" s="159">
        <v>1</v>
      </c>
      <c r="D787" s="50">
        <f t="shared" si="420"/>
        <v>1169</v>
      </c>
      <c r="E787" s="50">
        <f t="shared" si="420"/>
        <v>1423</v>
      </c>
      <c r="F787" s="50">
        <f t="shared" si="420"/>
        <v>1354</v>
      </c>
      <c r="G787" s="50">
        <f t="shared" si="420"/>
        <v>2869</v>
      </c>
      <c r="H787" s="50">
        <f t="shared" si="420"/>
        <v>0</v>
      </c>
      <c r="I787" s="50">
        <f t="shared" si="420"/>
        <v>0</v>
      </c>
      <c r="J787" s="146">
        <f t="shared" si="420"/>
        <v>1250</v>
      </c>
      <c r="K787" s="146">
        <f t="shared" si="421"/>
        <v>400</v>
      </c>
      <c r="L787" s="146">
        <f t="shared" si="421"/>
        <v>350</v>
      </c>
      <c r="M787" s="146">
        <f t="shared" si="421"/>
        <v>300</v>
      </c>
      <c r="N787" s="146">
        <f t="shared" si="421"/>
        <v>200</v>
      </c>
      <c r="O787" s="146">
        <f t="shared" si="420"/>
        <v>1500</v>
      </c>
      <c r="P787" s="146">
        <f t="shared" si="420"/>
        <v>1500</v>
      </c>
      <c r="Q787" s="146">
        <f t="shared" si="420"/>
        <v>1500</v>
      </c>
    </row>
    <row r="788" spans="1:17" ht="15">
      <c r="A788" s="90"/>
      <c r="B788" s="89" t="s">
        <v>181</v>
      </c>
      <c r="C788" s="159">
        <v>10</v>
      </c>
      <c r="D788" s="50">
        <f t="shared" ref="D788:Q788" si="422">D797</f>
        <v>390</v>
      </c>
      <c r="E788" s="50">
        <f t="shared" si="422"/>
        <v>700</v>
      </c>
      <c r="F788" s="50">
        <f t="shared" si="422"/>
        <v>657</v>
      </c>
      <c r="G788" s="50">
        <f t="shared" si="422"/>
        <v>1346</v>
      </c>
      <c r="H788" s="50">
        <f t="shared" si="422"/>
        <v>0</v>
      </c>
      <c r="I788" s="50">
        <f t="shared" si="422"/>
        <v>0</v>
      </c>
      <c r="J788" s="146">
        <f t="shared" si="422"/>
        <v>900</v>
      </c>
      <c r="K788" s="146">
        <f>K797</f>
        <v>250</v>
      </c>
      <c r="L788" s="146">
        <f>L797</f>
        <v>250</v>
      </c>
      <c r="M788" s="146">
        <f>M797</f>
        <v>250</v>
      </c>
      <c r="N788" s="146">
        <f>N797</f>
        <v>150</v>
      </c>
      <c r="O788" s="146">
        <f t="shared" si="422"/>
        <v>1000</v>
      </c>
      <c r="P788" s="146">
        <f t="shared" si="422"/>
        <v>1000</v>
      </c>
      <c r="Q788" s="146">
        <f t="shared" si="422"/>
        <v>1000</v>
      </c>
    </row>
    <row r="789" spans="1:17" ht="15">
      <c r="A789" s="90"/>
      <c r="B789" s="89" t="s">
        <v>182</v>
      </c>
      <c r="C789" s="159">
        <v>20</v>
      </c>
      <c r="D789" s="50">
        <f t="shared" ref="D789:Q789" si="423">D798+D814</f>
        <v>779</v>
      </c>
      <c r="E789" s="50">
        <f t="shared" si="423"/>
        <v>723</v>
      </c>
      <c r="F789" s="50">
        <f t="shared" si="423"/>
        <v>697</v>
      </c>
      <c r="G789" s="50">
        <f t="shared" si="423"/>
        <v>1523</v>
      </c>
      <c r="H789" s="50">
        <f t="shared" si="423"/>
        <v>0</v>
      </c>
      <c r="I789" s="50">
        <f t="shared" si="423"/>
        <v>0</v>
      </c>
      <c r="J789" s="146">
        <f t="shared" si="423"/>
        <v>350</v>
      </c>
      <c r="K789" s="146">
        <f>K798+K814</f>
        <v>150</v>
      </c>
      <c r="L789" s="146">
        <f>L798+L814</f>
        <v>100</v>
      </c>
      <c r="M789" s="146">
        <f>M798+M814</f>
        <v>50</v>
      </c>
      <c r="N789" s="146">
        <f>N798+N814</f>
        <v>50</v>
      </c>
      <c r="O789" s="146">
        <f t="shared" si="423"/>
        <v>500</v>
      </c>
      <c r="P789" s="146">
        <f t="shared" si="423"/>
        <v>500</v>
      </c>
      <c r="Q789" s="146">
        <f t="shared" si="423"/>
        <v>500</v>
      </c>
    </row>
    <row r="790" spans="1:17" ht="14.25">
      <c r="A790" s="90"/>
      <c r="B790" s="82" t="s">
        <v>191</v>
      </c>
      <c r="C790" s="159"/>
      <c r="D790" s="50">
        <f t="shared" ref="D790:N790" si="424">D799+D802+D808+D815</f>
        <v>349</v>
      </c>
      <c r="E790" s="50">
        <f t="shared" si="424"/>
        <v>1351</v>
      </c>
      <c r="F790" s="50">
        <f t="shared" si="424"/>
        <v>130</v>
      </c>
      <c r="G790" s="50">
        <f t="shared" si="424"/>
        <v>480</v>
      </c>
      <c r="H790" s="50">
        <f t="shared" si="424"/>
        <v>0</v>
      </c>
      <c r="I790" s="50">
        <f t="shared" si="424"/>
        <v>1020</v>
      </c>
      <c r="J790" s="146">
        <f t="shared" si="424"/>
        <v>1333</v>
      </c>
      <c r="K790" s="146">
        <f t="shared" si="424"/>
        <v>1333</v>
      </c>
      <c r="L790" s="146">
        <f t="shared" si="424"/>
        <v>0</v>
      </c>
      <c r="M790" s="146">
        <f t="shared" si="424"/>
        <v>0</v>
      </c>
      <c r="N790" s="146">
        <f t="shared" si="424"/>
        <v>0</v>
      </c>
      <c r="O790" s="146">
        <f>O799+O802+O808+O815</f>
        <v>0</v>
      </c>
      <c r="P790" s="146">
        <f>P799+P802+P808+P815</f>
        <v>0</v>
      </c>
      <c r="Q790" s="146">
        <f>Q799+Q802+Q808+Q815</f>
        <v>0</v>
      </c>
    </row>
    <row r="791" spans="1:17" ht="14.25">
      <c r="A791" s="90"/>
      <c r="B791" s="82" t="s">
        <v>200</v>
      </c>
      <c r="C791" s="159">
        <v>56</v>
      </c>
      <c r="D791" s="50">
        <f t="shared" ref="D791:Q791" si="425">D803+D809</f>
        <v>249</v>
      </c>
      <c r="E791" s="50">
        <f t="shared" si="425"/>
        <v>1208</v>
      </c>
      <c r="F791" s="50">
        <f t="shared" si="425"/>
        <v>0</v>
      </c>
      <c r="G791" s="50">
        <f t="shared" si="425"/>
        <v>0</v>
      </c>
      <c r="H791" s="50">
        <f t="shared" si="425"/>
        <v>0</v>
      </c>
      <c r="I791" s="50">
        <f t="shared" si="425"/>
        <v>1008</v>
      </c>
      <c r="J791" s="146">
        <f t="shared" si="425"/>
        <v>1208</v>
      </c>
      <c r="K791" s="146">
        <f>K803+K809</f>
        <v>1208</v>
      </c>
      <c r="L791" s="146">
        <f>L803+L809</f>
        <v>0</v>
      </c>
      <c r="M791" s="146">
        <f>M803+M809</f>
        <v>0</v>
      </c>
      <c r="N791" s="146">
        <f>N803+N809</f>
        <v>0</v>
      </c>
      <c r="O791" s="146">
        <f t="shared" si="425"/>
        <v>0</v>
      </c>
      <c r="P791" s="146">
        <f t="shared" si="425"/>
        <v>0</v>
      </c>
      <c r="Q791" s="146">
        <f t="shared" si="425"/>
        <v>0</v>
      </c>
    </row>
    <row r="792" spans="1:17" ht="14.25">
      <c r="A792" s="90"/>
      <c r="B792" s="82" t="s">
        <v>200</v>
      </c>
      <c r="C792" s="159">
        <v>58</v>
      </c>
      <c r="D792" s="50">
        <f t="shared" ref="D792:N792" si="426">D816</f>
        <v>0</v>
      </c>
      <c r="E792" s="50">
        <f t="shared" si="426"/>
        <v>12</v>
      </c>
      <c r="F792" s="50">
        <f t="shared" si="426"/>
        <v>0</v>
      </c>
      <c r="G792" s="50">
        <f t="shared" si="426"/>
        <v>0</v>
      </c>
      <c r="H792" s="50">
        <f t="shared" si="426"/>
        <v>0</v>
      </c>
      <c r="I792" s="50">
        <f t="shared" si="426"/>
        <v>12</v>
      </c>
      <c r="J792" s="146">
        <f t="shared" si="426"/>
        <v>0</v>
      </c>
      <c r="K792" s="146">
        <f t="shared" si="426"/>
        <v>0</v>
      </c>
      <c r="L792" s="146">
        <f t="shared" si="426"/>
        <v>0</v>
      </c>
      <c r="M792" s="146">
        <f t="shared" si="426"/>
        <v>0</v>
      </c>
      <c r="N792" s="146">
        <f t="shared" si="426"/>
        <v>0</v>
      </c>
      <c r="O792" s="146">
        <f>O816</f>
        <v>0</v>
      </c>
      <c r="P792" s="146">
        <f>P816</f>
        <v>0</v>
      </c>
      <c r="Q792" s="146">
        <f>Q816</f>
        <v>0</v>
      </c>
    </row>
    <row r="793" spans="1:17" ht="15">
      <c r="A793" s="90"/>
      <c r="B793" s="89" t="s">
        <v>220</v>
      </c>
      <c r="C793" s="159">
        <v>70</v>
      </c>
      <c r="D793" s="50">
        <f t="shared" ref="D793:Q793" si="427">D800</f>
        <v>100</v>
      </c>
      <c r="E793" s="50">
        <f t="shared" si="427"/>
        <v>131</v>
      </c>
      <c r="F793" s="50">
        <f t="shared" si="427"/>
        <v>130</v>
      </c>
      <c r="G793" s="50">
        <f t="shared" si="427"/>
        <v>480</v>
      </c>
      <c r="H793" s="50">
        <f t="shared" si="427"/>
        <v>0</v>
      </c>
      <c r="I793" s="50">
        <f t="shared" si="427"/>
        <v>0</v>
      </c>
      <c r="J793" s="146">
        <f t="shared" si="427"/>
        <v>125</v>
      </c>
      <c r="K793" s="146">
        <f>K800</f>
        <v>125</v>
      </c>
      <c r="L793" s="146">
        <f>L800</f>
        <v>0</v>
      </c>
      <c r="M793" s="146">
        <f>M800</f>
        <v>0</v>
      </c>
      <c r="N793" s="146">
        <f>N800</f>
        <v>0</v>
      </c>
      <c r="O793" s="146">
        <f t="shared" si="427"/>
        <v>0</v>
      </c>
      <c r="P793" s="146">
        <f t="shared" si="427"/>
        <v>0</v>
      </c>
      <c r="Q793" s="146">
        <f t="shared" si="427"/>
        <v>0</v>
      </c>
    </row>
    <row r="794" spans="1:17" ht="28.5">
      <c r="A794" s="90" t="s">
        <v>291</v>
      </c>
      <c r="B794" s="109" t="s">
        <v>426</v>
      </c>
      <c r="C794" s="159" t="s">
        <v>427</v>
      </c>
      <c r="D794" s="50">
        <f t="shared" ref="D794:Q794" si="428">D795+D799</f>
        <v>1269</v>
      </c>
      <c r="E794" s="50">
        <f t="shared" si="428"/>
        <v>1554</v>
      </c>
      <c r="F794" s="50">
        <f t="shared" si="428"/>
        <v>1484</v>
      </c>
      <c r="G794" s="50">
        <f t="shared" si="428"/>
        <v>3349</v>
      </c>
      <c r="H794" s="50">
        <f t="shared" si="428"/>
        <v>0</v>
      </c>
      <c r="I794" s="50">
        <f t="shared" si="428"/>
        <v>0</v>
      </c>
      <c r="J794" s="146">
        <f t="shared" si="428"/>
        <v>1375</v>
      </c>
      <c r="K794" s="146">
        <f>K795+K799</f>
        <v>525</v>
      </c>
      <c r="L794" s="146">
        <f>L795+L799</f>
        <v>350</v>
      </c>
      <c r="M794" s="146">
        <f>M795+M799</f>
        <v>300</v>
      </c>
      <c r="N794" s="146">
        <f>N795+N799</f>
        <v>200</v>
      </c>
      <c r="O794" s="146">
        <f t="shared" si="428"/>
        <v>1500</v>
      </c>
      <c r="P794" s="146">
        <f t="shared" si="428"/>
        <v>1500</v>
      </c>
      <c r="Q794" s="146">
        <f t="shared" si="428"/>
        <v>1500</v>
      </c>
    </row>
    <row r="795" spans="1:17" ht="14.25">
      <c r="A795" s="90"/>
      <c r="B795" s="80" t="s">
        <v>179</v>
      </c>
      <c r="C795" s="47"/>
      <c r="D795" s="50">
        <f t="shared" ref="D795:Q795" si="429">D796</f>
        <v>1169</v>
      </c>
      <c r="E795" s="50">
        <f t="shared" si="429"/>
        <v>1423</v>
      </c>
      <c r="F795" s="50">
        <f t="shared" si="429"/>
        <v>1354</v>
      </c>
      <c r="G795" s="50">
        <f t="shared" si="429"/>
        <v>2869</v>
      </c>
      <c r="H795" s="50">
        <f t="shared" si="429"/>
        <v>0</v>
      </c>
      <c r="I795" s="50">
        <f t="shared" si="429"/>
        <v>0</v>
      </c>
      <c r="J795" s="146">
        <f t="shared" si="429"/>
        <v>1250</v>
      </c>
      <c r="K795" s="146">
        <f t="shared" si="429"/>
        <v>400</v>
      </c>
      <c r="L795" s="146">
        <f t="shared" si="429"/>
        <v>350</v>
      </c>
      <c r="M795" s="146">
        <f t="shared" si="429"/>
        <v>300</v>
      </c>
      <c r="N795" s="146">
        <f t="shared" si="429"/>
        <v>200</v>
      </c>
      <c r="O795" s="146">
        <f t="shared" si="429"/>
        <v>1500</v>
      </c>
      <c r="P795" s="146">
        <f t="shared" si="429"/>
        <v>1500</v>
      </c>
      <c r="Q795" s="146">
        <f t="shared" si="429"/>
        <v>1500</v>
      </c>
    </row>
    <row r="796" spans="1:17" ht="15">
      <c r="A796" s="90"/>
      <c r="B796" s="89" t="s">
        <v>180</v>
      </c>
      <c r="C796" s="47">
        <v>1</v>
      </c>
      <c r="D796" s="36">
        <f t="shared" ref="D796:Q796" si="430">D797+D798</f>
        <v>1169</v>
      </c>
      <c r="E796" s="36">
        <f t="shared" si="430"/>
        <v>1423</v>
      </c>
      <c r="F796" s="36">
        <f t="shared" si="430"/>
        <v>1354</v>
      </c>
      <c r="G796" s="36">
        <f t="shared" si="430"/>
        <v>2869</v>
      </c>
      <c r="H796" s="36">
        <f t="shared" si="430"/>
        <v>0</v>
      </c>
      <c r="I796" s="36">
        <f t="shared" si="430"/>
        <v>0</v>
      </c>
      <c r="J796" s="141">
        <f t="shared" si="430"/>
        <v>1250</v>
      </c>
      <c r="K796" s="141">
        <f>K797+K798</f>
        <v>400</v>
      </c>
      <c r="L796" s="141">
        <f>L797+L798</f>
        <v>350</v>
      </c>
      <c r="M796" s="141">
        <f>M797+M798</f>
        <v>300</v>
      </c>
      <c r="N796" s="141">
        <f>N797+N798</f>
        <v>200</v>
      </c>
      <c r="O796" s="141">
        <f t="shared" si="430"/>
        <v>1500</v>
      </c>
      <c r="P796" s="141">
        <f t="shared" si="430"/>
        <v>1500</v>
      </c>
      <c r="Q796" s="141">
        <f t="shared" si="430"/>
        <v>1500</v>
      </c>
    </row>
    <row r="797" spans="1:17" ht="15">
      <c r="A797" s="90"/>
      <c r="B797" s="89" t="s">
        <v>181</v>
      </c>
      <c r="C797" s="47">
        <v>10</v>
      </c>
      <c r="D797" s="37">
        <v>390</v>
      </c>
      <c r="E797" s="37">
        <v>700</v>
      </c>
      <c r="F797" s="32">
        <v>657</v>
      </c>
      <c r="G797" s="32">
        <v>1346</v>
      </c>
      <c r="H797" s="32"/>
      <c r="I797" s="37"/>
      <c r="J797" s="137">
        <f>850+50</f>
        <v>900</v>
      </c>
      <c r="K797" s="137">
        <v>250</v>
      </c>
      <c r="L797" s="137">
        <v>250</v>
      </c>
      <c r="M797" s="137">
        <f>200+50</f>
        <v>250</v>
      </c>
      <c r="N797" s="137">
        <v>150</v>
      </c>
      <c r="O797" s="137">
        <v>1000</v>
      </c>
      <c r="P797" s="137">
        <v>1000</v>
      </c>
      <c r="Q797" s="137">
        <v>1000</v>
      </c>
    </row>
    <row r="798" spans="1:17" ht="17.25" customHeight="1">
      <c r="A798" s="90"/>
      <c r="B798" s="89" t="s">
        <v>182</v>
      </c>
      <c r="C798" s="47">
        <v>20</v>
      </c>
      <c r="D798" s="37">
        <f>695+84</f>
        <v>779</v>
      </c>
      <c r="E798" s="37">
        <v>723</v>
      </c>
      <c r="F798" s="32">
        <v>697</v>
      </c>
      <c r="G798" s="32">
        <v>1523</v>
      </c>
      <c r="H798" s="32"/>
      <c r="I798" s="37"/>
      <c r="J798" s="137">
        <f>400-50</f>
        <v>350</v>
      </c>
      <c r="K798" s="137">
        <v>150</v>
      </c>
      <c r="L798" s="137">
        <v>100</v>
      </c>
      <c r="M798" s="137">
        <f>100-50</f>
        <v>50</v>
      </c>
      <c r="N798" s="137">
        <v>50</v>
      </c>
      <c r="O798" s="137">
        <v>500</v>
      </c>
      <c r="P798" s="137">
        <v>500</v>
      </c>
      <c r="Q798" s="137">
        <v>500</v>
      </c>
    </row>
    <row r="799" spans="1:17" ht="18.75" customHeight="1">
      <c r="A799" s="90"/>
      <c r="B799" s="82" t="s">
        <v>191</v>
      </c>
      <c r="C799" s="47"/>
      <c r="D799" s="50">
        <f t="shared" ref="D799:Q799" si="431">D800</f>
        <v>100</v>
      </c>
      <c r="E799" s="50">
        <f t="shared" si="431"/>
        <v>131</v>
      </c>
      <c r="F799" s="50">
        <f t="shared" si="431"/>
        <v>130</v>
      </c>
      <c r="G799" s="50">
        <f t="shared" si="431"/>
        <v>480</v>
      </c>
      <c r="H799" s="50">
        <f t="shared" si="431"/>
        <v>0</v>
      </c>
      <c r="I799" s="50">
        <f t="shared" si="431"/>
        <v>0</v>
      </c>
      <c r="J799" s="146">
        <f t="shared" si="431"/>
        <v>125</v>
      </c>
      <c r="K799" s="146">
        <f t="shared" si="431"/>
        <v>125</v>
      </c>
      <c r="L799" s="146">
        <f t="shared" si="431"/>
        <v>0</v>
      </c>
      <c r="M799" s="146">
        <f t="shared" si="431"/>
        <v>0</v>
      </c>
      <c r="N799" s="146">
        <f t="shared" si="431"/>
        <v>0</v>
      </c>
      <c r="O799" s="146">
        <f t="shared" si="431"/>
        <v>0</v>
      </c>
      <c r="P799" s="146">
        <f t="shared" si="431"/>
        <v>0</v>
      </c>
      <c r="Q799" s="146">
        <f t="shared" si="431"/>
        <v>0</v>
      </c>
    </row>
    <row r="800" spans="1:17" ht="18" customHeight="1">
      <c r="A800" s="90"/>
      <c r="B800" s="89" t="s">
        <v>220</v>
      </c>
      <c r="C800" s="47">
        <v>70</v>
      </c>
      <c r="D800" s="37">
        <v>100</v>
      </c>
      <c r="E800" s="37">
        <v>131</v>
      </c>
      <c r="F800" s="32">
        <v>130</v>
      </c>
      <c r="G800" s="32">
        <v>480</v>
      </c>
      <c r="H800" s="32"/>
      <c r="I800" s="37"/>
      <c r="J800" s="137">
        <v>125</v>
      </c>
      <c r="K800" s="137">
        <v>125</v>
      </c>
      <c r="L800" s="137"/>
      <c r="M800" s="137"/>
      <c r="N800" s="137"/>
      <c r="O800" s="137"/>
      <c r="P800" s="137"/>
      <c r="Q800" s="137"/>
    </row>
    <row r="801" spans="1:17" ht="32.25" customHeight="1">
      <c r="A801" s="90" t="s">
        <v>314</v>
      </c>
      <c r="B801" s="87" t="s">
        <v>428</v>
      </c>
      <c r="C801" s="159" t="s">
        <v>427</v>
      </c>
      <c r="D801" s="50">
        <f t="shared" ref="D801:Q802" si="432">D802</f>
        <v>249</v>
      </c>
      <c r="E801" s="50">
        <f t="shared" si="432"/>
        <v>200</v>
      </c>
      <c r="F801" s="50">
        <f t="shared" si="432"/>
        <v>0</v>
      </c>
      <c r="G801" s="50">
        <f t="shared" si="432"/>
        <v>0</v>
      </c>
      <c r="H801" s="50">
        <f t="shared" si="432"/>
        <v>0</v>
      </c>
      <c r="I801" s="50">
        <f t="shared" si="432"/>
        <v>0</v>
      </c>
      <c r="J801" s="146">
        <f t="shared" si="432"/>
        <v>200</v>
      </c>
      <c r="K801" s="146">
        <f t="shared" si="432"/>
        <v>200</v>
      </c>
      <c r="L801" s="146">
        <f t="shared" si="432"/>
        <v>0</v>
      </c>
      <c r="M801" s="146">
        <f t="shared" si="432"/>
        <v>0</v>
      </c>
      <c r="N801" s="146">
        <f t="shared" si="432"/>
        <v>0</v>
      </c>
      <c r="O801" s="146">
        <f t="shared" si="432"/>
        <v>0</v>
      </c>
      <c r="P801" s="146">
        <f t="shared" si="432"/>
        <v>0</v>
      </c>
      <c r="Q801" s="146">
        <f t="shared" si="432"/>
        <v>0</v>
      </c>
    </row>
    <row r="802" spans="1:17" ht="19.5" customHeight="1">
      <c r="A802" s="90"/>
      <c r="B802" s="82" t="s">
        <v>191</v>
      </c>
      <c r="C802" s="47"/>
      <c r="D802" s="50">
        <f t="shared" si="432"/>
        <v>249</v>
      </c>
      <c r="E802" s="50">
        <f t="shared" si="432"/>
        <v>200</v>
      </c>
      <c r="F802" s="50">
        <f t="shared" si="432"/>
        <v>0</v>
      </c>
      <c r="G802" s="50">
        <f t="shared" si="432"/>
        <v>0</v>
      </c>
      <c r="H802" s="50">
        <f t="shared" si="432"/>
        <v>0</v>
      </c>
      <c r="I802" s="50">
        <f t="shared" si="432"/>
        <v>0</v>
      </c>
      <c r="J802" s="146">
        <f t="shared" si="432"/>
        <v>200</v>
      </c>
      <c r="K802" s="146">
        <f t="shared" si="432"/>
        <v>200</v>
      </c>
      <c r="L802" s="146">
        <f t="shared" si="432"/>
        <v>0</v>
      </c>
      <c r="M802" s="146">
        <f t="shared" si="432"/>
        <v>0</v>
      </c>
      <c r="N802" s="146">
        <f t="shared" si="432"/>
        <v>0</v>
      </c>
      <c r="O802" s="146">
        <f t="shared" si="432"/>
        <v>0</v>
      </c>
      <c r="P802" s="146">
        <f t="shared" si="432"/>
        <v>0</v>
      </c>
      <c r="Q802" s="146">
        <f t="shared" si="432"/>
        <v>0</v>
      </c>
    </row>
    <row r="803" spans="1:17" ht="18" customHeight="1">
      <c r="A803" s="90"/>
      <c r="B803" s="89" t="s">
        <v>200</v>
      </c>
      <c r="C803" s="47">
        <v>56</v>
      </c>
      <c r="D803" s="36">
        <f t="shared" ref="D803:Q803" si="433">D804+D805+D806</f>
        <v>249</v>
      </c>
      <c r="E803" s="36">
        <f t="shared" si="433"/>
        <v>200</v>
      </c>
      <c r="F803" s="36">
        <f t="shared" si="433"/>
        <v>0</v>
      </c>
      <c r="G803" s="36">
        <f t="shared" si="433"/>
        <v>0</v>
      </c>
      <c r="H803" s="36">
        <f t="shared" si="433"/>
        <v>0</v>
      </c>
      <c r="I803" s="36">
        <f t="shared" si="433"/>
        <v>0</v>
      </c>
      <c r="J803" s="141">
        <f t="shared" si="433"/>
        <v>200</v>
      </c>
      <c r="K803" s="141">
        <f>K804+K805+K806</f>
        <v>200</v>
      </c>
      <c r="L803" s="141">
        <f>L804+L805+L806</f>
        <v>0</v>
      </c>
      <c r="M803" s="141">
        <f>M804+M805+M806</f>
        <v>0</v>
      </c>
      <c r="N803" s="141">
        <f>N804+N805+N806</f>
        <v>0</v>
      </c>
      <c r="O803" s="141">
        <f t="shared" si="433"/>
        <v>0</v>
      </c>
      <c r="P803" s="141">
        <f t="shared" si="433"/>
        <v>0</v>
      </c>
      <c r="Q803" s="141">
        <f t="shared" si="433"/>
        <v>0</v>
      </c>
    </row>
    <row r="804" spans="1:17" ht="24" hidden="1" customHeight="1">
      <c r="A804" s="90"/>
      <c r="B804" s="77" t="s">
        <v>232</v>
      </c>
      <c r="C804" s="47" t="s">
        <v>233</v>
      </c>
      <c r="D804" s="37">
        <v>0</v>
      </c>
      <c r="E804" s="37">
        <v>0</v>
      </c>
      <c r="F804" s="32"/>
      <c r="G804" s="32"/>
      <c r="H804" s="32"/>
      <c r="I804" s="37">
        <v>0</v>
      </c>
      <c r="J804" s="137"/>
      <c r="K804" s="137"/>
      <c r="L804" s="137"/>
      <c r="M804" s="137"/>
      <c r="N804" s="137"/>
      <c r="O804" s="137"/>
      <c r="P804" s="137"/>
      <c r="Q804" s="137"/>
    </row>
    <row r="805" spans="1:17" ht="24" hidden="1" customHeight="1">
      <c r="A805" s="90"/>
      <c r="B805" s="77" t="s">
        <v>234</v>
      </c>
      <c r="C805" s="47" t="s">
        <v>235</v>
      </c>
      <c r="D805" s="37">
        <v>0</v>
      </c>
      <c r="E805" s="37">
        <v>0</v>
      </c>
      <c r="F805" s="32"/>
      <c r="G805" s="32"/>
      <c r="H805" s="32"/>
      <c r="I805" s="37">
        <v>0</v>
      </c>
      <c r="J805" s="137"/>
      <c r="K805" s="137"/>
      <c r="L805" s="137"/>
      <c r="M805" s="137"/>
      <c r="N805" s="137"/>
      <c r="O805" s="137"/>
      <c r="P805" s="137"/>
      <c r="Q805" s="137"/>
    </row>
    <row r="806" spans="1:17" ht="14.25" customHeight="1">
      <c r="A806" s="90"/>
      <c r="B806" s="77" t="s">
        <v>239</v>
      </c>
      <c r="C806" s="47" t="s">
        <v>237</v>
      </c>
      <c r="D806" s="37">
        <v>249</v>
      </c>
      <c r="E806" s="37">
        <v>200</v>
      </c>
      <c r="F806" s="32"/>
      <c r="G806" s="32"/>
      <c r="H806" s="32"/>
      <c r="I806" s="37"/>
      <c r="J806" s="137">
        <v>200</v>
      </c>
      <c r="K806" s="137">
        <v>200</v>
      </c>
      <c r="L806" s="137"/>
      <c r="M806" s="137"/>
      <c r="N806" s="137"/>
      <c r="O806" s="137"/>
      <c r="P806" s="137">
        <v>0</v>
      </c>
      <c r="Q806" s="137">
        <v>0</v>
      </c>
    </row>
    <row r="807" spans="1:17" ht="28.5" customHeight="1">
      <c r="A807" s="90" t="s">
        <v>429</v>
      </c>
      <c r="B807" s="87" t="s">
        <v>430</v>
      </c>
      <c r="C807" s="159" t="s">
        <v>431</v>
      </c>
      <c r="D807" s="44">
        <f t="shared" ref="D807:Q807" si="434">D809</f>
        <v>0</v>
      </c>
      <c r="E807" s="44">
        <f t="shared" si="434"/>
        <v>1008</v>
      </c>
      <c r="F807" s="44">
        <f t="shared" si="434"/>
        <v>0</v>
      </c>
      <c r="G807" s="44">
        <f t="shared" si="434"/>
        <v>0</v>
      </c>
      <c r="H807" s="44">
        <f t="shared" si="434"/>
        <v>0</v>
      </c>
      <c r="I807" s="44">
        <f t="shared" si="434"/>
        <v>1008</v>
      </c>
      <c r="J807" s="146">
        <f t="shared" si="434"/>
        <v>1008</v>
      </c>
      <c r="K807" s="146">
        <f>K809</f>
        <v>1008</v>
      </c>
      <c r="L807" s="146">
        <f>L809</f>
        <v>0</v>
      </c>
      <c r="M807" s="146">
        <f>M809</f>
        <v>0</v>
      </c>
      <c r="N807" s="146">
        <f>N809</f>
        <v>0</v>
      </c>
      <c r="O807" s="146">
        <f t="shared" si="434"/>
        <v>0</v>
      </c>
      <c r="P807" s="146">
        <f t="shared" si="434"/>
        <v>0</v>
      </c>
      <c r="Q807" s="146">
        <f t="shared" si="434"/>
        <v>0</v>
      </c>
    </row>
    <row r="808" spans="1:17" ht="19.5" customHeight="1">
      <c r="A808" s="90"/>
      <c r="B808" s="82" t="s">
        <v>191</v>
      </c>
      <c r="C808" s="47"/>
      <c r="D808" s="37">
        <f t="shared" ref="D808:Q809" si="435">D809</f>
        <v>0</v>
      </c>
      <c r="E808" s="37">
        <f t="shared" si="435"/>
        <v>1008</v>
      </c>
      <c r="F808" s="37">
        <f t="shared" si="435"/>
        <v>0</v>
      </c>
      <c r="G808" s="37">
        <f t="shared" si="435"/>
        <v>0</v>
      </c>
      <c r="H808" s="37">
        <f t="shared" si="435"/>
        <v>0</v>
      </c>
      <c r="I808" s="37">
        <f t="shared" si="435"/>
        <v>1008</v>
      </c>
      <c r="J808" s="141">
        <f t="shared" si="435"/>
        <v>1008</v>
      </c>
      <c r="K808" s="141">
        <f t="shared" si="435"/>
        <v>1008</v>
      </c>
      <c r="L808" s="141">
        <f t="shared" si="435"/>
        <v>0</v>
      </c>
      <c r="M808" s="141">
        <f t="shared" si="435"/>
        <v>0</v>
      </c>
      <c r="N808" s="141">
        <f t="shared" si="435"/>
        <v>0</v>
      </c>
      <c r="O808" s="141">
        <f t="shared" si="435"/>
        <v>0</v>
      </c>
      <c r="P808" s="141">
        <f t="shared" si="435"/>
        <v>0</v>
      </c>
      <c r="Q808" s="141">
        <f t="shared" si="435"/>
        <v>0</v>
      </c>
    </row>
    <row r="809" spans="1:17" ht="14.25" customHeight="1">
      <c r="A809" s="90"/>
      <c r="B809" s="89" t="s">
        <v>200</v>
      </c>
      <c r="C809" s="47">
        <v>56</v>
      </c>
      <c r="D809" s="37">
        <f t="shared" si="435"/>
        <v>0</v>
      </c>
      <c r="E809" s="37">
        <f t="shared" si="435"/>
        <v>1008</v>
      </c>
      <c r="F809" s="37">
        <f t="shared" si="435"/>
        <v>0</v>
      </c>
      <c r="G809" s="37">
        <f t="shared" si="435"/>
        <v>0</v>
      </c>
      <c r="H809" s="37">
        <f t="shared" si="435"/>
        <v>0</v>
      </c>
      <c r="I809" s="37">
        <f t="shared" si="435"/>
        <v>1008</v>
      </c>
      <c r="J809" s="141">
        <f t="shared" si="435"/>
        <v>1008</v>
      </c>
      <c r="K809" s="141">
        <f t="shared" si="435"/>
        <v>1008</v>
      </c>
      <c r="L809" s="141">
        <f t="shared" si="435"/>
        <v>0</v>
      </c>
      <c r="M809" s="141">
        <f t="shared" si="435"/>
        <v>0</v>
      </c>
      <c r="N809" s="141">
        <f t="shared" si="435"/>
        <v>0</v>
      </c>
      <c r="O809" s="141">
        <f t="shared" si="435"/>
        <v>0</v>
      </c>
      <c r="P809" s="141">
        <f t="shared" si="435"/>
        <v>0</v>
      </c>
      <c r="Q809" s="141">
        <f t="shared" si="435"/>
        <v>0</v>
      </c>
    </row>
    <row r="810" spans="1:17" ht="19.5" customHeight="1">
      <c r="A810" s="90"/>
      <c r="B810" s="77" t="s">
        <v>239</v>
      </c>
      <c r="C810" s="47" t="s">
        <v>350</v>
      </c>
      <c r="D810" s="37">
        <v>0</v>
      </c>
      <c r="E810" s="37">
        <v>1008</v>
      </c>
      <c r="F810" s="32"/>
      <c r="G810" s="32"/>
      <c r="H810" s="32"/>
      <c r="I810" s="37">
        <v>1008</v>
      </c>
      <c r="J810" s="140">
        <v>1008</v>
      </c>
      <c r="K810" s="140">
        <v>1008</v>
      </c>
      <c r="L810" s="140"/>
      <c r="M810" s="140"/>
      <c r="N810" s="140"/>
      <c r="O810" s="140"/>
      <c r="P810" s="140"/>
      <c r="Q810" s="140"/>
    </row>
    <row r="811" spans="1:17" ht="22.5" hidden="1" customHeight="1">
      <c r="A811" s="90" t="s">
        <v>432</v>
      </c>
      <c r="B811" s="87" t="s">
        <v>472</v>
      </c>
      <c r="C811" s="159" t="s">
        <v>431</v>
      </c>
      <c r="D811" s="44">
        <f t="shared" ref="D811:N811" si="436">D812+D815</f>
        <v>0</v>
      </c>
      <c r="E811" s="44">
        <f t="shared" si="436"/>
        <v>12</v>
      </c>
      <c r="F811" s="44">
        <f t="shared" si="436"/>
        <v>0</v>
      </c>
      <c r="G811" s="44">
        <f t="shared" si="436"/>
        <v>0</v>
      </c>
      <c r="H811" s="44">
        <f t="shared" si="436"/>
        <v>0</v>
      </c>
      <c r="I811" s="44">
        <f t="shared" si="436"/>
        <v>12</v>
      </c>
      <c r="J811" s="148">
        <f t="shared" si="436"/>
        <v>0</v>
      </c>
      <c r="K811" s="148">
        <f t="shared" si="436"/>
        <v>0</v>
      </c>
      <c r="L811" s="148">
        <f t="shared" si="436"/>
        <v>0</v>
      </c>
      <c r="M811" s="148">
        <f t="shared" si="436"/>
        <v>0</v>
      </c>
      <c r="N811" s="148">
        <f t="shared" si="436"/>
        <v>0</v>
      </c>
      <c r="O811" s="148">
        <f>O812+O815</f>
        <v>0</v>
      </c>
      <c r="P811" s="148">
        <f>P812+P815</f>
        <v>0</v>
      </c>
      <c r="Q811" s="148">
        <f>Q812+Q815</f>
        <v>0</v>
      </c>
    </row>
    <row r="812" spans="1:17" ht="24" hidden="1" customHeight="1">
      <c r="A812" s="90"/>
      <c r="B812" s="80" t="s">
        <v>179</v>
      </c>
      <c r="C812" s="159"/>
      <c r="D812" s="44">
        <f>D813</f>
        <v>0</v>
      </c>
      <c r="E812" s="44">
        <f>E813</f>
        <v>0</v>
      </c>
      <c r="F812" s="32"/>
      <c r="G812" s="32"/>
      <c r="H812" s="32"/>
      <c r="I812" s="44">
        <f>I813</f>
        <v>0</v>
      </c>
      <c r="J812" s="137"/>
      <c r="K812" s="137"/>
      <c r="L812" s="137"/>
      <c r="M812" s="137"/>
      <c r="N812" s="137"/>
      <c r="O812" s="137"/>
      <c r="P812" s="137"/>
      <c r="Q812" s="137"/>
    </row>
    <row r="813" spans="1:17" s="1" customFormat="1" ht="24" hidden="1" customHeight="1">
      <c r="A813" s="90"/>
      <c r="B813" s="89" t="s">
        <v>180</v>
      </c>
      <c r="C813" s="159">
        <v>1</v>
      </c>
      <c r="D813" s="37">
        <f>D814</f>
        <v>0</v>
      </c>
      <c r="E813" s="37">
        <f>E814</f>
        <v>0</v>
      </c>
      <c r="F813" s="43"/>
      <c r="G813" s="43"/>
      <c r="H813" s="43"/>
      <c r="I813" s="37">
        <f>I814</f>
        <v>0</v>
      </c>
      <c r="J813" s="152"/>
      <c r="K813" s="152"/>
      <c r="L813" s="152"/>
      <c r="M813" s="152"/>
      <c r="N813" s="152"/>
      <c r="O813" s="152"/>
      <c r="P813" s="152"/>
      <c r="Q813" s="152"/>
    </row>
    <row r="814" spans="1:17" s="1" customFormat="1" ht="24" hidden="1" customHeight="1">
      <c r="A814" s="90"/>
      <c r="B814" s="89" t="s">
        <v>182</v>
      </c>
      <c r="C814" s="159" t="s">
        <v>433</v>
      </c>
      <c r="D814" s="37">
        <v>0</v>
      </c>
      <c r="E814" s="37">
        <v>0</v>
      </c>
      <c r="F814" s="43"/>
      <c r="G814" s="43"/>
      <c r="H814" s="43"/>
      <c r="I814" s="37">
        <v>0</v>
      </c>
      <c r="J814" s="152"/>
      <c r="K814" s="152"/>
      <c r="L814" s="152"/>
      <c r="M814" s="152"/>
      <c r="N814" s="152"/>
      <c r="O814" s="152"/>
      <c r="P814" s="152"/>
      <c r="Q814" s="152"/>
    </row>
    <row r="815" spans="1:17" s="1" customFormat="1" ht="24" hidden="1" customHeight="1">
      <c r="A815" s="90"/>
      <c r="B815" s="82" t="s">
        <v>191</v>
      </c>
      <c r="C815" s="159"/>
      <c r="D815" s="37">
        <f>D816</f>
        <v>0</v>
      </c>
      <c r="E815" s="37">
        <f>E816</f>
        <v>12</v>
      </c>
      <c r="F815" s="37">
        <f t="shared" ref="F815:Q815" si="437">F816</f>
        <v>0</v>
      </c>
      <c r="G815" s="37">
        <f t="shared" si="437"/>
        <v>0</v>
      </c>
      <c r="H815" s="37">
        <f t="shared" si="437"/>
        <v>0</v>
      </c>
      <c r="I815" s="37">
        <f>I816</f>
        <v>12</v>
      </c>
      <c r="J815" s="140">
        <f t="shared" si="437"/>
        <v>0</v>
      </c>
      <c r="K815" s="140">
        <f t="shared" si="437"/>
        <v>0</v>
      </c>
      <c r="L815" s="140">
        <f t="shared" si="437"/>
        <v>0</v>
      </c>
      <c r="M815" s="140">
        <f t="shared" si="437"/>
        <v>0</v>
      </c>
      <c r="N815" s="140">
        <f t="shared" si="437"/>
        <v>0</v>
      </c>
      <c r="O815" s="140">
        <f t="shared" si="437"/>
        <v>0</v>
      </c>
      <c r="P815" s="140">
        <f t="shared" si="437"/>
        <v>0</v>
      </c>
      <c r="Q815" s="140">
        <f t="shared" si="437"/>
        <v>0</v>
      </c>
    </row>
    <row r="816" spans="1:17" s="1" customFormat="1" ht="24" hidden="1" customHeight="1">
      <c r="A816" s="90"/>
      <c r="B816" s="89" t="s">
        <v>473</v>
      </c>
      <c r="C816" s="159" t="s">
        <v>474</v>
      </c>
      <c r="D816" s="37">
        <v>0</v>
      </c>
      <c r="E816" s="37">
        <v>12</v>
      </c>
      <c r="F816" s="43"/>
      <c r="G816" s="43"/>
      <c r="H816" s="43"/>
      <c r="I816" s="37">
        <v>12</v>
      </c>
      <c r="J816" s="152"/>
      <c r="K816" s="152"/>
      <c r="L816" s="152"/>
      <c r="M816" s="152"/>
      <c r="N816" s="152"/>
      <c r="O816" s="152"/>
      <c r="P816" s="152"/>
      <c r="Q816" s="152"/>
    </row>
    <row r="817" spans="1:17" ht="24" hidden="1" customHeight="1">
      <c r="A817" s="99">
        <v>2</v>
      </c>
      <c r="B817" s="103" t="s">
        <v>434</v>
      </c>
      <c r="C817" s="166">
        <v>74.02</v>
      </c>
      <c r="D817" s="50">
        <f t="shared" ref="D817:Q817" si="438">D823+D827</f>
        <v>5312</v>
      </c>
      <c r="E817" s="50">
        <f t="shared" si="438"/>
        <v>295</v>
      </c>
      <c r="F817" s="50">
        <f t="shared" si="438"/>
        <v>0</v>
      </c>
      <c r="G817" s="50">
        <f t="shared" si="438"/>
        <v>0</v>
      </c>
      <c r="H817" s="50">
        <f t="shared" si="438"/>
        <v>15</v>
      </c>
      <c r="I817" s="50">
        <f t="shared" si="438"/>
        <v>295</v>
      </c>
      <c r="J817" s="146">
        <f t="shared" si="438"/>
        <v>0</v>
      </c>
      <c r="K817" s="146">
        <f>K823+K827</f>
        <v>0</v>
      </c>
      <c r="L817" s="146">
        <f>L823+L827</f>
        <v>0</v>
      </c>
      <c r="M817" s="146">
        <f>M823+M827</f>
        <v>0</v>
      </c>
      <c r="N817" s="146">
        <f>N823+N827</f>
        <v>0</v>
      </c>
      <c r="O817" s="146">
        <f t="shared" si="438"/>
        <v>0</v>
      </c>
      <c r="P817" s="146">
        <f t="shared" si="438"/>
        <v>0</v>
      </c>
      <c r="Q817" s="146">
        <f t="shared" si="438"/>
        <v>0</v>
      </c>
    </row>
    <row r="818" spans="1:17" ht="0.75" hidden="1" customHeight="1">
      <c r="A818" s="90"/>
      <c r="B818" s="80" t="s">
        <v>179</v>
      </c>
      <c r="C818" s="159"/>
      <c r="D818" s="50">
        <v>0</v>
      </c>
      <c r="E818" s="50">
        <v>0</v>
      </c>
      <c r="F818" s="50">
        <v>0</v>
      </c>
      <c r="G818" s="50">
        <v>0</v>
      </c>
      <c r="H818" s="50">
        <v>0</v>
      </c>
      <c r="I818" s="50">
        <v>0</v>
      </c>
      <c r="J818" s="146">
        <v>0</v>
      </c>
      <c r="K818" s="146">
        <v>0</v>
      </c>
      <c r="L818" s="146">
        <v>0</v>
      </c>
      <c r="M818" s="146">
        <v>0</v>
      </c>
      <c r="N818" s="146">
        <v>0</v>
      </c>
      <c r="O818" s="146">
        <v>0</v>
      </c>
      <c r="P818" s="146">
        <v>0</v>
      </c>
      <c r="Q818" s="146">
        <v>0</v>
      </c>
    </row>
    <row r="819" spans="1:17" ht="24" hidden="1" customHeight="1">
      <c r="A819" s="90"/>
      <c r="B819" s="89" t="s">
        <v>180</v>
      </c>
      <c r="C819" s="159">
        <v>1</v>
      </c>
      <c r="D819" s="50">
        <v>0</v>
      </c>
      <c r="E819" s="50">
        <v>0</v>
      </c>
      <c r="F819" s="50">
        <v>0</v>
      </c>
      <c r="G819" s="50">
        <v>0</v>
      </c>
      <c r="H819" s="50">
        <v>0</v>
      </c>
      <c r="I819" s="50">
        <v>0</v>
      </c>
      <c r="J819" s="146">
        <v>0</v>
      </c>
      <c r="K819" s="146">
        <v>0</v>
      </c>
      <c r="L819" s="146">
        <v>0</v>
      </c>
      <c r="M819" s="146">
        <v>0</v>
      </c>
      <c r="N819" s="146">
        <v>0</v>
      </c>
      <c r="O819" s="146">
        <v>0</v>
      </c>
      <c r="P819" s="146">
        <v>0</v>
      </c>
      <c r="Q819" s="146">
        <v>0</v>
      </c>
    </row>
    <row r="820" spans="1:17" ht="24" hidden="1" customHeight="1">
      <c r="A820" s="90"/>
      <c r="B820" s="89" t="s">
        <v>435</v>
      </c>
      <c r="C820" s="159">
        <v>20</v>
      </c>
      <c r="D820" s="50">
        <v>0</v>
      </c>
      <c r="E820" s="50">
        <v>0</v>
      </c>
      <c r="F820" s="50">
        <v>0</v>
      </c>
      <c r="G820" s="50">
        <v>0</v>
      </c>
      <c r="H820" s="50">
        <v>0</v>
      </c>
      <c r="I820" s="50">
        <v>0</v>
      </c>
      <c r="J820" s="146">
        <v>0</v>
      </c>
      <c r="K820" s="146">
        <v>0</v>
      </c>
      <c r="L820" s="146">
        <v>0</v>
      </c>
      <c r="M820" s="146">
        <v>0</v>
      </c>
      <c r="N820" s="146">
        <v>0</v>
      </c>
      <c r="O820" s="146">
        <v>0</v>
      </c>
      <c r="P820" s="146">
        <v>0</v>
      </c>
      <c r="Q820" s="146">
        <v>0</v>
      </c>
    </row>
    <row r="821" spans="1:17" ht="24" hidden="1" customHeight="1">
      <c r="A821" s="90"/>
      <c r="B821" s="82" t="s">
        <v>191</v>
      </c>
      <c r="C821" s="159"/>
      <c r="D821" s="50">
        <f t="shared" ref="D821:Q822" si="439">D824+D828</f>
        <v>5312</v>
      </c>
      <c r="E821" s="50">
        <f t="shared" si="439"/>
        <v>295</v>
      </c>
      <c r="F821" s="50">
        <f t="shared" si="439"/>
        <v>0</v>
      </c>
      <c r="G821" s="50">
        <f t="shared" si="439"/>
        <v>0</v>
      </c>
      <c r="H821" s="50">
        <f t="shared" si="439"/>
        <v>15</v>
      </c>
      <c r="I821" s="50">
        <f t="shared" si="439"/>
        <v>295</v>
      </c>
      <c r="J821" s="146">
        <f t="shared" si="439"/>
        <v>0</v>
      </c>
      <c r="K821" s="146">
        <f t="shared" ref="K821:N822" si="440">K824+K828</f>
        <v>0</v>
      </c>
      <c r="L821" s="146">
        <f t="shared" si="440"/>
        <v>0</v>
      </c>
      <c r="M821" s="146">
        <f t="shared" si="440"/>
        <v>0</v>
      </c>
      <c r="N821" s="146">
        <f t="shared" si="440"/>
        <v>0</v>
      </c>
      <c r="O821" s="146">
        <f t="shared" si="439"/>
        <v>0</v>
      </c>
      <c r="P821" s="146">
        <f t="shared" si="439"/>
        <v>0</v>
      </c>
      <c r="Q821" s="146">
        <f t="shared" si="439"/>
        <v>0</v>
      </c>
    </row>
    <row r="822" spans="1:17" ht="24" hidden="1" customHeight="1">
      <c r="A822" s="90"/>
      <c r="B822" s="89" t="s">
        <v>436</v>
      </c>
      <c r="C822" s="159">
        <v>56</v>
      </c>
      <c r="D822" s="36">
        <f>D825+D829</f>
        <v>5312</v>
      </c>
      <c r="E822" s="36">
        <f>E825+E829</f>
        <v>295</v>
      </c>
      <c r="F822" s="36">
        <f t="shared" si="439"/>
        <v>0</v>
      </c>
      <c r="G822" s="36">
        <f t="shared" si="439"/>
        <v>0</v>
      </c>
      <c r="H822" s="36">
        <f t="shared" si="439"/>
        <v>15</v>
      </c>
      <c r="I822" s="36">
        <f>I825+I829</f>
        <v>295</v>
      </c>
      <c r="J822" s="141">
        <f t="shared" si="439"/>
        <v>0</v>
      </c>
      <c r="K822" s="141">
        <f t="shared" si="440"/>
        <v>0</v>
      </c>
      <c r="L822" s="141">
        <f t="shared" si="440"/>
        <v>0</v>
      </c>
      <c r="M822" s="141">
        <f t="shared" si="440"/>
        <v>0</v>
      </c>
      <c r="N822" s="141">
        <f t="shared" si="440"/>
        <v>0</v>
      </c>
      <c r="O822" s="141">
        <f t="shared" si="439"/>
        <v>0</v>
      </c>
      <c r="P822" s="141">
        <f t="shared" si="439"/>
        <v>0</v>
      </c>
      <c r="Q822" s="141">
        <f t="shared" si="439"/>
        <v>0</v>
      </c>
    </row>
    <row r="823" spans="1:17" ht="24" hidden="1" customHeight="1">
      <c r="A823" s="90" t="s">
        <v>324</v>
      </c>
      <c r="B823" s="82" t="s">
        <v>437</v>
      </c>
      <c r="C823" s="159" t="s">
        <v>438</v>
      </c>
      <c r="D823" s="50">
        <f t="shared" ref="D823:Q825" si="441">D824</f>
        <v>0</v>
      </c>
      <c r="E823" s="50">
        <f t="shared" si="441"/>
        <v>45</v>
      </c>
      <c r="F823" s="50">
        <f t="shared" si="441"/>
        <v>0</v>
      </c>
      <c r="G823" s="50">
        <f t="shared" si="441"/>
        <v>0</v>
      </c>
      <c r="H823" s="50">
        <f t="shared" si="441"/>
        <v>15</v>
      </c>
      <c r="I823" s="50">
        <f t="shared" si="441"/>
        <v>45</v>
      </c>
      <c r="J823" s="146">
        <f t="shared" si="441"/>
        <v>0</v>
      </c>
      <c r="K823" s="146">
        <f t="shared" si="441"/>
        <v>0</v>
      </c>
      <c r="L823" s="146">
        <f t="shared" si="441"/>
        <v>0</v>
      </c>
      <c r="M823" s="146">
        <f t="shared" si="441"/>
        <v>0</v>
      </c>
      <c r="N823" s="146">
        <f t="shared" si="441"/>
        <v>0</v>
      </c>
      <c r="O823" s="146">
        <f t="shared" si="441"/>
        <v>0</v>
      </c>
      <c r="P823" s="146">
        <f t="shared" si="441"/>
        <v>0</v>
      </c>
      <c r="Q823" s="146">
        <f t="shared" si="441"/>
        <v>0</v>
      </c>
    </row>
    <row r="824" spans="1:17" ht="0.75" hidden="1" customHeight="1">
      <c r="A824" s="90"/>
      <c r="B824" s="82" t="s">
        <v>191</v>
      </c>
      <c r="C824" s="159"/>
      <c r="D824" s="50">
        <f>D825</f>
        <v>0</v>
      </c>
      <c r="E824" s="50">
        <f>E825</f>
        <v>45</v>
      </c>
      <c r="F824" s="50">
        <f t="shared" si="441"/>
        <v>0</v>
      </c>
      <c r="G824" s="50">
        <f t="shared" si="441"/>
        <v>0</v>
      </c>
      <c r="H824" s="50">
        <f t="shared" si="441"/>
        <v>15</v>
      </c>
      <c r="I824" s="50">
        <f>I825</f>
        <v>45</v>
      </c>
      <c r="J824" s="146">
        <f t="shared" si="441"/>
        <v>0</v>
      </c>
      <c r="K824" s="146">
        <f t="shared" si="441"/>
        <v>0</v>
      </c>
      <c r="L824" s="146">
        <f t="shared" si="441"/>
        <v>0</v>
      </c>
      <c r="M824" s="146">
        <f t="shared" si="441"/>
        <v>0</v>
      </c>
      <c r="N824" s="146">
        <f t="shared" si="441"/>
        <v>0</v>
      </c>
      <c r="O824" s="146">
        <f t="shared" si="441"/>
        <v>0</v>
      </c>
      <c r="P824" s="146">
        <f t="shared" si="441"/>
        <v>0</v>
      </c>
      <c r="Q824" s="146">
        <f t="shared" si="441"/>
        <v>0</v>
      </c>
    </row>
    <row r="825" spans="1:17" ht="24" hidden="1" customHeight="1">
      <c r="A825" s="90"/>
      <c r="B825" s="89" t="s">
        <v>436</v>
      </c>
      <c r="C825" s="47">
        <v>56.01</v>
      </c>
      <c r="D825" s="36">
        <f>D826</f>
        <v>0</v>
      </c>
      <c r="E825" s="36">
        <f>E826</f>
        <v>45</v>
      </c>
      <c r="F825" s="36">
        <f t="shared" si="441"/>
        <v>0</v>
      </c>
      <c r="G825" s="36">
        <f t="shared" si="441"/>
        <v>0</v>
      </c>
      <c r="H825" s="36">
        <f t="shared" si="441"/>
        <v>15</v>
      </c>
      <c r="I825" s="36">
        <f>I826</f>
        <v>45</v>
      </c>
      <c r="J825" s="141">
        <f t="shared" si="441"/>
        <v>0</v>
      </c>
      <c r="K825" s="141">
        <f t="shared" si="441"/>
        <v>0</v>
      </c>
      <c r="L825" s="141">
        <f t="shared" si="441"/>
        <v>0</v>
      </c>
      <c r="M825" s="141">
        <f t="shared" si="441"/>
        <v>0</v>
      </c>
      <c r="N825" s="141">
        <f t="shared" si="441"/>
        <v>0</v>
      </c>
      <c r="O825" s="141">
        <f t="shared" si="441"/>
        <v>0</v>
      </c>
      <c r="P825" s="141">
        <f t="shared" si="441"/>
        <v>0</v>
      </c>
      <c r="Q825" s="141">
        <f t="shared" si="441"/>
        <v>0</v>
      </c>
    </row>
    <row r="826" spans="1:17" ht="24" hidden="1" customHeight="1">
      <c r="A826" s="90"/>
      <c r="B826" s="89" t="s">
        <v>239</v>
      </c>
      <c r="C826" s="47" t="s">
        <v>237</v>
      </c>
      <c r="D826" s="37">
        <v>0</v>
      </c>
      <c r="E826" s="37">
        <v>45</v>
      </c>
      <c r="F826" s="32"/>
      <c r="G826" s="32"/>
      <c r="H826" s="32">
        <v>15</v>
      </c>
      <c r="I826" s="37">
        <v>45</v>
      </c>
      <c r="J826" s="137"/>
      <c r="K826" s="137"/>
      <c r="L826" s="137"/>
      <c r="M826" s="137"/>
      <c r="N826" s="137"/>
      <c r="O826" s="137">
        <v>0</v>
      </c>
      <c r="P826" s="137">
        <v>0</v>
      </c>
      <c r="Q826" s="137">
        <v>0</v>
      </c>
    </row>
    <row r="827" spans="1:17" ht="24" hidden="1" customHeight="1">
      <c r="A827" s="90" t="s">
        <v>331</v>
      </c>
      <c r="B827" s="87" t="s">
        <v>439</v>
      </c>
      <c r="C827" s="159" t="s">
        <v>438</v>
      </c>
      <c r="D827" s="50">
        <f t="shared" ref="D827:Q828" si="442">D828</f>
        <v>5312</v>
      </c>
      <c r="E827" s="50">
        <f t="shared" si="442"/>
        <v>250</v>
      </c>
      <c r="F827" s="50">
        <f t="shared" si="442"/>
        <v>0</v>
      </c>
      <c r="G827" s="50">
        <f t="shared" si="442"/>
        <v>0</v>
      </c>
      <c r="H827" s="50">
        <f t="shared" si="442"/>
        <v>0</v>
      </c>
      <c r="I827" s="50">
        <f t="shared" si="442"/>
        <v>250</v>
      </c>
      <c r="J827" s="146">
        <f t="shared" si="442"/>
        <v>0</v>
      </c>
      <c r="K827" s="146">
        <f t="shared" si="442"/>
        <v>0</v>
      </c>
      <c r="L827" s="146">
        <f t="shared" si="442"/>
        <v>0</v>
      </c>
      <c r="M827" s="146">
        <f t="shared" si="442"/>
        <v>0</v>
      </c>
      <c r="N827" s="146">
        <f t="shared" si="442"/>
        <v>0</v>
      </c>
      <c r="O827" s="146">
        <f t="shared" si="442"/>
        <v>0</v>
      </c>
      <c r="P827" s="146">
        <f t="shared" si="442"/>
        <v>0</v>
      </c>
      <c r="Q827" s="146">
        <f t="shared" si="442"/>
        <v>0</v>
      </c>
    </row>
    <row r="828" spans="1:17" ht="24" hidden="1" customHeight="1">
      <c r="A828" s="90"/>
      <c r="B828" s="82" t="s">
        <v>191</v>
      </c>
      <c r="C828" s="47">
        <v>0</v>
      </c>
      <c r="D828" s="36">
        <f t="shared" si="442"/>
        <v>5312</v>
      </c>
      <c r="E828" s="36">
        <f t="shared" si="442"/>
        <v>250</v>
      </c>
      <c r="F828" s="36">
        <f t="shared" si="442"/>
        <v>0</v>
      </c>
      <c r="G828" s="36">
        <f t="shared" si="442"/>
        <v>0</v>
      </c>
      <c r="H828" s="36">
        <f t="shared" si="442"/>
        <v>0</v>
      </c>
      <c r="I828" s="36">
        <f t="shared" si="442"/>
        <v>250</v>
      </c>
      <c r="J828" s="141">
        <f t="shared" si="442"/>
        <v>0</v>
      </c>
      <c r="K828" s="141">
        <f t="shared" si="442"/>
        <v>0</v>
      </c>
      <c r="L828" s="141">
        <f t="shared" si="442"/>
        <v>0</v>
      </c>
      <c r="M828" s="141">
        <f t="shared" si="442"/>
        <v>0</v>
      </c>
      <c r="N828" s="141">
        <f t="shared" si="442"/>
        <v>0</v>
      </c>
      <c r="O828" s="141">
        <f t="shared" si="442"/>
        <v>0</v>
      </c>
      <c r="P828" s="141">
        <f t="shared" si="442"/>
        <v>0</v>
      </c>
      <c r="Q828" s="141">
        <f t="shared" si="442"/>
        <v>0</v>
      </c>
    </row>
    <row r="829" spans="1:17" ht="24" hidden="1" customHeight="1">
      <c r="A829" s="90"/>
      <c r="B829" s="89" t="s">
        <v>436</v>
      </c>
      <c r="C829" s="47">
        <v>56.01</v>
      </c>
      <c r="D829" s="36">
        <f t="shared" ref="D829:Q829" si="443">D830+D831+D832</f>
        <v>5312</v>
      </c>
      <c r="E829" s="36">
        <f t="shared" si="443"/>
        <v>250</v>
      </c>
      <c r="F829" s="36">
        <f t="shared" si="443"/>
        <v>0</v>
      </c>
      <c r="G829" s="36">
        <f t="shared" si="443"/>
        <v>0</v>
      </c>
      <c r="H829" s="36">
        <f t="shared" si="443"/>
        <v>0</v>
      </c>
      <c r="I829" s="36">
        <f t="shared" si="443"/>
        <v>250</v>
      </c>
      <c r="J829" s="141">
        <f t="shared" si="443"/>
        <v>0</v>
      </c>
      <c r="K829" s="141">
        <f>K830+K831+K832</f>
        <v>0</v>
      </c>
      <c r="L829" s="141">
        <f>L830+L831+L832</f>
        <v>0</v>
      </c>
      <c r="M829" s="141">
        <f>M830+M831+M832</f>
        <v>0</v>
      </c>
      <c r="N829" s="141">
        <f>N830+N831+N832</f>
        <v>0</v>
      </c>
      <c r="O829" s="141">
        <f t="shared" si="443"/>
        <v>0</v>
      </c>
      <c r="P829" s="141">
        <f t="shared" si="443"/>
        <v>0</v>
      </c>
      <c r="Q829" s="141">
        <f t="shared" si="443"/>
        <v>0</v>
      </c>
    </row>
    <row r="830" spans="1:17" ht="2.25" hidden="1" customHeight="1">
      <c r="A830" s="90"/>
      <c r="B830" s="89" t="s">
        <v>356</v>
      </c>
      <c r="C830" s="47" t="s">
        <v>233</v>
      </c>
      <c r="D830" s="37">
        <v>0</v>
      </c>
      <c r="E830" s="37">
        <v>0</v>
      </c>
      <c r="F830" s="32"/>
      <c r="G830" s="32"/>
      <c r="H830" s="32"/>
      <c r="I830" s="37">
        <v>0</v>
      </c>
      <c r="J830" s="137"/>
      <c r="K830" s="137"/>
      <c r="L830" s="137"/>
      <c r="M830" s="137"/>
      <c r="N830" s="137"/>
      <c r="O830" s="137"/>
      <c r="P830" s="137"/>
      <c r="Q830" s="137"/>
    </row>
    <row r="831" spans="1:17" ht="24" hidden="1" customHeight="1">
      <c r="A831" s="90"/>
      <c r="B831" s="89" t="s">
        <v>440</v>
      </c>
      <c r="C831" s="47" t="s">
        <v>235</v>
      </c>
      <c r="D831" s="37">
        <v>0</v>
      </c>
      <c r="E831" s="37">
        <v>0</v>
      </c>
      <c r="F831" s="32"/>
      <c r="G831" s="32"/>
      <c r="H831" s="32"/>
      <c r="I831" s="37">
        <v>0</v>
      </c>
      <c r="J831" s="137"/>
      <c r="K831" s="137"/>
      <c r="L831" s="137"/>
      <c r="M831" s="137"/>
      <c r="N831" s="137"/>
      <c r="O831" s="137"/>
      <c r="P831" s="137"/>
      <c r="Q831" s="137"/>
    </row>
    <row r="832" spans="1:17" ht="24" hidden="1" customHeight="1">
      <c r="A832" s="90"/>
      <c r="B832" s="89" t="s">
        <v>441</v>
      </c>
      <c r="C832" s="47" t="s">
        <v>237</v>
      </c>
      <c r="D832" s="63">
        <v>5312</v>
      </c>
      <c r="E832" s="63">
        <f>153+97</f>
        <v>250</v>
      </c>
      <c r="F832" s="32">
        <v>0</v>
      </c>
      <c r="G832" s="32"/>
      <c r="H832" s="32"/>
      <c r="I832" s="63">
        <f>153+97</f>
        <v>250</v>
      </c>
      <c r="J832" s="137"/>
      <c r="K832" s="137"/>
      <c r="L832" s="137"/>
      <c r="M832" s="137"/>
      <c r="N832" s="137"/>
      <c r="O832" s="137"/>
      <c r="P832" s="137"/>
      <c r="Q832" s="137"/>
    </row>
    <row r="833" spans="1:17" ht="24" customHeight="1">
      <c r="A833" s="99" t="s">
        <v>442</v>
      </c>
      <c r="B833" s="101" t="s">
        <v>582</v>
      </c>
      <c r="C833" s="166">
        <v>79.02</v>
      </c>
      <c r="D833" s="58" t="e">
        <f t="shared" ref="D833:Q833" si="444">D847+D865+D875+D903</f>
        <v>#REF!</v>
      </c>
      <c r="E833" s="58" t="e">
        <f t="shared" si="444"/>
        <v>#REF!</v>
      </c>
      <c r="F833" s="58" t="e">
        <f t="shared" si="444"/>
        <v>#REF!</v>
      </c>
      <c r="G833" s="58" t="e">
        <f t="shared" si="444"/>
        <v>#REF!</v>
      </c>
      <c r="H833" s="58" t="e">
        <f t="shared" si="444"/>
        <v>#REF!</v>
      </c>
      <c r="I833" s="58" t="e">
        <f t="shared" si="444"/>
        <v>#REF!</v>
      </c>
      <c r="J833" s="149">
        <f t="shared" si="444"/>
        <v>51079</v>
      </c>
      <c r="K833" s="149">
        <f>K847+K865+K875+K903</f>
        <v>41247</v>
      </c>
      <c r="L833" s="149">
        <f>L847+L865+L875+L903</f>
        <v>4075</v>
      </c>
      <c r="M833" s="149">
        <f>M847+M865+M875+M903</f>
        <v>3550</v>
      </c>
      <c r="N833" s="149">
        <f>N847+N865+N875+N903</f>
        <v>2207</v>
      </c>
      <c r="O833" s="149">
        <f t="shared" si="444"/>
        <v>29001</v>
      </c>
      <c r="P833" s="149">
        <f t="shared" si="444"/>
        <v>69001</v>
      </c>
      <c r="Q833" s="149">
        <f t="shared" si="444"/>
        <v>38232</v>
      </c>
    </row>
    <row r="834" spans="1:17" ht="24" customHeight="1">
      <c r="A834" s="90"/>
      <c r="B834" s="80" t="s">
        <v>179</v>
      </c>
      <c r="C834" s="159"/>
      <c r="D834" s="58">
        <f t="shared" ref="D834:Q835" si="445">D848+D868+D876</f>
        <v>11550</v>
      </c>
      <c r="E834" s="58">
        <f t="shared" si="445"/>
        <v>18200</v>
      </c>
      <c r="F834" s="58">
        <f t="shared" si="445"/>
        <v>300</v>
      </c>
      <c r="G834" s="58">
        <f t="shared" si="445"/>
        <v>15300</v>
      </c>
      <c r="H834" s="58">
        <f t="shared" si="445"/>
        <v>0</v>
      </c>
      <c r="I834" s="58">
        <f t="shared" si="445"/>
        <v>0</v>
      </c>
      <c r="J834" s="149">
        <f t="shared" si="445"/>
        <v>13407</v>
      </c>
      <c r="K834" s="149">
        <f t="shared" ref="K834:N835" si="446">K848+K868+K876</f>
        <v>3575</v>
      </c>
      <c r="L834" s="149">
        <f t="shared" si="446"/>
        <v>4075</v>
      </c>
      <c r="M834" s="149">
        <f t="shared" si="446"/>
        <v>3550</v>
      </c>
      <c r="N834" s="149">
        <f t="shared" si="446"/>
        <v>2207</v>
      </c>
      <c r="O834" s="149">
        <f t="shared" si="445"/>
        <v>12652</v>
      </c>
      <c r="P834" s="149">
        <f t="shared" si="445"/>
        <v>12652</v>
      </c>
      <c r="Q834" s="149">
        <f t="shared" si="445"/>
        <v>12652</v>
      </c>
    </row>
    <row r="835" spans="1:17" ht="15">
      <c r="A835" s="90"/>
      <c r="B835" s="89" t="s">
        <v>180</v>
      </c>
      <c r="C835" s="47">
        <v>1</v>
      </c>
      <c r="D835" s="36">
        <f t="shared" si="445"/>
        <v>11550</v>
      </c>
      <c r="E835" s="36">
        <f t="shared" si="445"/>
        <v>18200</v>
      </c>
      <c r="F835" s="36">
        <f t="shared" si="445"/>
        <v>300</v>
      </c>
      <c r="G835" s="36">
        <f t="shared" si="445"/>
        <v>15300</v>
      </c>
      <c r="H835" s="36">
        <f t="shared" si="445"/>
        <v>0</v>
      </c>
      <c r="I835" s="36">
        <f t="shared" si="445"/>
        <v>0</v>
      </c>
      <c r="J835" s="141">
        <f t="shared" si="445"/>
        <v>13407</v>
      </c>
      <c r="K835" s="141">
        <f t="shared" si="446"/>
        <v>3575</v>
      </c>
      <c r="L835" s="141">
        <f t="shared" si="446"/>
        <v>4075</v>
      </c>
      <c r="M835" s="141">
        <f t="shared" si="446"/>
        <v>3550</v>
      </c>
      <c r="N835" s="141">
        <f t="shared" si="446"/>
        <v>2207</v>
      </c>
      <c r="O835" s="141">
        <f t="shared" si="445"/>
        <v>12652</v>
      </c>
      <c r="P835" s="141">
        <f t="shared" si="445"/>
        <v>12652</v>
      </c>
      <c r="Q835" s="141">
        <f t="shared" si="445"/>
        <v>12652</v>
      </c>
    </row>
    <row r="836" spans="1:17" ht="15" hidden="1">
      <c r="A836" s="90"/>
      <c r="B836" s="89" t="s">
        <v>181</v>
      </c>
      <c r="C836" s="47">
        <v>10</v>
      </c>
      <c r="D836" s="36">
        <f t="shared" ref="D836:Q836" si="447">D878</f>
        <v>0</v>
      </c>
      <c r="E836" s="36">
        <f t="shared" si="447"/>
        <v>0</v>
      </c>
      <c r="F836" s="36">
        <f t="shared" si="447"/>
        <v>0</v>
      </c>
      <c r="G836" s="36">
        <f t="shared" si="447"/>
        <v>0</v>
      </c>
      <c r="H836" s="36">
        <f t="shared" si="447"/>
        <v>0</v>
      </c>
      <c r="I836" s="36">
        <f t="shared" si="447"/>
        <v>0</v>
      </c>
      <c r="J836" s="141">
        <f t="shared" si="447"/>
        <v>0</v>
      </c>
      <c r="K836" s="141">
        <f>K878</f>
        <v>0</v>
      </c>
      <c r="L836" s="141">
        <f>L878</f>
        <v>0</v>
      </c>
      <c r="M836" s="141">
        <f>M878</f>
        <v>0</v>
      </c>
      <c r="N836" s="141">
        <f>N878</f>
        <v>0</v>
      </c>
      <c r="O836" s="141">
        <f t="shared" si="447"/>
        <v>0</v>
      </c>
      <c r="P836" s="141">
        <f t="shared" si="447"/>
        <v>0</v>
      </c>
      <c r="Q836" s="141">
        <f t="shared" si="447"/>
        <v>0</v>
      </c>
    </row>
    <row r="837" spans="1:17" ht="15">
      <c r="A837" s="90"/>
      <c r="B837" s="89" t="s">
        <v>182</v>
      </c>
      <c r="C837" s="47">
        <v>20</v>
      </c>
      <c r="D837" s="36">
        <f t="shared" ref="D837:Q837" si="448">D850+D879</f>
        <v>10724</v>
      </c>
      <c r="E837" s="36">
        <f t="shared" si="448"/>
        <v>18200</v>
      </c>
      <c r="F837" s="36">
        <f t="shared" si="448"/>
        <v>300</v>
      </c>
      <c r="G837" s="36">
        <f t="shared" si="448"/>
        <v>15300</v>
      </c>
      <c r="H837" s="36">
        <f t="shared" si="448"/>
        <v>0</v>
      </c>
      <c r="I837" s="36">
        <f t="shared" si="448"/>
        <v>0</v>
      </c>
      <c r="J837" s="141">
        <f t="shared" si="448"/>
        <v>13407</v>
      </c>
      <c r="K837" s="141">
        <f>K850+K879</f>
        <v>3575</v>
      </c>
      <c r="L837" s="141">
        <f>L850+L879</f>
        <v>4075</v>
      </c>
      <c r="M837" s="141">
        <f>M850+M879</f>
        <v>3550</v>
      </c>
      <c r="N837" s="141">
        <f>N850+N879</f>
        <v>2207</v>
      </c>
      <c r="O837" s="141">
        <f t="shared" si="448"/>
        <v>12652</v>
      </c>
      <c r="P837" s="141">
        <f t="shared" si="448"/>
        <v>12652</v>
      </c>
      <c r="Q837" s="141">
        <f t="shared" si="448"/>
        <v>12652</v>
      </c>
    </row>
    <row r="838" spans="1:17" ht="15">
      <c r="A838" s="90"/>
      <c r="B838" s="89" t="s">
        <v>443</v>
      </c>
      <c r="C838" s="47">
        <v>51</v>
      </c>
      <c r="D838" s="36">
        <f t="shared" ref="D838:Q838" si="449">D870</f>
        <v>826</v>
      </c>
      <c r="E838" s="36">
        <f t="shared" si="449"/>
        <v>0</v>
      </c>
      <c r="F838" s="36">
        <f t="shared" si="449"/>
        <v>0</v>
      </c>
      <c r="G838" s="36">
        <f t="shared" si="449"/>
        <v>0</v>
      </c>
      <c r="H838" s="36">
        <f t="shared" si="449"/>
        <v>0</v>
      </c>
      <c r="I838" s="36">
        <f t="shared" si="449"/>
        <v>0</v>
      </c>
      <c r="J838" s="141">
        <f t="shared" si="449"/>
        <v>0</v>
      </c>
      <c r="K838" s="141">
        <f>K870</f>
        <v>0</v>
      </c>
      <c r="L838" s="141">
        <f>L870</f>
        <v>0</v>
      </c>
      <c r="M838" s="141">
        <f>M870</f>
        <v>0</v>
      </c>
      <c r="N838" s="141">
        <f>N870</f>
        <v>0</v>
      </c>
      <c r="O838" s="141">
        <f t="shared" si="449"/>
        <v>0</v>
      </c>
      <c r="P838" s="141">
        <f t="shared" si="449"/>
        <v>0</v>
      </c>
      <c r="Q838" s="141">
        <f t="shared" si="449"/>
        <v>0</v>
      </c>
    </row>
    <row r="839" spans="1:17" ht="13.5" customHeight="1">
      <c r="A839" s="90"/>
      <c r="B839" s="89" t="s">
        <v>380</v>
      </c>
      <c r="C839" s="47">
        <v>59.02</v>
      </c>
      <c r="D839" s="36">
        <f t="shared" ref="D839:Q839" si="450">D851</f>
        <v>0</v>
      </c>
      <c r="E839" s="36">
        <f t="shared" si="450"/>
        <v>0</v>
      </c>
      <c r="F839" s="36">
        <f t="shared" si="450"/>
        <v>0</v>
      </c>
      <c r="G839" s="36">
        <f t="shared" si="450"/>
        <v>0</v>
      </c>
      <c r="H839" s="36">
        <f t="shared" si="450"/>
        <v>0</v>
      </c>
      <c r="I839" s="36">
        <f t="shared" si="450"/>
        <v>0</v>
      </c>
      <c r="J839" s="141">
        <f t="shared" si="450"/>
        <v>0</v>
      </c>
      <c r="K839" s="141">
        <f>K851</f>
        <v>0</v>
      </c>
      <c r="L839" s="141">
        <f>L851</f>
        <v>0</v>
      </c>
      <c r="M839" s="141">
        <f>M851</f>
        <v>0</v>
      </c>
      <c r="N839" s="141">
        <f>N851</f>
        <v>0</v>
      </c>
      <c r="O839" s="141">
        <f t="shared" si="450"/>
        <v>0</v>
      </c>
      <c r="P839" s="141">
        <f t="shared" si="450"/>
        <v>0</v>
      </c>
      <c r="Q839" s="141">
        <f t="shared" si="450"/>
        <v>0</v>
      </c>
    </row>
    <row r="840" spans="1:17" ht="14.25">
      <c r="A840" s="90"/>
      <c r="B840" s="82" t="s">
        <v>191</v>
      </c>
      <c r="C840" s="47"/>
      <c r="D840" s="36">
        <f t="shared" ref="D840:Q840" si="451">D852+D880+D905</f>
        <v>12734</v>
      </c>
      <c r="E840" s="36">
        <f t="shared" si="451"/>
        <v>32687</v>
      </c>
      <c r="F840" s="36">
        <f t="shared" si="451"/>
        <v>580</v>
      </c>
      <c r="G840" s="36">
        <f t="shared" si="451"/>
        <v>4356</v>
      </c>
      <c r="H840" s="36">
        <f t="shared" si="451"/>
        <v>0</v>
      </c>
      <c r="I840" s="36">
        <f t="shared" si="451"/>
        <v>32107</v>
      </c>
      <c r="J840" s="141">
        <f t="shared" si="451"/>
        <v>37672</v>
      </c>
      <c r="K840" s="141">
        <f>K852+K880+K905</f>
        <v>37672</v>
      </c>
      <c r="L840" s="141">
        <f>L852+L880+L905</f>
        <v>0</v>
      </c>
      <c r="M840" s="141">
        <f>M852+M880+M905</f>
        <v>0</v>
      </c>
      <c r="N840" s="141">
        <f>N852+N880+N905</f>
        <v>0</v>
      </c>
      <c r="O840" s="141">
        <f t="shared" si="451"/>
        <v>16349</v>
      </c>
      <c r="P840" s="141">
        <f t="shared" si="451"/>
        <v>56349</v>
      </c>
      <c r="Q840" s="141">
        <f t="shared" si="451"/>
        <v>25580</v>
      </c>
    </row>
    <row r="841" spans="1:17" ht="15">
      <c r="A841" s="90"/>
      <c r="B841" s="89" t="s">
        <v>444</v>
      </c>
      <c r="C841" s="47">
        <v>55</v>
      </c>
      <c r="D841" s="36">
        <f t="shared" ref="D841:Q841" si="452">D853</f>
        <v>580</v>
      </c>
      <c r="E841" s="36">
        <f t="shared" si="452"/>
        <v>580</v>
      </c>
      <c r="F841" s="36">
        <f t="shared" si="452"/>
        <v>580</v>
      </c>
      <c r="G841" s="36">
        <f t="shared" si="452"/>
        <v>580</v>
      </c>
      <c r="H841" s="36">
        <f t="shared" si="452"/>
        <v>0</v>
      </c>
      <c r="I841" s="36">
        <f t="shared" si="452"/>
        <v>0</v>
      </c>
      <c r="J841" s="141">
        <f t="shared" si="452"/>
        <v>580</v>
      </c>
      <c r="K841" s="141">
        <f>K853</f>
        <v>580</v>
      </c>
      <c r="L841" s="141">
        <f>L853</f>
        <v>0</v>
      </c>
      <c r="M841" s="141">
        <f>M853</f>
        <v>0</v>
      </c>
      <c r="N841" s="141">
        <f>N853</f>
        <v>0</v>
      </c>
      <c r="O841" s="141">
        <f t="shared" si="452"/>
        <v>580</v>
      </c>
      <c r="P841" s="141">
        <f t="shared" si="452"/>
        <v>580</v>
      </c>
      <c r="Q841" s="141">
        <f t="shared" si="452"/>
        <v>580</v>
      </c>
    </row>
    <row r="842" spans="1:17" ht="29.25" customHeight="1">
      <c r="A842" s="90"/>
      <c r="B842" s="118" t="s">
        <v>445</v>
      </c>
      <c r="C842" s="174" t="s">
        <v>446</v>
      </c>
      <c r="D842" s="36">
        <f t="shared" ref="D842:Q842" si="453">D906</f>
        <v>600</v>
      </c>
      <c r="E842" s="36">
        <f t="shared" si="453"/>
        <v>0</v>
      </c>
      <c r="F842" s="36">
        <f t="shared" si="453"/>
        <v>0</v>
      </c>
      <c r="G842" s="36">
        <f t="shared" si="453"/>
        <v>0</v>
      </c>
      <c r="H842" s="36">
        <f t="shared" si="453"/>
        <v>0</v>
      </c>
      <c r="I842" s="36">
        <f t="shared" si="453"/>
        <v>0</v>
      </c>
      <c r="J842" s="141">
        <f t="shared" si="453"/>
        <v>15907</v>
      </c>
      <c r="K842" s="141">
        <f>K906</f>
        <v>15907</v>
      </c>
      <c r="L842" s="141">
        <f>L906</f>
        <v>0</v>
      </c>
      <c r="M842" s="141">
        <f>M906</f>
        <v>0</v>
      </c>
      <c r="N842" s="141">
        <f>N906</f>
        <v>0</v>
      </c>
      <c r="O842" s="141">
        <f t="shared" si="453"/>
        <v>0</v>
      </c>
      <c r="P842" s="141">
        <f t="shared" si="453"/>
        <v>0</v>
      </c>
      <c r="Q842" s="141">
        <f t="shared" si="453"/>
        <v>0</v>
      </c>
    </row>
    <row r="843" spans="1:17" ht="15.75" hidden="1" customHeight="1">
      <c r="A843" s="90"/>
      <c r="B843" s="82" t="s">
        <v>200</v>
      </c>
      <c r="C843" s="47">
        <v>56</v>
      </c>
      <c r="D843" s="36">
        <f t="shared" ref="D843:Q843" si="454">D881+D907</f>
        <v>0</v>
      </c>
      <c r="E843" s="36">
        <f t="shared" si="454"/>
        <v>0</v>
      </c>
      <c r="F843" s="36">
        <f t="shared" si="454"/>
        <v>0</v>
      </c>
      <c r="G843" s="36">
        <f t="shared" si="454"/>
        <v>0</v>
      </c>
      <c r="H843" s="36">
        <f t="shared" si="454"/>
        <v>0</v>
      </c>
      <c r="I843" s="36">
        <f t="shared" si="454"/>
        <v>0</v>
      </c>
      <c r="J843" s="141">
        <f t="shared" si="454"/>
        <v>0</v>
      </c>
      <c r="K843" s="141">
        <f>K881+K907</f>
        <v>0</v>
      </c>
      <c r="L843" s="141">
        <f>L881+L907</f>
        <v>0</v>
      </c>
      <c r="M843" s="141">
        <f>M881+M907</f>
        <v>0</v>
      </c>
      <c r="N843" s="141">
        <f>N881+N907</f>
        <v>0</v>
      </c>
      <c r="O843" s="141">
        <f t="shared" si="454"/>
        <v>0</v>
      </c>
      <c r="P843" s="141">
        <f t="shared" si="454"/>
        <v>0</v>
      </c>
      <c r="Q843" s="141">
        <f t="shared" si="454"/>
        <v>0</v>
      </c>
    </row>
    <row r="844" spans="1:17" ht="15.75" customHeight="1">
      <c r="A844" s="90"/>
      <c r="B844" s="82" t="s">
        <v>200</v>
      </c>
      <c r="C844" s="47">
        <v>58</v>
      </c>
      <c r="D844" s="36"/>
      <c r="E844" s="36"/>
      <c r="F844" s="36"/>
      <c r="G844" s="36"/>
      <c r="H844" s="36"/>
      <c r="I844" s="36"/>
      <c r="J844" s="141">
        <f>J882</f>
        <v>985</v>
      </c>
      <c r="K844" s="141">
        <f>K882</f>
        <v>985</v>
      </c>
      <c r="L844" s="141">
        <f>L882</f>
        <v>0</v>
      </c>
      <c r="M844" s="141">
        <f>M882</f>
        <v>0</v>
      </c>
      <c r="N844" s="141">
        <f>N882</f>
        <v>0</v>
      </c>
      <c r="O844" s="141"/>
      <c r="P844" s="141"/>
      <c r="Q844" s="141"/>
    </row>
    <row r="845" spans="1:17" ht="15">
      <c r="A845" s="90"/>
      <c r="B845" s="89" t="s">
        <v>220</v>
      </c>
      <c r="C845" s="47">
        <v>70</v>
      </c>
      <c r="D845" s="36">
        <f t="shared" ref="D845:Q846" si="455">D883</f>
        <v>11554</v>
      </c>
      <c r="E845" s="36">
        <f t="shared" si="455"/>
        <v>32107</v>
      </c>
      <c r="F845" s="36">
        <f t="shared" si="455"/>
        <v>0</v>
      </c>
      <c r="G845" s="36">
        <f t="shared" si="455"/>
        <v>1938</v>
      </c>
      <c r="H845" s="36">
        <f t="shared" si="455"/>
        <v>0</v>
      </c>
      <c r="I845" s="36">
        <f t="shared" si="455"/>
        <v>32107</v>
      </c>
      <c r="J845" s="141">
        <f t="shared" si="455"/>
        <v>20200</v>
      </c>
      <c r="K845" s="141">
        <f>K883</f>
        <v>20200</v>
      </c>
      <c r="L845" s="141">
        <f>L883</f>
        <v>0</v>
      </c>
      <c r="M845" s="141">
        <f>M883</f>
        <v>0</v>
      </c>
      <c r="N845" s="141">
        <f>N883</f>
        <v>0</v>
      </c>
      <c r="O845" s="141">
        <f t="shared" si="455"/>
        <v>5000</v>
      </c>
      <c r="P845" s="141">
        <f t="shared" si="455"/>
        <v>5000</v>
      </c>
      <c r="Q845" s="141">
        <f t="shared" si="455"/>
        <v>5000</v>
      </c>
    </row>
    <row r="846" spans="1:17" ht="0.75" customHeight="1">
      <c r="A846" s="90"/>
      <c r="B846" s="82" t="s">
        <v>190</v>
      </c>
      <c r="C846" s="159">
        <v>85.01</v>
      </c>
      <c r="D846" s="36" t="e">
        <f t="shared" si="455"/>
        <v>#REF!</v>
      </c>
      <c r="E846" s="36" t="e">
        <f t="shared" si="455"/>
        <v>#REF!</v>
      </c>
      <c r="F846" s="36" t="e">
        <f t="shared" si="455"/>
        <v>#REF!</v>
      </c>
      <c r="G846" s="36" t="e">
        <f t="shared" si="455"/>
        <v>#REF!</v>
      </c>
      <c r="H846" s="36" t="e">
        <f t="shared" si="455"/>
        <v>#REF!</v>
      </c>
      <c r="I846" s="36" t="e">
        <f t="shared" si="455"/>
        <v>#REF!</v>
      </c>
      <c r="J846" s="141"/>
      <c r="K846" s="141"/>
      <c r="L846" s="141"/>
      <c r="M846" s="141"/>
      <c r="N846" s="141"/>
      <c r="O846" s="141">
        <f t="shared" si="455"/>
        <v>0</v>
      </c>
      <c r="P846" s="141">
        <f t="shared" si="455"/>
        <v>0</v>
      </c>
      <c r="Q846" s="141">
        <f t="shared" si="455"/>
        <v>0</v>
      </c>
    </row>
    <row r="847" spans="1:17" ht="14.25">
      <c r="A847" s="99">
        <v>1</v>
      </c>
      <c r="B847" s="103" t="s">
        <v>447</v>
      </c>
      <c r="C847" s="166">
        <v>80.02</v>
      </c>
      <c r="D847" s="50">
        <f t="shared" ref="D847:Q847" si="456">D854+D857</f>
        <v>728</v>
      </c>
      <c r="E847" s="50">
        <f t="shared" si="456"/>
        <v>780</v>
      </c>
      <c r="F847" s="50">
        <f t="shared" si="456"/>
        <v>880</v>
      </c>
      <c r="G847" s="50">
        <f t="shared" si="456"/>
        <v>880</v>
      </c>
      <c r="H847" s="50">
        <f t="shared" si="456"/>
        <v>0</v>
      </c>
      <c r="I847" s="50">
        <f t="shared" si="456"/>
        <v>0</v>
      </c>
      <c r="J847" s="146">
        <f t="shared" si="456"/>
        <v>780</v>
      </c>
      <c r="K847" s="146">
        <f>K854+K857</f>
        <v>655</v>
      </c>
      <c r="L847" s="146">
        <f>L854+L857</f>
        <v>75</v>
      </c>
      <c r="M847" s="146">
        <f>M854+M857</f>
        <v>50</v>
      </c>
      <c r="N847" s="146">
        <f>N854+N857</f>
        <v>0</v>
      </c>
      <c r="O847" s="146">
        <f t="shared" si="456"/>
        <v>780</v>
      </c>
      <c r="P847" s="146">
        <f t="shared" si="456"/>
        <v>780</v>
      </c>
      <c r="Q847" s="146">
        <f t="shared" si="456"/>
        <v>780</v>
      </c>
    </row>
    <row r="848" spans="1:17" ht="14.25">
      <c r="A848" s="90"/>
      <c r="B848" s="80" t="s">
        <v>179</v>
      </c>
      <c r="C848" s="159"/>
      <c r="D848" s="50">
        <f t="shared" ref="D848:Q849" si="457">D858+D862</f>
        <v>148</v>
      </c>
      <c r="E848" s="50">
        <f t="shared" si="457"/>
        <v>200</v>
      </c>
      <c r="F848" s="50">
        <f t="shared" si="457"/>
        <v>300</v>
      </c>
      <c r="G848" s="50">
        <f t="shared" si="457"/>
        <v>300</v>
      </c>
      <c r="H848" s="50">
        <f t="shared" si="457"/>
        <v>0</v>
      </c>
      <c r="I848" s="50">
        <f t="shared" si="457"/>
        <v>0</v>
      </c>
      <c r="J848" s="146">
        <f t="shared" si="457"/>
        <v>200</v>
      </c>
      <c r="K848" s="146">
        <f t="shared" ref="K848:N849" si="458">K858+K862</f>
        <v>75</v>
      </c>
      <c r="L848" s="146">
        <f t="shared" si="458"/>
        <v>75</v>
      </c>
      <c r="M848" s="146">
        <f t="shared" si="458"/>
        <v>50</v>
      </c>
      <c r="N848" s="146">
        <f t="shared" si="458"/>
        <v>0</v>
      </c>
      <c r="O848" s="146">
        <f t="shared" si="457"/>
        <v>200</v>
      </c>
      <c r="P848" s="146">
        <f t="shared" si="457"/>
        <v>200</v>
      </c>
      <c r="Q848" s="146">
        <f t="shared" si="457"/>
        <v>200</v>
      </c>
    </row>
    <row r="849" spans="1:17" ht="15">
      <c r="A849" s="90"/>
      <c r="B849" s="89" t="s">
        <v>180</v>
      </c>
      <c r="C849" s="47">
        <v>1</v>
      </c>
      <c r="D849" s="36">
        <f t="shared" si="457"/>
        <v>148</v>
      </c>
      <c r="E849" s="36">
        <f t="shared" si="457"/>
        <v>200</v>
      </c>
      <c r="F849" s="36">
        <f t="shared" si="457"/>
        <v>300</v>
      </c>
      <c r="G849" s="36">
        <f t="shared" si="457"/>
        <v>300</v>
      </c>
      <c r="H849" s="36">
        <f t="shared" si="457"/>
        <v>0</v>
      </c>
      <c r="I849" s="36">
        <f t="shared" si="457"/>
        <v>0</v>
      </c>
      <c r="J849" s="141">
        <f t="shared" si="457"/>
        <v>200</v>
      </c>
      <c r="K849" s="141">
        <f t="shared" si="458"/>
        <v>75</v>
      </c>
      <c r="L849" s="141">
        <f t="shared" si="458"/>
        <v>75</v>
      </c>
      <c r="M849" s="141">
        <f t="shared" si="458"/>
        <v>50</v>
      </c>
      <c r="N849" s="141">
        <f t="shared" si="458"/>
        <v>0</v>
      </c>
      <c r="O849" s="141">
        <f t="shared" si="457"/>
        <v>200</v>
      </c>
      <c r="P849" s="141">
        <f t="shared" si="457"/>
        <v>200</v>
      </c>
      <c r="Q849" s="141">
        <f t="shared" si="457"/>
        <v>200</v>
      </c>
    </row>
    <row r="850" spans="1:17" ht="15">
      <c r="A850" s="90"/>
      <c r="B850" s="89" t="s">
        <v>448</v>
      </c>
      <c r="C850" s="47">
        <v>20</v>
      </c>
      <c r="D850" s="36">
        <f t="shared" ref="D850:Q850" si="459">D860</f>
        <v>148</v>
      </c>
      <c r="E850" s="36">
        <f t="shared" si="459"/>
        <v>200</v>
      </c>
      <c r="F850" s="36">
        <f t="shared" si="459"/>
        <v>300</v>
      </c>
      <c r="G850" s="36">
        <f t="shared" si="459"/>
        <v>300</v>
      </c>
      <c r="H850" s="36">
        <f t="shared" si="459"/>
        <v>0</v>
      </c>
      <c r="I850" s="36">
        <f t="shared" si="459"/>
        <v>0</v>
      </c>
      <c r="J850" s="141">
        <f t="shared" si="459"/>
        <v>200</v>
      </c>
      <c r="K850" s="141">
        <f>K860</f>
        <v>75</v>
      </c>
      <c r="L850" s="141">
        <f>L860</f>
        <v>75</v>
      </c>
      <c r="M850" s="141">
        <f>M860</f>
        <v>50</v>
      </c>
      <c r="N850" s="141">
        <f>N860</f>
        <v>0</v>
      </c>
      <c r="O850" s="141">
        <f t="shared" si="459"/>
        <v>200</v>
      </c>
      <c r="P850" s="141">
        <f t="shared" si="459"/>
        <v>200</v>
      </c>
      <c r="Q850" s="141">
        <f t="shared" si="459"/>
        <v>200</v>
      </c>
    </row>
    <row r="851" spans="1:17" ht="15" hidden="1">
      <c r="A851" s="90"/>
      <c r="B851" s="89" t="s">
        <v>380</v>
      </c>
      <c r="C851" s="47">
        <v>59.02</v>
      </c>
      <c r="D851" s="36">
        <f t="shared" ref="D851:Q851" si="460">D864</f>
        <v>0</v>
      </c>
      <c r="E851" s="36">
        <f t="shared" si="460"/>
        <v>0</v>
      </c>
      <c r="F851" s="36">
        <f t="shared" si="460"/>
        <v>0</v>
      </c>
      <c r="G851" s="36">
        <f t="shared" si="460"/>
        <v>0</v>
      </c>
      <c r="H851" s="36">
        <f t="shared" si="460"/>
        <v>0</v>
      </c>
      <c r="I851" s="36">
        <f t="shared" si="460"/>
        <v>0</v>
      </c>
      <c r="J851" s="141">
        <f t="shared" si="460"/>
        <v>0</v>
      </c>
      <c r="K851" s="141">
        <f>K864</f>
        <v>0</v>
      </c>
      <c r="L851" s="141">
        <f>L864</f>
        <v>0</v>
      </c>
      <c r="M851" s="141">
        <f>M864</f>
        <v>0</v>
      </c>
      <c r="N851" s="141">
        <f>N864</f>
        <v>0</v>
      </c>
      <c r="O851" s="141">
        <f t="shared" si="460"/>
        <v>0</v>
      </c>
      <c r="P851" s="141">
        <f t="shared" si="460"/>
        <v>0</v>
      </c>
      <c r="Q851" s="141">
        <f t="shared" si="460"/>
        <v>0</v>
      </c>
    </row>
    <row r="852" spans="1:17" ht="15">
      <c r="A852" s="90"/>
      <c r="B852" s="89" t="s">
        <v>191</v>
      </c>
      <c r="C852" s="47"/>
      <c r="D852" s="36">
        <f t="shared" ref="D852:Q853" si="461">D855</f>
        <v>580</v>
      </c>
      <c r="E852" s="36">
        <f t="shared" si="461"/>
        <v>580</v>
      </c>
      <c r="F852" s="36">
        <f t="shared" si="461"/>
        <v>580</v>
      </c>
      <c r="G852" s="36">
        <f t="shared" si="461"/>
        <v>580</v>
      </c>
      <c r="H852" s="36">
        <f t="shared" si="461"/>
        <v>0</v>
      </c>
      <c r="I852" s="36">
        <f t="shared" si="461"/>
        <v>0</v>
      </c>
      <c r="J852" s="141">
        <f t="shared" si="461"/>
        <v>580</v>
      </c>
      <c r="K852" s="141">
        <f t="shared" ref="K852:N853" si="462">K855</f>
        <v>580</v>
      </c>
      <c r="L852" s="141">
        <f t="shared" si="462"/>
        <v>0</v>
      </c>
      <c r="M852" s="141">
        <f t="shared" si="462"/>
        <v>0</v>
      </c>
      <c r="N852" s="141">
        <f t="shared" si="462"/>
        <v>0</v>
      </c>
      <c r="O852" s="141">
        <f t="shared" si="461"/>
        <v>580</v>
      </c>
      <c r="P852" s="141">
        <f t="shared" si="461"/>
        <v>580</v>
      </c>
      <c r="Q852" s="141">
        <f t="shared" si="461"/>
        <v>580</v>
      </c>
    </row>
    <row r="853" spans="1:17" ht="15">
      <c r="A853" s="90"/>
      <c r="B853" s="89" t="s">
        <v>444</v>
      </c>
      <c r="C853" s="47">
        <v>55</v>
      </c>
      <c r="D853" s="36">
        <f t="shared" si="461"/>
        <v>580</v>
      </c>
      <c r="E853" s="36">
        <f t="shared" si="461"/>
        <v>580</v>
      </c>
      <c r="F853" s="36">
        <f t="shared" si="461"/>
        <v>580</v>
      </c>
      <c r="G853" s="36">
        <f t="shared" si="461"/>
        <v>580</v>
      </c>
      <c r="H853" s="36">
        <f t="shared" si="461"/>
        <v>0</v>
      </c>
      <c r="I853" s="36">
        <f t="shared" si="461"/>
        <v>0</v>
      </c>
      <c r="J853" s="141">
        <f t="shared" si="461"/>
        <v>580</v>
      </c>
      <c r="K853" s="141">
        <f t="shared" si="462"/>
        <v>580</v>
      </c>
      <c r="L853" s="141">
        <f t="shared" si="462"/>
        <v>0</v>
      </c>
      <c r="M853" s="141">
        <f t="shared" si="462"/>
        <v>0</v>
      </c>
      <c r="N853" s="141">
        <f t="shared" si="462"/>
        <v>0</v>
      </c>
      <c r="O853" s="141">
        <f t="shared" si="461"/>
        <v>580</v>
      </c>
      <c r="P853" s="141">
        <f t="shared" si="461"/>
        <v>580</v>
      </c>
      <c r="Q853" s="141">
        <f t="shared" si="461"/>
        <v>580</v>
      </c>
    </row>
    <row r="854" spans="1:17" ht="14.25">
      <c r="A854" s="90" t="s">
        <v>291</v>
      </c>
      <c r="B854" s="82" t="s">
        <v>449</v>
      </c>
      <c r="C854" s="47" t="s">
        <v>450</v>
      </c>
      <c r="D854" s="50">
        <f t="shared" ref="D854:Q855" si="463">D855</f>
        <v>580</v>
      </c>
      <c r="E854" s="50">
        <f t="shared" si="463"/>
        <v>580</v>
      </c>
      <c r="F854" s="50">
        <f t="shared" si="463"/>
        <v>580</v>
      </c>
      <c r="G854" s="50">
        <f t="shared" si="463"/>
        <v>580</v>
      </c>
      <c r="H854" s="50">
        <f t="shared" si="463"/>
        <v>0</v>
      </c>
      <c r="I854" s="50">
        <f t="shared" si="463"/>
        <v>0</v>
      </c>
      <c r="J854" s="146">
        <f t="shared" si="463"/>
        <v>580</v>
      </c>
      <c r="K854" s="146">
        <f t="shared" si="463"/>
        <v>580</v>
      </c>
      <c r="L854" s="146">
        <f t="shared" si="463"/>
        <v>0</v>
      </c>
      <c r="M854" s="146">
        <f t="shared" si="463"/>
        <v>0</v>
      </c>
      <c r="N854" s="146">
        <f t="shared" si="463"/>
        <v>0</v>
      </c>
      <c r="O854" s="146">
        <f t="shared" si="463"/>
        <v>580</v>
      </c>
      <c r="P854" s="146">
        <f t="shared" si="463"/>
        <v>580</v>
      </c>
      <c r="Q854" s="146">
        <f t="shared" si="463"/>
        <v>580</v>
      </c>
    </row>
    <row r="855" spans="1:17" ht="14.25">
      <c r="A855" s="90"/>
      <c r="B855" s="82" t="s">
        <v>191</v>
      </c>
      <c r="C855" s="159"/>
      <c r="D855" s="50">
        <f t="shared" si="463"/>
        <v>580</v>
      </c>
      <c r="E855" s="50">
        <f t="shared" si="463"/>
        <v>580</v>
      </c>
      <c r="F855" s="50">
        <f t="shared" si="463"/>
        <v>580</v>
      </c>
      <c r="G855" s="50">
        <f t="shared" si="463"/>
        <v>580</v>
      </c>
      <c r="H855" s="50">
        <f t="shared" si="463"/>
        <v>0</v>
      </c>
      <c r="I855" s="50">
        <f t="shared" si="463"/>
        <v>0</v>
      </c>
      <c r="J855" s="146">
        <f t="shared" si="463"/>
        <v>580</v>
      </c>
      <c r="K855" s="146">
        <f t="shared" si="463"/>
        <v>580</v>
      </c>
      <c r="L855" s="146">
        <f t="shared" si="463"/>
        <v>0</v>
      </c>
      <c r="M855" s="146">
        <f t="shared" si="463"/>
        <v>0</v>
      </c>
      <c r="N855" s="146">
        <f t="shared" si="463"/>
        <v>0</v>
      </c>
      <c r="O855" s="146">
        <f t="shared" si="463"/>
        <v>580</v>
      </c>
      <c r="P855" s="146">
        <f t="shared" si="463"/>
        <v>580</v>
      </c>
      <c r="Q855" s="146">
        <f t="shared" si="463"/>
        <v>580</v>
      </c>
    </row>
    <row r="856" spans="1:17" ht="15">
      <c r="A856" s="90"/>
      <c r="B856" s="89" t="s">
        <v>444</v>
      </c>
      <c r="C856" s="47" t="s">
        <v>219</v>
      </c>
      <c r="D856" s="37">
        <v>580</v>
      </c>
      <c r="E856" s="37">
        <v>580</v>
      </c>
      <c r="F856" s="37">
        <v>580</v>
      </c>
      <c r="G856" s="37">
        <v>580</v>
      </c>
      <c r="H856" s="37"/>
      <c r="I856" s="37"/>
      <c r="J856" s="140">
        <v>580</v>
      </c>
      <c r="K856" s="140">
        <v>580</v>
      </c>
      <c r="L856" s="140"/>
      <c r="M856" s="140"/>
      <c r="N856" s="140"/>
      <c r="O856" s="140">
        <v>580</v>
      </c>
      <c r="P856" s="140">
        <v>580</v>
      </c>
      <c r="Q856" s="140">
        <v>580</v>
      </c>
    </row>
    <row r="857" spans="1:17" ht="28.5">
      <c r="A857" s="90" t="s">
        <v>314</v>
      </c>
      <c r="B857" s="87" t="s">
        <v>590</v>
      </c>
      <c r="C857" s="47" t="s">
        <v>451</v>
      </c>
      <c r="D857" s="50">
        <f t="shared" ref="D857:Q859" si="464">D858</f>
        <v>148</v>
      </c>
      <c r="E857" s="50">
        <f t="shared" si="464"/>
        <v>200</v>
      </c>
      <c r="F857" s="50">
        <f t="shared" si="464"/>
        <v>300</v>
      </c>
      <c r="G857" s="50">
        <f t="shared" si="464"/>
        <v>300</v>
      </c>
      <c r="H857" s="50">
        <f t="shared" si="464"/>
        <v>0</v>
      </c>
      <c r="I857" s="50">
        <f t="shared" si="464"/>
        <v>0</v>
      </c>
      <c r="J857" s="146">
        <f t="shared" si="464"/>
        <v>200</v>
      </c>
      <c r="K857" s="146">
        <f t="shared" si="464"/>
        <v>75</v>
      </c>
      <c r="L857" s="146">
        <f t="shared" si="464"/>
        <v>75</v>
      </c>
      <c r="M857" s="146">
        <f t="shared" si="464"/>
        <v>50</v>
      </c>
      <c r="N857" s="146">
        <f t="shared" si="464"/>
        <v>0</v>
      </c>
      <c r="O857" s="146">
        <f t="shared" si="464"/>
        <v>200</v>
      </c>
      <c r="P857" s="146">
        <f t="shared" si="464"/>
        <v>200</v>
      </c>
      <c r="Q857" s="146">
        <f t="shared" si="464"/>
        <v>200</v>
      </c>
    </row>
    <row r="858" spans="1:17" ht="14.25">
      <c r="A858" s="90"/>
      <c r="B858" s="80" t="s">
        <v>179</v>
      </c>
      <c r="C858" s="47"/>
      <c r="D858" s="50">
        <f t="shared" si="464"/>
        <v>148</v>
      </c>
      <c r="E858" s="50">
        <f t="shared" si="464"/>
        <v>200</v>
      </c>
      <c r="F858" s="50">
        <f t="shared" si="464"/>
        <v>300</v>
      </c>
      <c r="G858" s="50">
        <f t="shared" si="464"/>
        <v>300</v>
      </c>
      <c r="H858" s="50">
        <f t="shared" si="464"/>
        <v>0</v>
      </c>
      <c r="I858" s="50">
        <f t="shared" si="464"/>
        <v>0</v>
      </c>
      <c r="J858" s="146">
        <f t="shared" si="464"/>
        <v>200</v>
      </c>
      <c r="K858" s="146">
        <f t="shared" si="464"/>
        <v>75</v>
      </c>
      <c r="L858" s="146">
        <f t="shared" si="464"/>
        <v>75</v>
      </c>
      <c r="M858" s="146">
        <f t="shared" si="464"/>
        <v>50</v>
      </c>
      <c r="N858" s="146">
        <f t="shared" si="464"/>
        <v>0</v>
      </c>
      <c r="O858" s="146">
        <f t="shared" si="464"/>
        <v>200</v>
      </c>
      <c r="P858" s="146">
        <f t="shared" si="464"/>
        <v>200</v>
      </c>
      <c r="Q858" s="146">
        <f t="shared" si="464"/>
        <v>200</v>
      </c>
    </row>
    <row r="859" spans="1:17" ht="17.25" customHeight="1">
      <c r="A859" s="90"/>
      <c r="B859" s="89" t="s">
        <v>180</v>
      </c>
      <c r="C859" s="47">
        <v>1</v>
      </c>
      <c r="D859" s="36">
        <f t="shared" si="464"/>
        <v>148</v>
      </c>
      <c r="E859" s="36">
        <f t="shared" si="464"/>
        <v>200</v>
      </c>
      <c r="F859" s="36">
        <f t="shared" si="464"/>
        <v>300</v>
      </c>
      <c r="G859" s="36">
        <f t="shared" si="464"/>
        <v>300</v>
      </c>
      <c r="H859" s="36">
        <f t="shared" si="464"/>
        <v>0</v>
      </c>
      <c r="I859" s="36">
        <f t="shared" si="464"/>
        <v>0</v>
      </c>
      <c r="J859" s="141">
        <f t="shared" si="464"/>
        <v>200</v>
      </c>
      <c r="K859" s="141">
        <f t="shared" si="464"/>
        <v>75</v>
      </c>
      <c r="L859" s="141">
        <f t="shared" si="464"/>
        <v>75</v>
      </c>
      <c r="M859" s="141">
        <f t="shared" si="464"/>
        <v>50</v>
      </c>
      <c r="N859" s="141">
        <f t="shared" si="464"/>
        <v>0</v>
      </c>
      <c r="O859" s="141">
        <f t="shared" si="464"/>
        <v>200</v>
      </c>
      <c r="P859" s="141">
        <f t="shared" si="464"/>
        <v>200</v>
      </c>
      <c r="Q859" s="141">
        <f t="shared" si="464"/>
        <v>200</v>
      </c>
    </row>
    <row r="860" spans="1:17" ht="17.25" customHeight="1">
      <c r="A860" s="90"/>
      <c r="B860" s="89" t="s">
        <v>452</v>
      </c>
      <c r="C860" s="47" t="s">
        <v>453</v>
      </c>
      <c r="D860" s="37">
        <v>148</v>
      </c>
      <c r="E860" s="37">
        <v>200</v>
      </c>
      <c r="F860" s="32">
        <v>300</v>
      </c>
      <c r="G860" s="32">
        <v>300</v>
      </c>
      <c r="H860" s="32"/>
      <c r="I860" s="37"/>
      <c r="J860" s="137">
        <v>200</v>
      </c>
      <c r="K860" s="137">
        <v>75</v>
      </c>
      <c r="L860" s="137">
        <v>75</v>
      </c>
      <c r="M860" s="137">
        <v>50</v>
      </c>
      <c r="N860" s="137"/>
      <c r="O860" s="137">
        <v>200</v>
      </c>
      <c r="P860" s="137">
        <v>200</v>
      </c>
      <c r="Q860" s="137">
        <v>200</v>
      </c>
    </row>
    <row r="861" spans="1:17" ht="0.75" customHeight="1">
      <c r="A861" s="90" t="s">
        <v>429</v>
      </c>
      <c r="B861" s="82" t="s">
        <v>454</v>
      </c>
      <c r="C861" s="159" t="s">
        <v>455</v>
      </c>
      <c r="D861" s="44">
        <f t="shared" ref="D861:E863" si="465">D862</f>
        <v>0</v>
      </c>
      <c r="E861" s="44">
        <f t="shared" si="465"/>
        <v>0</v>
      </c>
      <c r="F861" s="32"/>
      <c r="G861" s="32"/>
      <c r="H861" s="32"/>
      <c r="I861" s="44">
        <f>I862</f>
        <v>0</v>
      </c>
      <c r="J861" s="137"/>
      <c r="K861" s="137"/>
      <c r="L861" s="137"/>
      <c r="M861" s="137"/>
      <c r="N861" s="137"/>
      <c r="O861" s="137"/>
      <c r="P861" s="137"/>
      <c r="Q861" s="137"/>
    </row>
    <row r="862" spans="1:17" ht="0.75" customHeight="1">
      <c r="A862" s="90"/>
      <c r="B862" s="80" t="s">
        <v>179</v>
      </c>
      <c r="C862" s="159"/>
      <c r="D862" s="44">
        <f t="shared" si="465"/>
        <v>0</v>
      </c>
      <c r="E862" s="44">
        <f t="shared" si="465"/>
        <v>0</v>
      </c>
      <c r="F862" s="32"/>
      <c r="G862" s="32"/>
      <c r="H862" s="32"/>
      <c r="I862" s="44">
        <f>I863</f>
        <v>0</v>
      </c>
      <c r="J862" s="137"/>
      <c r="K862" s="137"/>
      <c r="L862" s="137"/>
      <c r="M862" s="137"/>
      <c r="N862" s="137"/>
      <c r="O862" s="137"/>
      <c r="P862" s="137"/>
      <c r="Q862" s="137"/>
    </row>
    <row r="863" spans="1:17" ht="0.75" customHeight="1">
      <c r="A863" s="90"/>
      <c r="B863" s="89" t="s">
        <v>180</v>
      </c>
      <c r="C863" s="47">
        <v>1</v>
      </c>
      <c r="D863" s="37">
        <f t="shared" si="465"/>
        <v>0</v>
      </c>
      <c r="E863" s="37">
        <f t="shared" si="465"/>
        <v>0</v>
      </c>
      <c r="F863" s="32"/>
      <c r="G863" s="32"/>
      <c r="H863" s="32"/>
      <c r="I863" s="37">
        <f>I864</f>
        <v>0</v>
      </c>
      <c r="J863" s="137"/>
      <c r="K863" s="137"/>
      <c r="L863" s="137"/>
      <c r="M863" s="137"/>
      <c r="N863" s="137"/>
      <c r="O863" s="137"/>
      <c r="P863" s="137"/>
      <c r="Q863" s="137"/>
    </row>
    <row r="864" spans="1:17" ht="19.5" hidden="1" customHeight="1">
      <c r="A864" s="90"/>
      <c r="B864" s="89" t="s">
        <v>456</v>
      </c>
      <c r="C864" s="47">
        <v>59.02</v>
      </c>
      <c r="D864" s="37">
        <v>0</v>
      </c>
      <c r="E864" s="37">
        <v>0</v>
      </c>
      <c r="F864" s="32"/>
      <c r="G864" s="32"/>
      <c r="H864" s="32"/>
      <c r="I864" s="37">
        <v>0</v>
      </c>
      <c r="J864" s="137"/>
      <c r="K864" s="137"/>
      <c r="L864" s="137"/>
      <c r="M864" s="137"/>
      <c r="N864" s="137"/>
      <c r="O864" s="137"/>
      <c r="P864" s="137"/>
      <c r="Q864" s="137"/>
    </row>
    <row r="865" spans="1:17" ht="15.75" hidden="1" customHeight="1">
      <c r="A865" s="99">
        <v>2</v>
      </c>
      <c r="B865" s="103" t="s">
        <v>457</v>
      </c>
      <c r="C865" s="166">
        <v>83.02</v>
      </c>
      <c r="D865" s="44">
        <f t="shared" ref="D865:E869" si="466">D866</f>
        <v>826</v>
      </c>
      <c r="E865" s="44">
        <f t="shared" si="466"/>
        <v>0</v>
      </c>
      <c r="F865" s="32"/>
      <c r="G865" s="32"/>
      <c r="H865" s="32"/>
      <c r="I865" s="44">
        <f>I866</f>
        <v>0</v>
      </c>
      <c r="J865" s="137"/>
      <c r="K865" s="137"/>
      <c r="L865" s="137"/>
      <c r="M865" s="137"/>
      <c r="N865" s="137"/>
      <c r="O865" s="137"/>
      <c r="P865" s="137"/>
      <c r="Q865" s="137"/>
    </row>
    <row r="866" spans="1:17" ht="15.75" hidden="1" customHeight="1">
      <c r="A866" s="90"/>
      <c r="B866" s="82" t="s">
        <v>458</v>
      </c>
      <c r="C866" s="47" t="s">
        <v>459</v>
      </c>
      <c r="D866" s="37">
        <f t="shared" si="466"/>
        <v>826</v>
      </c>
      <c r="E866" s="37">
        <f t="shared" si="466"/>
        <v>0</v>
      </c>
      <c r="F866" s="32"/>
      <c r="G866" s="32"/>
      <c r="H866" s="32"/>
      <c r="I866" s="37">
        <f>I867</f>
        <v>0</v>
      </c>
      <c r="J866" s="137"/>
      <c r="K866" s="137"/>
      <c r="L866" s="137"/>
      <c r="M866" s="137"/>
      <c r="N866" s="137"/>
      <c r="O866" s="137"/>
      <c r="P866" s="137"/>
      <c r="Q866" s="137"/>
    </row>
    <row r="867" spans="1:17" ht="6" hidden="1" customHeight="1">
      <c r="A867" s="90"/>
      <c r="B867" s="82" t="s">
        <v>460</v>
      </c>
      <c r="C867" s="47" t="s">
        <v>461</v>
      </c>
      <c r="D867" s="37">
        <f t="shared" si="466"/>
        <v>826</v>
      </c>
      <c r="E867" s="37">
        <f t="shared" si="466"/>
        <v>0</v>
      </c>
      <c r="F867" s="32"/>
      <c r="G867" s="32"/>
      <c r="H867" s="32"/>
      <c r="I867" s="37">
        <f>I868</f>
        <v>0</v>
      </c>
      <c r="J867" s="137"/>
      <c r="K867" s="137"/>
      <c r="L867" s="137"/>
      <c r="M867" s="137"/>
      <c r="N867" s="137"/>
      <c r="O867" s="137"/>
      <c r="P867" s="137"/>
      <c r="Q867" s="137"/>
    </row>
    <row r="868" spans="1:17" ht="15.75" hidden="1" customHeight="1">
      <c r="A868" s="90"/>
      <c r="B868" s="80" t="s">
        <v>179</v>
      </c>
      <c r="C868" s="47"/>
      <c r="D868" s="37">
        <f t="shared" si="466"/>
        <v>826</v>
      </c>
      <c r="E868" s="37">
        <f t="shared" si="466"/>
        <v>0</v>
      </c>
      <c r="F868" s="32"/>
      <c r="G868" s="32"/>
      <c r="H868" s="32"/>
      <c r="I868" s="37">
        <f>I869</f>
        <v>0</v>
      </c>
      <c r="J868" s="137"/>
      <c r="K868" s="137"/>
      <c r="L868" s="137"/>
      <c r="M868" s="137"/>
      <c r="N868" s="137"/>
      <c r="O868" s="137"/>
      <c r="P868" s="137"/>
      <c r="Q868" s="137"/>
    </row>
    <row r="869" spans="1:17" ht="15.75" hidden="1" customHeight="1">
      <c r="A869" s="90"/>
      <c r="B869" s="89" t="s">
        <v>180</v>
      </c>
      <c r="C869" s="47">
        <v>1</v>
      </c>
      <c r="D869" s="37">
        <f t="shared" si="466"/>
        <v>826</v>
      </c>
      <c r="E869" s="37">
        <f t="shared" si="466"/>
        <v>0</v>
      </c>
      <c r="F869" s="32"/>
      <c r="G869" s="32"/>
      <c r="H869" s="32"/>
      <c r="I869" s="37">
        <f>I870</f>
        <v>0</v>
      </c>
      <c r="J869" s="137"/>
      <c r="K869" s="137"/>
      <c r="L869" s="137"/>
      <c r="M869" s="137"/>
      <c r="N869" s="137"/>
      <c r="O869" s="137"/>
      <c r="P869" s="137"/>
      <c r="Q869" s="137"/>
    </row>
    <row r="870" spans="1:17" ht="26.25" hidden="1" customHeight="1">
      <c r="A870" s="90"/>
      <c r="B870" s="88" t="s">
        <v>462</v>
      </c>
      <c r="C870" s="47" t="s">
        <v>463</v>
      </c>
      <c r="D870" s="37">
        <f>D871+D872</f>
        <v>826</v>
      </c>
      <c r="E870" s="37">
        <f>E871+E872</f>
        <v>0</v>
      </c>
      <c r="F870" s="32"/>
      <c r="G870" s="32"/>
      <c r="H870" s="32"/>
      <c r="I870" s="37">
        <f>I871+I872</f>
        <v>0</v>
      </c>
      <c r="J870" s="137"/>
      <c r="K870" s="137"/>
      <c r="L870" s="137"/>
      <c r="M870" s="137"/>
      <c r="N870" s="137"/>
      <c r="O870" s="137"/>
      <c r="P870" s="137"/>
      <c r="Q870" s="137"/>
    </row>
    <row r="871" spans="1:17" ht="15.75" hidden="1" customHeight="1">
      <c r="A871" s="90"/>
      <c r="B871" s="89" t="s">
        <v>181</v>
      </c>
      <c r="C871" s="47">
        <v>10</v>
      </c>
      <c r="D871" s="37">
        <v>826</v>
      </c>
      <c r="E871" s="37"/>
      <c r="F871" s="32"/>
      <c r="G871" s="32"/>
      <c r="H871" s="32"/>
      <c r="I871" s="37"/>
      <c r="J871" s="137"/>
      <c r="K871" s="137"/>
      <c r="L871" s="137"/>
      <c r="M871" s="137"/>
      <c r="N871" s="137"/>
      <c r="O871" s="137"/>
      <c r="P871" s="137"/>
      <c r="Q871" s="137"/>
    </row>
    <row r="872" spans="1:17" ht="14.25" hidden="1" customHeight="1">
      <c r="A872" s="90"/>
      <c r="B872" s="89" t="s">
        <v>182</v>
      </c>
      <c r="C872" s="47">
        <v>20</v>
      </c>
      <c r="D872" s="37"/>
      <c r="E872" s="37"/>
      <c r="F872" s="32"/>
      <c r="G872" s="32"/>
      <c r="H872" s="32"/>
      <c r="I872" s="37"/>
      <c r="J872" s="137"/>
      <c r="K872" s="137"/>
      <c r="L872" s="137"/>
      <c r="M872" s="137"/>
      <c r="N872" s="137"/>
      <c r="O872" s="137"/>
      <c r="P872" s="137"/>
      <c r="Q872" s="137"/>
    </row>
    <row r="873" spans="1:17" ht="23.25" hidden="1" customHeight="1">
      <c r="A873" s="90"/>
      <c r="B873" s="89" t="s">
        <v>191</v>
      </c>
      <c r="C873" s="47"/>
      <c r="D873" s="37">
        <f>D874</f>
        <v>0</v>
      </c>
      <c r="E873" s="37">
        <f>E874</f>
        <v>0</v>
      </c>
      <c r="F873" s="32"/>
      <c r="G873" s="32"/>
      <c r="H873" s="32"/>
      <c r="I873" s="37">
        <f>I874</f>
        <v>0</v>
      </c>
      <c r="J873" s="137"/>
      <c r="K873" s="137"/>
      <c r="L873" s="137"/>
      <c r="M873" s="137"/>
      <c r="N873" s="137"/>
      <c r="O873" s="137"/>
      <c r="P873" s="137"/>
      <c r="Q873" s="137"/>
    </row>
    <row r="874" spans="1:17" ht="22.5" hidden="1" customHeight="1">
      <c r="A874" s="90"/>
      <c r="B874" s="89" t="s">
        <v>220</v>
      </c>
      <c r="C874" s="47">
        <v>70</v>
      </c>
      <c r="D874" s="37">
        <v>0</v>
      </c>
      <c r="E874" s="37">
        <v>0</v>
      </c>
      <c r="F874" s="32"/>
      <c r="G874" s="32"/>
      <c r="H874" s="32"/>
      <c r="I874" s="37">
        <v>0</v>
      </c>
      <c r="J874" s="137"/>
      <c r="K874" s="137"/>
      <c r="L874" s="137"/>
      <c r="M874" s="137"/>
      <c r="N874" s="137"/>
      <c r="O874" s="137"/>
      <c r="P874" s="137"/>
      <c r="Q874" s="137"/>
    </row>
    <row r="875" spans="1:17" ht="14.25">
      <c r="A875" s="99">
        <v>2</v>
      </c>
      <c r="B875" s="103" t="s">
        <v>464</v>
      </c>
      <c r="C875" s="166">
        <v>84.02</v>
      </c>
      <c r="D875" s="50" t="e">
        <f t="shared" ref="D875:Q875" si="467">D885+D898</f>
        <v>#REF!</v>
      </c>
      <c r="E875" s="50" t="e">
        <f t="shared" si="467"/>
        <v>#REF!</v>
      </c>
      <c r="F875" s="50" t="e">
        <f t="shared" si="467"/>
        <v>#REF!</v>
      </c>
      <c r="G875" s="50" t="e">
        <f t="shared" si="467"/>
        <v>#REF!</v>
      </c>
      <c r="H875" s="50" t="e">
        <f t="shared" si="467"/>
        <v>#REF!</v>
      </c>
      <c r="I875" s="50" t="e">
        <f t="shared" si="467"/>
        <v>#REF!</v>
      </c>
      <c r="J875" s="146">
        <f t="shared" si="467"/>
        <v>34392</v>
      </c>
      <c r="K875" s="146">
        <f>K885+K898</f>
        <v>24685</v>
      </c>
      <c r="L875" s="146">
        <f>L885+L898</f>
        <v>4000</v>
      </c>
      <c r="M875" s="146">
        <f>M885+M898</f>
        <v>3500</v>
      </c>
      <c r="N875" s="146">
        <f>N885+N898</f>
        <v>2207</v>
      </c>
      <c r="O875" s="146">
        <f t="shared" si="467"/>
        <v>28221</v>
      </c>
      <c r="P875" s="146">
        <f t="shared" si="467"/>
        <v>68221</v>
      </c>
      <c r="Q875" s="146">
        <f t="shared" si="467"/>
        <v>37452</v>
      </c>
    </row>
    <row r="876" spans="1:17" ht="14.25">
      <c r="A876" s="90"/>
      <c r="B876" s="80" t="s">
        <v>179</v>
      </c>
      <c r="C876" s="47"/>
      <c r="D876" s="50">
        <f>D879</f>
        <v>10576</v>
      </c>
      <c r="E876" s="50">
        <f t="shared" ref="E876:Q876" si="468">E879</f>
        <v>18000</v>
      </c>
      <c r="F876" s="50">
        <f t="shared" si="468"/>
        <v>0</v>
      </c>
      <c r="G876" s="50">
        <f t="shared" si="468"/>
        <v>15000</v>
      </c>
      <c r="H876" s="50">
        <f t="shared" si="468"/>
        <v>0</v>
      </c>
      <c r="I876" s="50">
        <f t="shared" si="468"/>
        <v>0</v>
      </c>
      <c r="J876" s="146">
        <f t="shared" si="468"/>
        <v>13207</v>
      </c>
      <c r="K876" s="146">
        <f>K879</f>
        <v>3500</v>
      </c>
      <c r="L876" s="146">
        <f>L879</f>
        <v>4000</v>
      </c>
      <c r="M876" s="146">
        <f>M879</f>
        <v>3500</v>
      </c>
      <c r="N876" s="146">
        <f>N879</f>
        <v>2207</v>
      </c>
      <c r="O876" s="146">
        <f t="shared" si="468"/>
        <v>12452</v>
      </c>
      <c r="P876" s="146">
        <f t="shared" si="468"/>
        <v>12452</v>
      </c>
      <c r="Q876" s="146">
        <f t="shared" si="468"/>
        <v>12452</v>
      </c>
    </row>
    <row r="877" spans="1:17" ht="12" customHeight="1">
      <c r="A877" s="90"/>
      <c r="B877" s="89" t="s">
        <v>180</v>
      </c>
      <c r="C877" s="47">
        <v>1</v>
      </c>
      <c r="D877" s="50">
        <f t="shared" ref="D877:Q879" si="469">D887</f>
        <v>10576</v>
      </c>
      <c r="E877" s="50">
        <f t="shared" si="469"/>
        <v>18000</v>
      </c>
      <c r="F877" s="50">
        <f t="shared" si="469"/>
        <v>0</v>
      </c>
      <c r="G877" s="50">
        <f t="shared" si="469"/>
        <v>15000</v>
      </c>
      <c r="H877" s="50">
        <f t="shared" si="469"/>
        <v>0</v>
      </c>
      <c r="I877" s="50">
        <f t="shared" si="469"/>
        <v>0</v>
      </c>
      <c r="J877" s="146">
        <f t="shared" si="469"/>
        <v>13207</v>
      </c>
      <c r="K877" s="146">
        <f t="shared" ref="K877:N879" si="470">K887</f>
        <v>3500</v>
      </c>
      <c r="L877" s="146">
        <f t="shared" si="470"/>
        <v>4000</v>
      </c>
      <c r="M877" s="146">
        <f t="shared" si="470"/>
        <v>3500</v>
      </c>
      <c r="N877" s="146">
        <f t="shared" si="470"/>
        <v>2207</v>
      </c>
      <c r="O877" s="146">
        <f t="shared" si="469"/>
        <v>12452</v>
      </c>
      <c r="P877" s="146">
        <f t="shared" si="469"/>
        <v>12452</v>
      </c>
      <c r="Q877" s="146">
        <f t="shared" si="469"/>
        <v>12452</v>
      </c>
    </row>
    <row r="878" spans="1:17" ht="15" hidden="1">
      <c r="A878" s="90"/>
      <c r="B878" s="89" t="s">
        <v>181</v>
      </c>
      <c r="C878" s="47">
        <v>10</v>
      </c>
      <c r="D878" s="50">
        <f t="shared" si="469"/>
        <v>0</v>
      </c>
      <c r="E878" s="50">
        <f t="shared" si="469"/>
        <v>0</v>
      </c>
      <c r="F878" s="50">
        <f t="shared" si="469"/>
        <v>0</v>
      </c>
      <c r="G878" s="50">
        <f t="shared" si="469"/>
        <v>0</v>
      </c>
      <c r="H878" s="50">
        <f t="shared" si="469"/>
        <v>0</v>
      </c>
      <c r="I878" s="50">
        <f t="shared" si="469"/>
        <v>0</v>
      </c>
      <c r="J878" s="146">
        <f t="shared" si="469"/>
        <v>0</v>
      </c>
      <c r="K878" s="146">
        <f t="shared" si="470"/>
        <v>0</v>
      </c>
      <c r="L878" s="146">
        <f t="shared" si="470"/>
        <v>0</v>
      </c>
      <c r="M878" s="146">
        <f t="shared" si="470"/>
        <v>0</v>
      </c>
      <c r="N878" s="146">
        <f t="shared" si="470"/>
        <v>0</v>
      </c>
      <c r="O878" s="146">
        <f t="shared" si="469"/>
        <v>0</v>
      </c>
      <c r="P878" s="146">
        <f t="shared" si="469"/>
        <v>0</v>
      </c>
      <c r="Q878" s="146">
        <f t="shared" si="469"/>
        <v>0</v>
      </c>
    </row>
    <row r="879" spans="1:17" ht="15">
      <c r="A879" s="90"/>
      <c r="B879" s="89" t="s">
        <v>182</v>
      </c>
      <c r="C879" s="47">
        <v>20</v>
      </c>
      <c r="D879" s="50">
        <f t="shared" si="469"/>
        <v>10576</v>
      </c>
      <c r="E879" s="50">
        <f t="shared" si="469"/>
        <v>18000</v>
      </c>
      <c r="F879" s="50">
        <f t="shared" si="469"/>
        <v>0</v>
      </c>
      <c r="G879" s="50">
        <f t="shared" si="469"/>
        <v>15000</v>
      </c>
      <c r="H879" s="50">
        <f t="shared" si="469"/>
        <v>0</v>
      </c>
      <c r="I879" s="50">
        <f t="shared" si="469"/>
        <v>0</v>
      </c>
      <c r="J879" s="146">
        <f t="shared" si="469"/>
        <v>13207</v>
      </c>
      <c r="K879" s="146">
        <f t="shared" si="470"/>
        <v>3500</v>
      </c>
      <c r="L879" s="146">
        <f t="shared" si="470"/>
        <v>4000</v>
      </c>
      <c r="M879" s="146">
        <f t="shared" si="470"/>
        <v>3500</v>
      </c>
      <c r="N879" s="146">
        <f t="shared" si="470"/>
        <v>2207</v>
      </c>
      <c r="O879" s="146">
        <f t="shared" si="469"/>
        <v>12452</v>
      </c>
      <c r="P879" s="146">
        <f t="shared" si="469"/>
        <v>12452</v>
      </c>
      <c r="Q879" s="146">
        <f t="shared" si="469"/>
        <v>12452</v>
      </c>
    </row>
    <row r="880" spans="1:17" ht="12" customHeight="1">
      <c r="A880" s="90"/>
      <c r="B880" s="82" t="s">
        <v>191</v>
      </c>
      <c r="C880" s="47"/>
      <c r="D880" s="50">
        <f>D881+D882+D883</f>
        <v>11554</v>
      </c>
      <c r="E880" s="50">
        <f t="shared" ref="E880:Q880" si="471">E881+E882+E883</f>
        <v>32107</v>
      </c>
      <c r="F880" s="50">
        <f t="shared" si="471"/>
        <v>0</v>
      </c>
      <c r="G880" s="50">
        <f t="shared" si="471"/>
        <v>3776</v>
      </c>
      <c r="H880" s="50">
        <f t="shared" si="471"/>
        <v>0</v>
      </c>
      <c r="I880" s="50">
        <f t="shared" si="471"/>
        <v>32107</v>
      </c>
      <c r="J880" s="146">
        <f t="shared" si="471"/>
        <v>21185</v>
      </c>
      <c r="K880" s="146">
        <f>K881+K882+K883</f>
        <v>21185</v>
      </c>
      <c r="L880" s="146">
        <f>L881+L882+L883</f>
        <v>0</v>
      </c>
      <c r="M880" s="146">
        <f>M881+M882+M883</f>
        <v>0</v>
      </c>
      <c r="N880" s="146">
        <f>N881+N882+N883</f>
        <v>0</v>
      </c>
      <c r="O880" s="146">
        <f t="shared" si="471"/>
        <v>15769</v>
      </c>
      <c r="P880" s="146">
        <f t="shared" si="471"/>
        <v>55769</v>
      </c>
      <c r="Q880" s="146">
        <f t="shared" si="471"/>
        <v>25000</v>
      </c>
    </row>
    <row r="881" spans="1:17" ht="13.5" customHeight="1">
      <c r="A881" s="90"/>
      <c r="B881" s="89" t="s">
        <v>200</v>
      </c>
      <c r="C881" s="47">
        <v>56</v>
      </c>
      <c r="D881" s="50">
        <v>0</v>
      </c>
      <c r="E881" s="50">
        <v>0</v>
      </c>
      <c r="F881" s="50">
        <v>0</v>
      </c>
      <c r="G881" s="50">
        <v>0</v>
      </c>
      <c r="H881" s="50">
        <v>0</v>
      </c>
      <c r="I881" s="50">
        <v>0</v>
      </c>
      <c r="J881" s="146">
        <v>0</v>
      </c>
      <c r="K881" s="146">
        <v>0</v>
      </c>
      <c r="L881" s="146">
        <v>0</v>
      </c>
      <c r="M881" s="146">
        <v>0</v>
      </c>
      <c r="N881" s="146">
        <v>0</v>
      </c>
      <c r="O881" s="146">
        <v>0</v>
      </c>
      <c r="P881" s="146">
        <v>0</v>
      </c>
      <c r="Q881" s="146">
        <v>0</v>
      </c>
    </row>
    <row r="882" spans="1:17" ht="13.5" customHeight="1">
      <c r="A882" s="90"/>
      <c r="B882" s="89" t="s">
        <v>200</v>
      </c>
      <c r="C882" s="47">
        <v>58</v>
      </c>
      <c r="D882" s="50">
        <f>D900</f>
        <v>0</v>
      </c>
      <c r="E882" s="50">
        <f t="shared" ref="E882:Q882" si="472">E900</f>
        <v>0</v>
      </c>
      <c r="F882" s="50">
        <f t="shared" si="472"/>
        <v>0</v>
      </c>
      <c r="G882" s="50">
        <f t="shared" si="472"/>
        <v>1838</v>
      </c>
      <c r="H882" s="50">
        <f t="shared" si="472"/>
        <v>0</v>
      </c>
      <c r="I882" s="50">
        <f t="shared" si="472"/>
        <v>0</v>
      </c>
      <c r="J882" s="146">
        <f t="shared" si="472"/>
        <v>985</v>
      </c>
      <c r="K882" s="146">
        <f>K900</f>
        <v>985</v>
      </c>
      <c r="L882" s="146">
        <f>L900</f>
        <v>0</v>
      </c>
      <c r="M882" s="146">
        <f>M900</f>
        <v>0</v>
      </c>
      <c r="N882" s="146">
        <f>N900</f>
        <v>0</v>
      </c>
      <c r="O882" s="146">
        <f t="shared" si="472"/>
        <v>10769</v>
      </c>
      <c r="P882" s="146">
        <f t="shared" si="472"/>
        <v>50769</v>
      </c>
      <c r="Q882" s="146">
        <f t="shared" si="472"/>
        <v>20000</v>
      </c>
    </row>
    <row r="883" spans="1:17" ht="15">
      <c r="A883" s="90"/>
      <c r="B883" s="89" t="s">
        <v>220</v>
      </c>
      <c r="C883" s="47">
        <v>70</v>
      </c>
      <c r="D883" s="50">
        <f t="shared" ref="D883:Q883" si="473">D891</f>
        <v>11554</v>
      </c>
      <c r="E883" s="50">
        <f t="shared" si="473"/>
        <v>32107</v>
      </c>
      <c r="F883" s="50">
        <f t="shared" si="473"/>
        <v>0</v>
      </c>
      <c r="G883" s="50">
        <f t="shared" si="473"/>
        <v>1938</v>
      </c>
      <c r="H883" s="50">
        <f t="shared" si="473"/>
        <v>0</v>
      </c>
      <c r="I883" s="50">
        <f t="shared" si="473"/>
        <v>32107</v>
      </c>
      <c r="J883" s="146">
        <f t="shared" si="473"/>
        <v>20200</v>
      </c>
      <c r="K883" s="146">
        <f>K891</f>
        <v>20200</v>
      </c>
      <c r="L883" s="146">
        <f>L891</f>
        <v>0</v>
      </c>
      <c r="M883" s="146">
        <f>M891</f>
        <v>0</v>
      </c>
      <c r="N883" s="146">
        <f>N891</f>
        <v>0</v>
      </c>
      <c r="O883" s="146">
        <f t="shared" si="473"/>
        <v>5000</v>
      </c>
      <c r="P883" s="146">
        <f t="shared" si="473"/>
        <v>5000</v>
      </c>
      <c r="Q883" s="146">
        <f t="shared" si="473"/>
        <v>5000</v>
      </c>
    </row>
    <row r="884" spans="1:17" ht="11.25" hidden="1" customHeight="1">
      <c r="A884" s="90"/>
      <c r="B884" s="89" t="s">
        <v>190</v>
      </c>
      <c r="C884" s="47">
        <v>85.01</v>
      </c>
      <c r="D884" s="50" t="e">
        <f>#REF!</f>
        <v>#REF!</v>
      </c>
      <c r="E884" s="50" t="e">
        <f>#REF!</f>
        <v>#REF!</v>
      </c>
      <c r="F884" s="50" t="e">
        <f>#REF!</f>
        <v>#REF!</v>
      </c>
      <c r="G884" s="50" t="e">
        <f>#REF!</f>
        <v>#REF!</v>
      </c>
      <c r="H884" s="50" t="e">
        <f>#REF!</f>
        <v>#REF!</v>
      </c>
      <c r="I884" s="50" t="e">
        <f>#REF!</f>
        <v>#REF!</v>
      </c>
      <c r="J884" s="146"/>
      <c r="K884" s="146"/>
      <c r="L884" s="146"/>
      <c r="M884" s="146"/>
      <c r="N884" s="146"/>
      <c r="O884" s="146"/>
      <c r="P884" s="146"/>
      <c r="Q884" s="146"/>
    </row>
    <row r="885" spans="1:17" ht="14.25">
      <c r="A885" s="112" t="s">
        <v>567</v>
      </c>
      <c r="B885" s="82" t="s">
        <v>465</v>
      </c>
      <c r="C885" s="47" t="s">
        <v>466</v>
      </c>
      <c r="D885" s="50" t="e">
        <f t="shared" ref="D885:Q885" si="474">D886+D890</f>
        <v>#REF!</v>
      </c>
      <c r="E885" s="50" t="e">
        <f t="shared" si="474"/>
        <v>#REF!</v>
      </c>
      <c r="F885" s="50" t="e">
        <f t="shared" si="474"/>
        <v>#REF!</v>
      </c>
      <c r="G885" s="50" t="e">
        <f t="shared" si="474"/>
        <v>#REF!</v>
      </c>
      <c r="H885" s="50" t="e">
        <f t="shared" si="474"/>
        <v>#REF!</v>
      </c>
      <c r="I885" s="50" t="e">
        <f t="shared" si="474"/>
        <v>#REF!</v>
      </c>
      <c r="J885" s="146">
        <f t="shared" si="474"/>
        <v>33407</v>
      </c>
      <c r="K885" s="146">
        <f>K886+K890</f>
        <v>23700</v>
      </c>
      <c r="L885" s="146">
        <f>L886+L890</f>
        <v>4000</v>
      </c>
      <c r="M885" s="146">
        <f>M886+M890</f>
        <v>3500</v>
      </c>
      <c r="N885" s="146">
        <f>N886+N890</f>
        <v>2207</v>
      </c>
      <c r="O885" s="146">
        <f t="shared" si="474"/>
        <v>17452</v>
      </c>
      <c r="P885" s="146">
        <f t="shared" si="474"/>
        <v>17452</v>
      </c>
      <c r="Q885" s="146">
        <f t="shared" si="474"/>
        <v>17452</v>
      </c>
    </row>
    <row r="886" spans="1:17" ht="14.25">
      <c r="A886" s="90"/>
      <c r="B886" s="80" t="s">
        <v>179</v>
      </c>
      <c r="C886" s="47"/>
      <c r="D886" s="50">
        <f t="shared" ref="D886:Q886" si="475">D887</f>
        <v>10576</v>
      </c>
      <c r="E886" s="50">
        <f t="shared" si="475"/>
        <v>18000</v>
      </c>
      <c r="F886" s="50">
        <f t="shared" si="475"/>
        <v>0</v>
      </c>
      <c r="G886" s="50">
        <f t="shared" si="475"/>
        <v>15000</v>
      </c>
      <c r="H886" s="50">
        <f t="shared" si="475"/>
        <v>0</v>
      </c>
      <c r="I886" s="50">
        <f t="shared" si="475"/>
        <v>0</v>
      </c>
      <c r="J886" s="146">
        <f t="shared" si="475"/>
        <v>13207</v>
      </c>
      <c r="K886" s="146">
        <f t="shared" si="475"/>
        <v>3500</v>
      </c>
      <c r="L886" s="146">
        <f t="shared" si="475"/>
        <v>4000</v>
      </c>
      <c r="M886" s="146">
        <f t="shared" si="475"/>
        <v>3500</v>
      </c>
      <c r="N886" s="146">
        <f t="shared" si="475"/>
        <v>2207</v>
      </c>
      <c r="O886" s="146">
        <f t="shared" si="475"/>
        <v>12452</v>
      </c>
      <c r="P886" s="146">
        <f t="shared" si="475"/>
        <v>12452</v>
      </c>
      <c r="Q886" s="146">
        <f t="shared" si="475"/>
        <v>12452</v>
      </c>
    </row>
    <row r="887" spans="1:17" ht="15">
      <c r="A887" s="90"/>
      <c r="B887" s="89" t="s">
        <v>180</v>
      </c>
      <c r="C887" s="47">
        <v>1</v>
      </c>
      <c r="D887" s="36">
        <f t="shared" ref="D887:Q887" si="476">D888+D889</f>
        <v>10576</v>
      </c>
      <c r="E887" s="36">
        <f t="shared" si="476"/>
        <v>18000</v>
      </c>
      <c r="F887" s="36">
        <f t="shared" si="476"/>
        <v>0</v>
      </c>
      <c r="G887" s="36">
        <f t="shared" si="476"/>
        <v>15000</v>
      </c>
      <c r="H887" s="36">
        <f t="shared" si="476"/>
        <v>0</v>
      </c>
      <c r="I887" s="36">
        <f t="shared" si="476"/>
        <v>0</v>
      </c>
      <c r="J887" s="141">
        <f t="shared" si="476"/>
        <v>13207</v>
      </c>
      <c r="K887" s="141">
        <f>K888+K889</f>
        <v>3500</v>
      </c>
      <c r="L887" s="141">
        <f>L888+L889</f>
        <v>4000</v>
      </c>
      <c r="M887" s="141">
        <f>M888+M889</f>
        <v>3500</v>
      </c>
      <c r="N887" s="141">
        <f>N888+N889</f>
        <v>2207</v>
      </c>
      <c r="O887" s="141">
        <f t="shared" si="476"/>
        <v>12452</v>
      </c>
      <c r="P887" s="141">
        <f t="shared" si="476"/>
        <v>12452</v>
      </c>
      <c r="Q887" s="141">
        <f t="shared" si="476"/>
        <v>12452</v>
      </c>
    </row>
    <row r="888" spans="1:17" ht="0.75" customHeight="1">
      <c r="A888" s="90"/>
      <c r="B888" s="89" t="s">
        <v>181</v>
      </c>
      <c r="C888" s="47">
        <v>10</v>
      </c>
      <c r="D888" s="37">
        <v>0</v>
      </c>
      <c r="E888" s="37">
        <v>0</v>
      </c>
      <c r="F888" s="32"/>
      <c r="G888" s="32"/>
      <c r="H888" s="32"/>
      <c r="I888" s="37">
        <v>0</v>
      </c>
      <c r="J888" s="137"/>
      <c r="K888" s="137"/>
      <c r="L888" s="137"/>
      <c r="M888" s="137"/>
      <c r="N888" s="137"/>
      <c r="O888" s="137"/>
      <c r="P888" s="137"/>
      <c r="Q888" s="137"/>
    </row>
    <row r="889" spans="1:17" ht="13.5" customHeight="1">
      <c r="A889" s="90"/>
      <c r="B889" s="89" t="s">
        <v>182</v>
      </c>
      <c r="C889" s="47">
        <v>20</v>
      </c>
      <c r="D889" s="37">
        <v>10576</v>
      </c>
      <c r="E889" s="37">
        <f>15000+3000</f>
        <v>18000</v>
      </c>
      <c r="F889" s="32"/>
      <c r="G889" s="32">
        <v>15000</v>
      </c>
      <c r="H889" s="32"/>
      <c r="I889" s="37"/>
      <c r="J889" s="137">
        <f>11207+1000+1000-100-100+200</f>
        <v>13207</v>
      </c>
      <c r="K889" s="137">
        <f>2000+1000+500</f>
        <v>3500</v>
      </c>
      <c r="L889" s="137">
        <f>3500+800-500+200</f>
        <v>4000</v>
      </c>
      <c r="M889" s="137">
        <v>3500</v>
      </c>
      <c r="N889" s="137">
        <v>2207</v>
      </c>
      <c r="O889" s="137">
        <v>12452</v>
      </c>
      <c r="P889" s="137">
        <v>12452</v>
      </c>
      <c r="Q889" s="137">
        <v>12452</v>
      </c>
    </row>
    <row r="890" spans="1:17" ht="15" customHeight="1">
      <c r="A890" s="90"/>
      <c r="B890" s="82" t="s">
        <v>191</v>
      </c>
      <c r="C890" s="159"/>
      <c r="D890" s="50" t="e">
        <f>D891+#REF!</f>
        <v>#REF!</v>
      </c>
      <c r="E890" s="50" t="e">
        <f>E891+#REF!</f>
        <v>#REF!</v>
      </c>
      <c r="F890" s="50" t="e">
        <f>F891+#REF!</f>
        <v>#REF!</v>
      </c>
      <c r="G890" s="50" t="e">
        <f>G891+#REF!</f>
        <v>#REF!</v>
      </c>
      <c r="H890" s="50" t="e">
        <f>H891+#REF!</f>
        <v>#REF!</v>
      </c>
      <c r="I890" s="50" t="e">
        <f>I891+#REF!</f>
        <v>#REF!</v>
      </c>
      <c r="J890" s="146">
        <f t="shared" ref="J890:Q890" si="477">J891</f>
        <v>20200</v>
      </c>
      <c r="K890" s="146">
        <f t="shared" si="477"/>
        <v>20200</v>
      </c>
      <c r="L890" s="146">
        <f t="shared" si="477"/>
        <v>0</v>
      </c>
      <c r="M890" s="146">
        <f t="shared" si="477"/>
        <v>0</v>
      </c>
      <c r="N890" s="146">
        <f t="shared" si="477"/>
        <v>0</v>
      </c>
      <c r="O890" s="146">
        <f t="shared" si="477"/>
        <v>5000</v>
      </c>
      <c r="P890" s="146">
        <f t="shared" si="477"/>
        <v>5000</v>
      </c>
      <c r="Q890" s="146">
        <f t="shared" si="477"/>
        <v>5000</v>
      </c>
    </row>
    <row r="891" spans="1:17" ht="15" customHeight="1">
      <c r="A891" s="90"/>
      <c r="B891" s="89" t="s">
        <v>570</v>
      </c>
      <c r="C891" s="47">
        <v>70</v>
      </c>
      <c r="D891" s="37">
        <v>11554</v>
      </c>
      <c r="E891" s="37">
        <f>15180+181-6812+23000+3+555</f>
        <v>32107</v>
      </c>
      <c r="F891" s="32"/>
      <c r="G891" s="32">
        <f>1938</f>
        <v>1938</v>
      </c>
      <c r="H891" s="32"/>
      <c r="I891" s="37">
        <f>15180+181-6812+23000+3+555</f>
        <v>32107</v>
      </c>
      <c r="J891" s="137">
        <f>20000+200</f>
        <v>20200</v>
      </c>
      <c r="K891" s="137">
        <f>20000+200</f>
        <v>20200</v>
      </c>
      <c r="L891" s="137"/>
      <c r="M891" s="137"/>
      <c r="N891" s="137"/>
      <c r="O891" s="137">
        <v>5000</v>
      </c>
      <c r="P891" s="137">
        <v>5000</v>
      </c>
      <c r="Q891" s="137">
        <v>5000</v>
      </c>
    </row>
    <row r="892" spans="1:17" ht="15" customHeight="1">
      <c r="A892" s="90"/>
      <c r="B892" s="89" t="s">
        <v>494</v>
      </c>
      <c r="C892" s="47"/>
      <c r="D892" s="37"/>
      <c r="E892" s="37"/>
      <c r="F892" s="32"/>
      <c r="G892" s="32"/>
      <c r="H892" s="32"/>
      <c r="I892" s="37"/>
      <c r="J892" s="137">
        <f>J893+J894+J895</f>
        <v>323</v>
      </c>
      <c r="K892" s="141">
        <f>K893+K894+K895</f>
        <v>323</v>
      </c>
      <c r="L892" s="141">
        <f>L893+L894+L895</f>
        <v>0</v>
      </c>
      <c r="M892" s="141">
        <f>M893+M894+M895</f>
        <v>0</v>
      </c>
      <c r="N892" s="141">
        <f>N893+N894+N895</f>
        <v>0</v>
      </c>
      <c r="O892" s="141"/>
      <c r="P892" s="141"/>
      <c r="Q892" s="141"/>
    </row>
    <row r="893" spans="1:17" ht="44.25" customHeight="1">
      <c r="A893" s="90"/>
      <c r="B893" s="88" t="s">
        <v>492</v>
      </c>
      <c r="C893" s="47"/>
      <c r="D893" s="37"/>
      <c r="E893" s="37"/>
      <c r="F893" s="32"/>
      <c r="G893" s="32"/>
      <c r="H893" s="32"/>
      <c r="I893" s="37"/>
      <c r="J893" s="137">
        <v>177</v>
      </c>
      <c r="K893" s="137">
        <v>177</v>
      </c>
      <c r="L893" s="137"/>
      <c r="M893" s="137"/>
      <c r="N893" s="137"/>
      <c r="O893" s="137"/>
      <c r="P893" s="137"/>
      <c r="Q893" s="137"/>
    </row>
    <row r="894" spans="1:17" ht="45" customHeight="1">
      <c r="A894" s="90"/>
      <c r="B894" s="105" t="s">
        <v>493</v>
      </c>
      <c r="C894" s="47"/>
      <c r="D894" s="37"/>
      <c r="E894" s="37"/>
      <c r="F894" s="32"/>
      <c r="G894" s="32"/>
      <c r="H894" s="32"/>
      <c r="I894" s="37"/>
      <c r="J894" s="137">
        <v>138</v>
      </c>
      <c r="K894" s="137">
        <v>138</v>
      </c>
      <c r="L894" s="137"/>
      <c r="M894" s="137"/>
      <c r="N894" s="137"/>
      <c r="O894" s="137"/>
      <c r="P894" s="137"/>
      <c r="Q894" s="137"/>
    </row>
    <row r="895" spans="1:17" ht="58.5" customHeight="1">
      <c r="A895" s="90"/>
      <c r="B895" s="105" t="s">
        <v>520</v>
      </c>
      <c r="C895" s="47"/>
      <c r="D895" s="37"/>
      <c r="E895" s="37"/>
      <c r="F895" s="32"/>
      <c r="G895" s="32"/>
      <c r="H895" s="32"/>
      <c r="I895" s="37"/>
      <c r="J895" s="137">
        <v>8</v>
      </c>
      <c r="K895" s="137">
        <v>8</v>
      </c>
      <c r="L895" s="137"/>
      <c r="M895" s="137"/>
      <c r="N895" s="137"/>
      <c r="O895" s="137"/>
      <c r="P895" s="137"/>
      <c r="Q895" s="137"/>
    </row>
    <row r="896" spans="1:17" ht="33.75" customHeight="1">
      <c r="A896" s="90"/>
      <c r="B896" s="88" t="s">
        <v>540</v>
      </c>
      <c r="C896" s="47"/>
      <c r="D896" s="37"/>
      <c r="E896" s="37"/>
      <c r="F896" s="32"/>
      <c r="G896" s="32"/>
      <c r="H896" s="32"/>
      <c r="I896" s="37"/>
      <c r="J896" s="137">
        <v>200</v>
      </c>
      <c r="K896" s="137">
        <v>200</v>
      </c>
      <c r="L896" s="137"/>
      <c r="M896" s="137"/>
      <c r="N896" s="137"/>
      <c r="O896" s="137"/>
      <c r="P896" s="137"/>
      <c r="Q896" s="137"/>
    </row>
    <row r="897" spans="1:17" ht="0.75" customHeight="1">
      <c r="A897" s="77"/>
      <c r="B897" s="90" t="s">
        <v>467</v>
      </c>
      <c r="C897" s="159">
        <v>70</v>
      </c>
      <c r="D897" s="37"/>
      <c r="E897" s="32"/>
      <c r="F897" s="32"/>
      <c r="G897" s="32"/>
      <c r="H897" s="32"/>
      <c r="I897" s="32"/>
      <c r="J897" s="137"/>
      <c r="K897" s="137"/>
      <c r="L897" s="137"/>
      <c r="M897" s="137"/>
      <c r="N897" s="137"/>
      <c r="O897" s="137"/>
      <c r="P897" s="137"/>
      <c r="Q897" s="137"/>
    </row>
    <row r="898" spans="1:17" ht="73.5" customHeight="1">
      <c r="A898" s="77" t="s">
        <v>568</v>
      </c>
      <c r="B898" s="117" t="s">
        <v>487</v>
      </c>
      <c r="C898" s="175">
        <f>C899</f>
        <v>58</v>
      </c>
      <c r="D898" s="64">
        <f t="shared" ref="D898:Q899" si="478">D899</f>
        <v>0</v>
      </c>
      <c r="E898" s="64">
        <f t="shared" si="478"/>
        <v>0</v>
      </c>
      <c r="F898" s="64">
        <f t="shared" si="478"/>
        <v>0</v>
      </c>
      <c r="G898" s="64">
        <f t="shared" si="478"/>
        <v>1838</v>
      </c>
      <c r="H898" s="64">
        <f t="shared" si="478"/>
        <v>0</v>
      </c>
      <c r="I898" s="64">
        <f t="shared" si="478"/>
        <v>0</v>
      </c>
      <c r="J898" s="153">
        <f t="shared" si="478"/>
        <v>985</v>
      </c>
      <c r="K898" s="153">
        <f t="shared" si="478"/>
        <v>985</v>
      </c>
      <c r="L898" s="153">
        <f t="shared" si="478"/>
        <v>0</v>
      </c>
      <c r="M898" s="153">
        <f t="shared" si="478"/>
        <v>0</v>
      </c>
      <c r="N898" s="153">
        <f t="shared" si="478"/>
        <v>0</v>
      </c>
      <c r="O898" s="154">
        <f t="shared" si="478"/>
        <v>10769</v>
      </c>
      <c r="P898" s="154">
        <f t="shared" si="478"/>
        <v>50769</v>
      </c>
      <c r="Q898" s="154">
        <f t="shared" si="478"/>
        <v>20000</v>
      </c>
    </row>
    <row r="899" spans="1:17" ht="15.75" customHeight="1">
      <c r="A899" s="77"/>
      <c r="B899" s="89" t="s">
        <v>191</v>
      </c>
      <c r="C899" s="159">
        <f>C900</f>
        <v>58</v>
      </c>
      <c r="D899" s="39">
        <f t="shared" si="478"/>
        <v>0</v>
      </c>
      <c r="E899" s="39">
        <f t="shared" si="478"/>
        <v>0</v>
      </c>
      <c r="F899" s="39">
        <f t="shared" si="478"/>
        <v>0</v>
      </c>
      <c r="G899" s="39">
        <f t="shared" si="478"/>
        <v>1838</v>
      </c>
      <c r="H899" s="39">
        <f t="shared" si="478"/>
        <v>0</v>
      </c>
      <c r="I899" s="39">
        <f t="shared" si="478"/>
        <v>0</v>
      </c>
      <c r="J899" s="153">
        <f t="shared" si="478"/>
        <v>985</v>
      </c>
      <c r="K899" s="153">
        <f t="shared" si="478"/>
        <v>985</v>
      </c>
      <c r="L899" s="153">
        <f t="shared" si="478"/>
        <v>0</v>
      </c>
      <c r="M899" s="153">
        <f t="shared" si="478"/>
        <v>0</v>
      </c>
      <c r="N899" s="153">
        <f t="shared" si="478"/>
        <v>0</v>
      </c>
      <c r="O899" s="154">
        <f t="shared" si="478"/>
        <v>10769</v>
      </c>
      <c r="P899" s="154">
        <f t="shared" si="478"/>
        <v>50769</v>
      </c>
      <c r="Q899" s="154">
        <f t="shared" si="478"/>
        <v>20000</v>
      </c>
    </row>
    <row r="900" spans="1:17" ht="22.5" customHeight="1">
      <c r="A900" s="77"/>
      <c r="B900" s="89" t="s">
        <v>200</v>
      </c>
      <c r="C900" s="47">
        <v>58</v>
      </c>
      <c r="D900" s="37"/>
      <c r="E900" s="32"/>
      <c r="F900" s="32"/>
      <c r="G900" s="32">
        <v>1838</v>
      </c>
      <c r="H900" s="32"/>
      <c r="I900" s="32"/>
      <c r="J900" s="137">
        <f>J901+J902</f>
        <v>985</v>
      </c>
      <c r="K900" s="137">
        <f t="shared" ref="K900:Q900" si="479">K901+K902</f>
        <v>985</v>
      </c>
      <c r="L900" s="137">
        <f t="shared" si="479"/>
        <v>0</v>
      </c>
      <c r="M900" s="137">
        <f t="shared" si="479"/>
        <v>0</v>
      </c>
      <c r="N900" s="137">
        <f t="shared" si="479"/>
        <v>0</v>
      </c>
      <c r="O900" s="137">
        <f t="shared" si="479"/>
        <v>10769</v>
      </c>
      <c r="P900" s="137">
        <f t="shared" si="479"/>
        <v>50769</v>
      </c>
      <c r="Q900" s="137">
        <f t="shared" si="479"/>
        <v>20000</v>
      </c>
    </row>
    <row r="901" spans="1:17" ht="16.5" customHeight="1">
      <c r="A901" s="77"/>
      <c r="B901" s="89" t="s">
        <v>535</v>
      </c>
      <c r="C901" s="47" t="s">
        <v>536</v>
      </c>
      <c r="D901" s="37"/>
      <c r="E901" s="32"/>
      <c r="F901" s="32"/>
      <c r="G901" s="32"/>
      <c r="H901" s="32"/>
      <c r="I901" s="32"/>
      <c r="J901" s="137">
        <v>965</v>
      </c>
      <c r="K901" s="137">
        <v>965</v>
      </c>
      <c r="L901" s="137"/>
      <c r="M901" s="137"/>
      <c r="N901" s="137"/>
      <c r="O901" s="137">
        <f>10769-1818</f>
        <v>8951</v>
      </c>
      <c r="P901" s="137">
        <v>50769</v>
      </c>
      <c r="Q901" s="137">
        <v>20000</v>
      </c>
    </row>
    <row r="902" spans="1:17" ht="22.5" customHeight="1">
      <c r="A902" s="77"/>
      <c r="B902" s="89" t="s">
        <v>239</v>
      </c>
      <c r="C902" s="47" t="s">
        <v>537</v>
      </c>
      <c r="D902" s="37"/>
      <c r="E902" s="32"/>
      <c r="F902" s="32"/>
      <c r="G902" s="32"/>
      <c r="H902" s="32"/>
      <c r="I902" s="32"/>
      <c r="J902" s="137">
        <v>20</v>
      </c>
      <c r="K902" s="137">
        <v>20</v>
      </c>
      <c r="L902" s="137"/>
      <c r="M902" s="137"/>
      <c r="N902" s="137"/>
      <c r="O902" s="137">
        <f>1838-20</f>
        <v>1818</v>
      </c>
      <c r="P902" s="137"/>
      <c r="Q902" s="137"/>
    </row>
    <row r="903" spans="1:17" ht="22.5" customHeight="1">
      <c r="A903" s="77">
        <v>3</v>
      </c>
      <c r="B903" s="65" t="s">
        <v>515</v>
      </c>
      <c r="C903" s="159">
        <v>87.02</v>
      </c>
      <c r="D903" s="37">
        <f>D904</f>
        <v>600</v>
      </c>
      <c r="E903" s="32"/>
      <c r="F903" s="32"/>
      <c r="G903" s="32"/>
      <c r="H903" s="32"/>
      <c r="I903" s="32"/>
      <c r="J903" s="141">
        <f>J904</f>
        <v>15907</v>
      </c>
      <c r="K903" s="141">
        <f t="shared" ref="K903:N905" si="480">K904</f>
        <v>15907</v>
      </c>
      <c r="L903" s="141">
        <f t="shared" si="480"/>
        <v>0</v>
      </c>
      <c r="M903" s="141">
        <f t="shared" si="480"/>
        <v>0</v>
      </c>
      <c r="N903" s="141">
        <f t="shared" si="480"/>
        <v>0</v>
      </c>
      <c r="O903" s="141"/>
      <c r="P903" s="141"/>
      <c r="Q903" s="141"/>
    </row>
    <row r="904" spans="1:17" ht="34.5" customHeight="1">
      <c r="A904" s="77" t="s">
        <v>569</v>
      </c>
      <c r="B904" s="76" t="s">
        <v>514</v>
      </c>
      <c r="C904" s="159" t="s">
        <v>468</v>
      </c>
      <c r="D904" s="37">
        <f>D905</f>
        <v>600</v>
      </c>
      <c r="E904" s="32"/>
      <c r="F904" s="32"/>
      <c r="G904" s="32"/>
      <c r="H904" s="32"/>
      <c r="I904" s="32"/>
      <c r="J904" s="141">
        <f>J905</f>
        <v>15907</v>
      </c>
      <c r="K904" s="141">
        <f t="shared" si="480"/>
        <v>15907</v>
      </c>
      <c r="L904" s="141">
        <f t="shared" si="480"/>
        <v>0</v>
      </c>
      <c r="M904" s="141">
        <f t="shared" si="480"/>
        <v>0</v>
      </c>
      <c r="N904" s="141">
        <f t="shared" si="480"/>
        <v>0</v>
      </c>
      <c r="O904" s="141"/>
      <c r="P904" s="141"/>
      <c r="Q904" s="141"/>
    </row>
    <row r="905" spans="1:17" ht="22.5" customHeight="1">
      <c r="A905" s="77"/>
      <c r="B905" s="89" t="s">
        <v>191</v>
      </c>
      <c r="C905" s="159"/>
      <c r="D905" s="37">
        <f>D906</f>
        <v>600</v>
      </c>
      <c r="E905" s="32"/>
      <c r="F905" s="32"/>
      <c r="G905" s="32"/>
      <c r="H905" s="32"/>
      <c r="I905" s="32"/>
      <c r="J905" s="141">
        <f>J906</f>
        <v>15907</v>
      </c>
      <c r="K905" s="141">
        <f t="shared" si="480"/>
        <v>15907</v>
      </c>
      <c r="L905" s="141">
        <f t="shared" si="480"/>
        <v>0</v>
      </c>
      <c r="M905" s="141">
        <f t="shared" si="480"/>
        <v>0</v>
      </c>
      <c r="N905" s="141">
        <f t="shared" si="480"/>
        <v>0</v>
      </c>
      <c r="O905" s="141"/>
      <c r="P905" s="141"/>
      <c r="Q905" s="141"/>
    </row>
    <row r="906" spans="1:17" ht="27.75" customHeight="1">
      <c r="A906" s="77"/>
      <c r="B906" s="118" t="s">
        <v>445</v>
      </c>
      <c r="C906" s="174" t="s">
        <v>446</v>
      </c>
      <c r="D906" s="37">
        <v>600</v>
      </c>
      <c r="E906" s="32"/>
      <c r="F906" s="32"/>
      <c r="G906" s="32"/>
      <c r="H906" s="32"/>
      <c r="I906" s="32"/>
      <c r="J906" s="137">
        <v>15907</v>
      </c>
      <c r="K906" s="137">
        <v>15907</v>
      </c>
      <c r="L906" s="137"/>
      <c r="M906" s="137"/>
      <c r="N906" s="137"/>
      <c r="O906" s="137"/>
      <c r="P906" s="137"/>
      <c r="Q906" s="137"/>
    </row>
    <row r="907" spans="1:17" ht="22.5" hidden="1" customHeight="1">
      <c r="A907" s="77"/>
      <c r="B907" s="119" t="s">
        <v>469</v>
      </c>
      <c r="C907" s="176"/>
      <c r="D907" s="37"/>
      <c r="E907" s="32"/>
      <c r="F907" s="32"/>
      <c r="G907" s="32"/>
      <c r="H907" s="32"/>
      <c r="I907" s="32"/>
      <c r="J907" s="137"/>
      <c r="K907" s="137"/>
      <c r="L907" s="137"/>
      <c r="M907" s="137"/>
      <c r="N907" s="137"/>
      <c r="O907" s="137"/>
      <c r="P907" s="137"/>
      <c r="Q907" s="137"/>
    </row>
    <row r="908" spans="1:17" ht="22.5" customHeight="1">
      <c r="A908" s="120"/>
      <c r="B908" s="121" t="s">
        <v>470</v>
      </c>
      <c r="C908" s="177"/>
      <c r="D908" s="66" t="e">
        <f t="shared" ref="D908:Q908" si="481">D11-D208</f>
        <v>#REF!</v>
      </c>
      <c r="E908" s="66" t="e">
        <f t="shared" si="481"/>
        <v>#REF!</v>
      </c>
      <c r="F908" s="66" t="e">
        <f t="shared" si="481"/>
        <v>#REF!</v>
      </c>
      <c r="G908" s="66" t="e">
        <f t="shared" si="481"/>
        <v>#REF!</v>
      </c>
      <c r="H908" s="66" t="e">
        <f t="shared" si="481"/>
        <v>#REF!</v>
      </c>
      <c r="I908" s="66" t="e">
        <f t="shared" si="481"/>
        <v>#REF!</v>
      </c>
      <c r="J908" s="155">
        <f t="shared" si="481"/>
        <v>-61043.000000000058</v>
      </c>
      <c r="K908" s="155">
        <f t="shared" si="481"/>
        <v>-61043</v>
      </c>
      <c r="L908" s="155">
        <f t="shared" si="481"/>
        <v>0</v>
      </c>
      <c r="M908" s="155">
        <f t="shared" si="481"/>
        <v>0</v>
      </c>
      <c r="N908" s="155">
        <f t="shared" si="481"/>
        <v>0</v>
      </c>
      <c r="O908" s="155">
        <f t="shared" si="481"/>
        <v>0</v>
      </c>
      <c r="P908" s="155">
        <f t="shared" si="481"/>
        <v>0</v>
      </c>
      <c r="Q908" s="155">
        <f t="shared" si="481"/>
        <v>0</v>
      </c>
    </row>
    <row r="909" spans="1:17" ht="19.5" customHeight="1" thickBot="1">
      <c r="A909" s="74"/>
      <c r="B909" s="122"/>
      <c r="C909" s="67"/>
      <c r="D909" s="68"/>
      <c r="E909" s="69" t="e">
        <f>E908-D908</f>
        <v>#REF!</v>
      </c>
      <c r="F909" s="14"/>
      <c r="G909" s="14"/>
      <c r="H909" s="14"/>
      <c r="I909" s="14"/>
      <c r="J909" s="14"/>
      <c r="K909" s="14"/>
      <c r="L909" s="14"/>
      <c r="M909" s="14"/>
      <c r="N909" s="14"/>
      <c r="O909" s="14"/>
      <c r="P909" s="14"/>
      <c r="Q909" s="14"/>
    </row>
    <row r="910" spans="1:17" ht="15.75" thickBot="1">
      <c r="A910" s="72"/>
      <c r="B910" s="123" t="s">
        <v>471</v>
      </c>
      <c r="C910" s="203">
        <f>C914+C933+C936+C939+C941+C960+C979+C986+C988+C998</f>
        <v>61043</v>
      </c>
      <c r="D910" s="70"/>
      <c r="E910" s="69" t="e">
        <f>C910+E908</f>
        <v>#REF!</v>
      </c>
      <c r="F910" s="14"/>
      <c r="G910" s="14"/>
      <c r="H910" s="14"/>
      <c r="I910" s="14"/>
      <c r="J910" s="69"/>
      <c r="K910" s="69"/>
      <c r="L910" s="69"/>
      <c r="M910" s="69"/>
      <c r="N910" s="69"/>
      <c r="O910" s="14"/>
      <c r="P910" s="14"/>
      <c r="Q910" s="14"/>
    </row>
    <row r="911" spans="1:17" ht="12" customHeight="1">
      <c r="A911" s="72"/>
      <c r="B911" s="124"/>
      <c r="C911" s="204"/>
      <c r="D911" s="70"/>
      <c r="E911" s="14"/>
      <c r="F911" s="14"/>
      <c r="G911" s="14"/>
      <c r="H911" s="14"/>
      <c r="I911" s="14"/>
      <c r="J911" s="14"/>
      <c r="K911" s="14"/>
      <c r="L911" s="69"/>
      <c r="M911" s="14"/>
      <c r="N911" s="14"/>
      <c r="O911" s="14"/>
      <c r="P911" s="14"/>
      <c r="Q911" s="14"/>
    </row>
    <row r="912" spans="1:17" ht="15" hidden="1">
      <c r="A912" s="72"/>
      <c r="B912" s="5"/>
      <c r="C912" s="205"/>
      <c r="D912" s="70"/>
      <c r="E912" s="14"/>
      <c r="F912" s="14"/>
      <c r="G912" s="14"/>
      <c r="H912" s="14"/>
      <c r="I912" s="14"/>
      <c r="J912" s="14"/>
      <c r="K912" s="14"/>
      <c r="L912" s="14"/>
      <c r="M912" s="14"/>
      <c r="N912" s="14"/>
      <c r="O912" s="14"/>
      <c r="P912" s="14"/>
      <c r="Q912" s="14"/>
    </row>
    <row r="913" spans="1:17" ht="15" hidden="1">
      <c r="A913" s="72"/>
      <c r="B913" s="5"/>
      <c r="C913" s="136"/>
      <c r="D913" s="70"/>
      <c r="E913" s="14"/>
      <c r="F913" s="14"/>
      <c r="G913" s="14"/>
      <c r="H913" s="14"/>
      <c r="I913" s="14"/>
      <c r="J913" s="14"/>
      <c r="K913" s="14"/>
      <c r="L913" s="14"/>
      <c r="M913" s="14"/>
      <c r="N913" s="14"/>
      <c r="O913" s="14"/>
      <c r="P913" s="14"/>
      <c r="Q913" s="14"/>
    </row>
    <row r="914" spans="1:17" ht="15">
      <c r="A914" s="72"/>
      <c r="B914" s="125" t="s">
        <v>208</v>
      </c>
      <c r="C914" s="206">
        <f>C915+C918</f>
        <v>4344</v>
      </c>
      <c r="D914" s="70"/>
      <c r="E914" s="14"/>
      <c r="F914" s="14"/>
      <c r="G914" s="14"/>
      <c r="H914" s="14"/>
      <c r="I914" s="14"/>
      <c r="J914" s="14"/>
      <c r="K914" s="14"/>
      <c r="L914" s="14"/>
      <c r="M914" s="14"/>
      <c r="N914" s="14"/>
      <c r="O914" s="14"/>
      <c r="P914" s="14"/>
      <c r="Q914" s="14"/>
    </row>
    <row r="915" spans="1:17" ht="15">
      <c r="A915" s="72"/>
      <c r="B915" s="102" t="s">
        <v>200</v>
      </c>
      <c r="C915" s="136">
        <f>J305+J300</f>
        <v>97</v>
      </c>
      <c r="D915" s="70"/>
      <c r="E915" s="14"/>
      <c r="F915" s="14"/>
      <c r="G915" s="14"/>
      <c r="H915" s="14"/>
      <c r="I915" s="14"/>
      <c r="J915" s="14"/>
      <c r="K915" s="69"/>
      <c r="L915" s="14"/>
      <c r="M915" s="14"/>
      <c r="N915" s="14"/>
      <c r="O915" s="14"/>
      <c r="P915" s="14"/>
      <c r="Q915" s="14"/>
    </row>
    <row r="916" spans="1:17" ht="45">
      <c r="A916" s="72"/>
      <c r="B916" s="105" t="s">
        <v>483</v>
      </c>
      <c r="C916" s="207">
        <v>46</v>
      </c>
      <c r="D916" s="70"/>
      <c r="E916" s="14"/>
      <c r="F916" s="14"/>
      <c r="G916" s="14"/>
      <c r="H916" s="14"/>
      <c r="I916" s="14"/>
      <c r="J916" s="14"/>
      <c r="K916" s="14"/>
      <c r="L916" s="14"/>
      <c r="M916" s="14"/>
      <c r="N916" s="14"/>
      <c r="O916" s="14"/>
      <c r="P916" s="14"/>
      <c r="Q916" s="14"/>
    </row>
    <row r="917" spans="1:17" ht="45">
      <c r="A917" s="72"/>
      <c r="B917" s="105" t="s">
        <v>484</v>
      </c>
      <c r="C917" s="207">
        <v>51</v>
      </c>
      <c r="D917" s="70"/>
      <c r="E917" s="14"/>
      <c r="F917" s="14"/>
      <c r="G917" s="14"/>
      <c r="H917" s="14"/>
      <c r="I917" s="14"/>
      <c r="J917" s="14"/>
      <c r="K917" s="14"/>
      <c r="L917" s="14"/>
      <c r="M917" s="14"/>
      <c r="N917" s="14"/>
      <c r="O917" s="14"/>
      <c r="P917" s="14"/>
      <c r="Q917" s="14"/>
    </row>
    <row r="918" spans="1:17" ht="15">
      <c r="A918" s="72"/>
      <c r="B918" s="102" t="s">
        <v>499</v>
      </c>
      <c r="C918" s="136">
        <f>J267-90</f>
        <v>4247</v>
      </c>
      <c r="D918" s="70"/>
      <c r="E918" s="14"/>
      <c r="F918" s="14"/>
      <c r="G918" s="14"/>
      <c r="H918" s="14"/>
      <c r="I918" s="14"/>
      <c r="J918" s="69"/>
      <c r="K918" s="14"/>
      <c r="L918" s="14"/>
      <c r="M918" s="14"/>
      <c r="N918" s="14"/>
      <c r="O918" s="14"/>
      <c r="P918" s="14"/>
      <c r="Q918" s="14"/>
    </row>
    <row r="919" spans="1:17" ht="15">
      <c r="A919" s="72"/>
      <c r="B919" s="77" t="s">
        <v>508</v>
      </c>
      <c r="C919" s="136">
        <v>1400</v>
      </c>
      <c r="D919" s="70"/>
      <c r="E919" s="14"/>
      <c r="F919" s="14"/>
      <c r="G919" s="14"/>
      <c r="H919" s="14"/>
      <c r="I919" s="14"/>
      <c r="J919" s="14"/>
      <c r="K919" s="14"/>
      <c r="L919" s="14"/>
      <c r="M919" s="14"/>
      <c r="N919" s="14"/>
      <c r="O919" s="14"/>
      <c r="P919" s="14"/>
      <c r="Q919" s="14"/>
    </row>
    <row r="920" spans="1:17" ht="15">
      <c r="A920" s="72"/>
      <c r="B920" s="77" t="s">
        <v>500</v>
      </c>
      <c r="C920" s="136">
        <f>230+129</f>
        <v>359</v>
      </c>
      <c r="D920" s="70"/>
      <c r="E920" s="14"/>
      <c r="F920" s="14"/>
      <c r="G920" s="14"/>
      <c r="H920" s="14"/>
      <c r="I920" s="14"/>
      <c r="J920" s="14"/>
      <c r="K920" s="14"/>
      <c r="L920" s="14"/>
      <c r="M920" s="14"/>
      <c r="N920" s="14"/>
      <c r="O920" s="14"/>
      <c r="P920" s="14"/>
      <c r="Q920" s="14"/>
    </row>
    <row r="921" spans="1:17" ht="72.75" customHeight="1">
      <c r="A921" s="72"/>
      <c r="B921" s="105" t="s">
        <v>495</v>
      </c>
      <c r="C921" s="137">
        <v>90</v>
      </c>
      <c r="D921" s="70"/>
      <c r="E921" s="14"/>
      <c r="F921" s="14"/>
      <c r="G921" s="14"/>
      <c r="H921" s="14"/>
      <c r="I921" s="14"/>
      <c r="J921" s="14"/>
      <c r="K921" s="14"/>
      <c r="L921" s="14"/>
      <c r="M921" s="14"/>
      <c r="N921" s="14"/>
      <c r="O921" s="14"/>
      <c r="P921" s="14"/>
      <c r="Q921" s="14"/>
    </row>
    <row r="922" spans="1:17" ht="72.75" customHeight="1">
      <c r="A922" s="72"/>
      <c r="B922" s="105" t="s">
        <v>545</v>
      </c>
      <c r="C922" s="137">
        <v>120</v>
      </c>
      <c r="D922" s="70"/>
      <c r="E922" s="14"/>
      <c r="F922" s="14"/>
      <c r="G922" s="14"/>
      <c r="H922" s="14"/>
      <c r="I922" s="14"/>
      <c r="J922" s="14"/>
      <c r="K922" s="14"/>
      <c r="L922" s="14"/>
      <c r="M922" s="14"/>
      <c r="N922" s="14"/>
      <c r="O922" s="14"/>
      <c r="P922" s="14"/>
      <c r="Q922" s="14"/>
    </row>
    <row r="923" spans="1:17" ht="30">
      <c r="A923" s="72"/>
      <c r="B923" s="105" t="s">
        <v>497</v>
      </c>
      <c r="C923" s="137">
        <v>200</v>
      </c>
      <c r="D923" s="70"/>
      <c r="E923" s="14"/>
      <c r="F923" s="14"/>
      <c r="G923" s="14"/>
      <c r="H923" s="14"/>
      <c r="I923" s="14"/>
      <c r="J923" s="14"/>
      <c r="K923" s="14"/>
      <c r="L923" s="14"/>
      <c r="M923" s="14"/>
      <c r="N923" s="14"/>
      <c r="O923" s="14"/>
      <c r="P923" s="14"/>
      <c r="Q923" s="14"/>
    </row>
    <row r="924" spans="1:17" ht="55.5" customHeight="1">
      <c r="A924" s="72"/>
      <c r="B924" s="105" t="s">
        <v>498</v>
      </c>
      <c r="C924" s="137">
        <v>150</v>
      </c>
      <c r="D924" s="70"/>
      <c r="E924" s="14"/>
      <c r="F924" s="14"/>
      <c r="G924" s="14"/>
      <c r="H924" s="14"/>
      <c r="I924" s="14"/>
      <c r="J924" s="14"/>
      <c r="K924" s="14"/>
      <c r="L924" s="14"/>
      <c r="M924" s="14"/>
      <c r="N924" s="14"/>
      <c r="O924" s="14"/>
      <c r="P924" s="14"/>
      <c r="Q924" s="14"/>
    </row>
    <row r="925" spans="1:17" ht="60">
      <c r="A925" s="72"/>
      <c r="B925" s="105" t="s">
        <v>521</v>
      </c>
      <c r="C925" s="137">
        <v>150</v>
      </c>
      <c r="D925" s="70"/>
      <c r="E925" s="14"/>
      <c r="F925" s="14"/>
      <c r="G925" s="14"/>
      <c r="H925" s="14"/>
      <c r="I925" s="14"/>
      <c r="J925" s="14"/>
      <c r="K925" s="14"/>
      <c r="L925" s="14"/>
      <c r="M925" s="14"/>
      <c r="N925" s="14"/>
      <c r="O925" s="14"/>
      <c r="P925" s="14"/>
      <c r="Q925" s="14"/>
    </row>
    <row r="926" spans="1:17" ht="45">
      <c r="A926" s="72"/>
      <c r="B926" s="105" t="s">
        <v>517</v>
      </c>
      <c r="C926" s="137">
        <v>650</v>
      </c>
      <c r="D926" s="70"/>
      <c r="E926" s="14"/>
      <c r="F926" s="14"/>
      <c r="G926" s="14"/>
      <c r="H926" s="14"/>
      <c r="I926" s="14"/>
      <c r="J926" s="14"/>
      <c r="K926" s="14"/>
      <c r="L926" s="14"/>
      <c r="M926" s="14"/>
      <c r="N926" s="14"/>
      <c r="O926" s="14"/>
      <c r="P926" s="14"/>
      <c r="Q926" s="14"/>
    </row>
    <row r="927" spans="1:17" ht="30">
      <c r="A927" s="72"/>
      <c r="B927" s="105" t="s">
        <v>518</v>
      </c>
      <c r="C927" s="137">
        <v>38</v>
      </c>
      <c r="D927" s="70"/>
      <c r="E927" s="14"/>
      <c r="F927" s="14"/>
      <c r="G927" s="14"/>
      <c r="H927" s="14"/>
      <c r="I927" s="14"/>
      <c r="J927" s="14">
        <v>90</v>
      </c>
      <c r="K927" s="14"/>
      <c r="L927" s="14"/>
      <c r="M927" s="14"/>
      <c r="N927" s="14"/>
      <c r="O927" s="14"/>
      <c r="P927" s="14"/>
      <c r="Q927" s="14"/>
    </row>
    <row r="928" spans="1:17" ht="30">
      <c r="A928" s="72"/>
      <c r="B928" s="105" t="s">
        <v>519</v>
      </c>
      <c r="C928" s="137">
        <v>920</v>
      </c>
      <c r="D928" s="70"/>
      <c r="E928" s="14"/>
      <c r="F928" s="14"/>
      <c r="G928" s="14"/>
      <c r="H928" s="14"/>
      <c r="I928" s="14"/>
      <c r="J928" s="14"/>
      <c r="K928" s="14"/>
      <c r="L928" s="14"/>
      <c r="M928" s="14"/>
      <c r="N928" s="14"/>
      <c r="O928" s="14"/>
      <c r="P928" s="14"/>
      <c r="Q928" s="14"/>
    </row>
    <row r="929" spans="1:18" ht="30">
      <c r="A929" s="72"/>
      <c r="B929" s="105" t="s">
        <v>538</v>
      </c>
      <c r="C929" s="137">
        <v>120</v>
      </c>
      <c r="D929" s="70"/>
      <c r="E929" s="14"/>
      <c r="F929" s="14"/>
      <c r="G929" s="14"/>
      <c r="H929" s="14"/>
      <c r="I929" s="14"/>
      <c r="J929" s="14"/>
      <c r="K929" s="14"/>
      <c r="L929" s="14"/>
      <c r="M929" s="14"/>
      <c r="N929" s="14"/>
      <c r="O929" s="14"/>
      <c r="P929" s="14"/>
      <c r="Q929" s="14"/>
    </row>
    <row r="930" spans="1:18" ht="45">
      <c r="A930" s="72"/>
      <c r="B930" s="105" t="s">
        <v>539</v>
      </c>
      <c r="C930" s="137">
        <v>50</v>
      </c>
      <c r="D930" s="70"/>
      <c r="E930" s="14"/>
      <c r="F930" s="14"/>
      <c r="G930" s="14"/>
      <c r="H930" s="14"/>
      <c r="I930" s="14"/>
      <c r="J930" s="14"/>
      <c r="K930" s="14"/>
      <c r="L930" s="14"/>
      <c r="M930" s="14"/>
      <c r="N930" s="14"/>
      <c r="O930" s="14"/>
      <c r="P930" s="14"/>
      <c r="Q930" s="14"/>
    </row>
    <row r="931" spans="1:18" ht="0.75" customHeight="1">
      <c r="A931" s="72"/>
      <c r="B931" s="105"/>
      <c r="C931" s="137"/>
      <c r="D931" s="70"/>
      <c r="E931" s="14"/>
      <c r="F931" s="14"/>
      <c r="G931" s="14"/>
      <c r="H931" s="14"/>
      <c r="I931" s="14"/>
      <c r="J931" s="14"/>
      <c r="K931" s="14"/>
      <c r="L931" s="14"/>
      <c r="M931" s="14"/>
      <c r="N931" s="14"/>
      <c r="O931" s="14"/>
      <c r="P931" s="14"/>
      <c r="Q931" s="14"/>
    </row>
    <row r="932" spans="1:18" ht="15" hidden="1">
      <c r="A932" s="72"/>
      <c r="B932" s="105"/>
      <c r="C932" s="137"/>
      <c r="D932" s="70"/>
      <c r="E932" s="14"/>
      <c r="F932" s="14"/>
      <c r="G932" s="14"/>
      <c r="H932" s="14"/>
      <c r="I932" s="14"/>
      <c r="J932" s="14"/>
      <c r="K932" s="14"/>
      <c r="L932" s="14"/>
      <c r="M932" s="14"/>
      <c r="N932" s="14"/>
      <c r="O932" s="14"/>
      <c r="P932" s="14"/>
      <c r="Q932" s="14"/>
    </row>
    <row r="933" spans="1:18" s="4" customFormat="1" ht="15">
      <c r="A933" s="72"/>
      <c r="B933" s="126" t="s">
        <v>501</v>
      </c>
      <c r="C933" s="206">
        <f>C934</f>
        <v>45</v>
      </c>
      <c r="D933" s="70"/>
      <c r="E933" s="14"/>
      <c r="F933" s="14"/>
      <c r="G933" s="14"/>
      <c r="H933" s="14"/>
      <c r="I933" s="14"/>
      <c r="J933" s="14"/>
      <c r="K933" s="14"/>
      <c r="L933" s="14"/>
      <c r="M933" s="14"/>
      <c r="N933" s="14"/>
      <c r="O933" s="14"/>
      <c r="P933" s="14"/>
      <c r="Q933" s="14"/>
      <c r="R933" s="2"/>
    </row>
    <row r="934" spans="1:18" s="4" customFormat="1" ht="15">
      <c r="A934" s="72"/>
      <c r="B934" s="85" t="s">
        <v>277</v>
      </c>
      <c r="C934" s="207">
        <f>J362</f>
        <v>45</v>
      </c>
      <c r="D934" s="70"/>
      <c r="E934" s="14"/>
      <c r="F934" s="14"/>
      <c r="G934" s="14"/>
      <c r="H934" s="14"/>
      <c r="I934" s="14"/>
      <c r="J934" s="14"/>
      <c r="K934" s="14"/>
      <c r="L934" s="14"/>
      <c r="M934" s="14"/>
      <c r="N934" s="14"/>
      <c r="O934" s="14"/>
      <c r="P934" s="14"/>
      <c r="Q934" s="14"/>
      <c r="R934" s="2"/>
    </row>
    <row r="935" spans="1:18" s="4" customFormat="1" ht="15">
      <c r="A935" s="72"/>
      <c r="B935" s="127" t="s">
        <v>499</v>
      </c>
      <c r="C935" s="207">
        <v>45</v>
      </c>
      <c r="D935" s="70"/>
      <c r="E935" s="14"/>
      <c r="F935" s="14"/>
      <c r="G935" s="14"/>
      <c r="H935" s="14"/>
      <c r="I935" s="14"/>
      <c r="J935" s="14"/>
      <c r="K935" s="14"/>
      <c r="L935" s="14"/>
      <c r="M935" s="14"/>
      <c r="N935" s="14"/>
      <c r="O935" s="14"/>
      <c r="P935" s="14"/>
      <c r="Q935" s="14"/>
      <c r="R935" s="2"/>
    </row>
    <row r="936" spans="1:18" s="4" customFormat="1" ht="15">
      <c r="A936" s="72"/>
      <c r="B936" s="126" t="s">
        <v>282</v>
      </c>
      <c r="C936" s="206">
        <f>C937</f>
        <v>277</v>
      </c>
      <c r="D936" s="70"/>
      <c r="E936" s="14"/>
      <c r="F936" s="14"/>
      <c r="G936" s="14"/>
      <c r="H936" s="14"/>
      <c r="I936" s="14"/>
      <c r="J936" s="14"/>
      <c r="K936" s="14"/>
      <c r="L936" s="14"/>
      <c r="M936" s="14"/>
      <c r="N936" s="14"/>
      <c r="O936" s="14"/>
      <c r="P936" s="14"/>
      <c r="Q936" s="14"/>
      <c r="R936" s="2"/>
    </row>
    <row r="937" spans="1:18" s="4" customFormat="1" ht="30">
      <c r="A937" s="72"/>
      <c r="B937" s="105" t="s">
        <v>283</v>
      </c>
      <c r="C937" s="207">
        <f>J378</f>
        <v>277</v>
      </c>
      <c r="D937" s="70"/>
      <c r="E937" s="14"/>
      <c r="F937" s="14"/>
      <c r="G937" s="14"/>
      <c r="H937" s="14"/>
      <c r="I937" s="14"/>
      <c r="J937" s="14"/>
      <c r="K937" s="14"/>
      <c r="L937" s="14"/>
      <c r="M937" s="14"/>
      <c r="N937" s="14"/>
      <c r="O937" s="14"/>
      <c r="P937" s="14"/>
      <c r="Q937" s="14"/>
      <c r="R937" s="2"/>
    </row>
    <row r="938" spans="1:18" s="4" customFormat="1" ht="15">
      <c r="A938" s="72"/>
      <c r="B938" s="127" t="s">
        <v>499</v>
      </c>
      <c r="C938" s="136">
        <v>277</v>
      </c>
      <c r="D938" s="70"/>
      <c r="E938" s="14"/>
      <c r="F938" s="14"/>
      <c r="G938" s="14"/>
      <c r="H938" s="14"/>
      <c r="I938" s="14"/>
      <c r="J938" s="14"/>
      <c r="K938" s="14"/>
      <c r="L938" s="14"/>
      <c r="M938" s="14"/>
      <c r="N938" s="14"/>
      <c r="O938" s="14"/>
      <c r="P938" s="14"/>
      <c r="Q938" s="14"/>
      <c r="R938" s="2"/>
    </row>
    <row r="939" spans="1:18" s="4" customFormat="1" ht="15">
      <c r="A939" s="72"/>
      <c r="B939" s="126" t="s">
        <v>502</v>
      </c>
      <c r="C939" s="206">
        <f>C940</f>
        <v>9891</v>
      </c>
      <c r="D939" s="70"/>
      <c r="E939" s="14"/>
      <c r="F939" s="14"/>
      <c r="G939" s="14"/>
      <c r="H939" s="14"/>
      <c r="I939" s="14"/>
      <c r="J939" s="14"/>
      <c r="K939" s="14"/>
      <c r="L939" s="14"/>
      <c r="M939" s="14"/>
      <c r="N939" s="14"/>
      <c r="O939" s="14"/>
      <c r="P939" s="14"/>
      <c r="Q939" s="14"/>
      <c r="R939" s="2"/>
    </row>
    <row r="940" spans="1:18" s="4" customFormat="1" ht="15">
      <c r="A940" s="72"/>
      <c r="B940" s="77" t="s">
        <v>287</v>
      </c>
      <c r="C940" s="136">
        <f>J487</f>
        <v>9891</v>
      </c>
      <c r="D940" s="70"/>
      <c r="E940" s="14"/>
      <c r="F940" s="14"/>
      <c r="G940" s="14"/>
      <c r="H940" s="14"/>
      <c r="I940" s="14"/>
      <c r="J940" s="14"/>
      <c r="K940" s="14"/>
      <c r="L940" s="14"/>
      <c r="M940" s="14"/>
      <c r="N940" s="14"/>
      <c r="O940" s="14"/>
      <c r="P940" s="14"/>
      <c r="Q940" s="14"/>
      <c r="R940" s="2"/>
    </row>
    <row r="941" spans="1:18" s="4" customFormat="1" ht="15">
      <c r="A941" s="72"/>
      <c r="B941" s="125" t="s">
        <v>503</v>
      </c>
      <c r="C941" s="208">
        <f>C942+C944+C946+C948+C950+C952+C954+C956+C958</f>
        <v>4543</v>
      </c>
      <c r="D941" s="70"/>
      <c r="E941" s="14"/>
      <c r="F941" s="14"/>
      <c r="G941" s="14"/>
      <c r="H941" s="14"/>
      <c r="I941" s="14"/>
      <c r="J941" s="14"/>
      <c r="K941" s="14"/>
      <c r="L941" s="14"/>
      <c r="M941" s="14"/>
      <c r="N941" s="14"/>
      <c r="O941" s="14"/>
      <c r="P941" s="14"/>
      <c r="Q941" s="14"/>
      <c r="R941" s="2"/>
    </row>
    <row r="942" spans="1:18" s="4" customFormat="1" ht="15">
      <c r="A942" s="72"/>
      <c r="B942" s="85" t="s">
        <v>348</v>
      </c>
      <c r="C942" s="207">
        <f>J544</f>
        <v>232</v>
      </c>
      <c r="D942" s="70"/>
      <c r="E942" s="14"/>
      <c r="F942" s="14"/>
      <c r="G942" s="14"/>
      <c r="H942" s="14"/>
      <c r="I942" s="14"/>
      <c r="J942" s="14"/>
      <c r="K942" s="14"/>
      <c r="L942" s="14"/>
      <c r="M942" s="14"/>
      <c r="N942" s="14"/>
      <c r="O942" s="14"/>
      <c r="P942" s="14"/>
      <c r="Q942" s="14"/>
      <c r="R942" s="2"/>
    </row>
    <row r="943" spans="1:18" s="4" customFormat="1" ht="15">
      <c r="A943" s="72"/>
      <c r="B943" s="85" t="s">
        <v>197</v>
      </c>
      <c r="C943" s="207">
        <f>C942</f>
        <v>232</v>
      </c>
      <c r="D943" s="70"/>
      <c r="E943" s="14"/>
      <c r="F943" s="14"/>
      <c r="G943" s="14"/>
      <c r="H943" s="14"/>
      <c r="I943" s="14"/>
      <c r="J943" s="14"/>
      <c r="K943" s="14"/>
      <c r="L943" s="14"/>
      <c r="M943" s="14"/>
      <c r="N943" s="14"/>
      <c r="O943" s="14"/>
      <c r="P943" s="14"/>
      <c r="Q943" s="14"/>
      <c r="R943" s="2"/>
    </row>
    <row r="944" spans="1:18" s="4" customFormat="1" ht="15">
      <c r="A944" s="72"/>
      <c r="B944" s="85" t="s">
        <v>352</v>
      </c>
      <c r="C944" s="207">
        <f>J552</f>
        <v>1263</v>
      </c>
      <c r="D944" s="70"/>
      <c r="E944" s="14"/>
      <c r="F944" s="14"/>
      <c r="G944" s="14"/>
      <c r="H944" s="14"/>
      <c r="I944" s="14"/>
      <c r="J944" s="14"/>
      <c r="K944" s="14"/>
      <c r="L944" s="14"/>
      <c r="M944" s="14"/>
      <c r="N944" s="14"/>
      <c r="O944" s="14"/>
      <c r="P944" s="14"/>
      <c r="Q944" s="14"/>
      <c r="R944" s="2"/>
    </row>
    <row r="945" spans="1:18" s="4" customFormat="1" ht="15">
      <c r="A945" s="72"/>
      <c r="B945" s="85" t="s">
        <v>197</v>
      </c>
      <c r="C945" s="207">
        <f>C944</f>
        <v>1263</v>
      </c>
      <c r="D945" s="70"/>
      <c r="E945" s="14"/>
      <c r="F945" s="14"/>
      <c r="G945" s="14"/>
      <c r="H945" s="14"/>
      <c r="I945" s="14"/>
      <c r="J945" s="14"/>
      <c r="K945" s="14"/>
      <c r="L945" s="14"/>
      <c r="M945" s="14"/>
      <c r="N945" s="14"/>
      <c r="O945" s="14"/>
      <c r="P945" s="14"/>
      <c r="Q945" s="14"/>
      <c r="R945" s="2"/>
    </row>
    <row r="946" spans="1:18" s="4" customFormat="1" ht="30">
      <c r="A946" s="72"/>
      <c r="B946" s="105" t="s">
        <v>354</v>
      </c>
      <c r="C946" s="207">
        <f>J557</f>
        <v>250</v>
      </c>
      <c r="D946" s="70"/>
      <c r="E946" s="14"/>
      <c r="F946" s="14"/>
      <c r="G946" s="14"/>
      <c r="H946" s="14"/>
      <c r="I946" s="14"/>
      <c r="J946" s="14"/>
      <c r="K946" s="14"/>
      <c r="L946" s="14"/>
      <c r="M946" s="14"/>
      <c r="N946" s="14"/>
      <c r="O946" s="14"/>
      <c r="P946" s="14"/>
      <c r="Q946" s="14"/>
      <c r="R946" s="2"/>
    </row>
    <row r="947" spans="1:18" s="4" customFormat="1" ht="15">
      <c r="A947" s="72"/>
      <c r="B947" s="128" t="s">
        <v>200</v>
      </c>
      <c r="C947" s="207">
        <v>250</v>
      </c>
      <c r="D947" s="70"/>
      <c r="E947" s="14"/>
      <c r="F947" s="14"/>
      <c r="G947" s="14"/>
      <c r="H947" s="14"/>
      <c r="I947" s="14"/>
      <c r="J947" s="14"/>
      <c r="K947" s="14"/>
      <c r="L947" s="14"/>
      <c r="M947" s="14"/>
      <c r="N947" s="14"/>
      <c r="O947" s="14"/>
      <c r="P947" s="14"/>
      <c r="Q947" s="14"/>
      <c r="R947" s="2"/>
    </row>
    <row r="948" spans="1:18" s="4" customFormat="1" ht="30">
      <c r="A948" s="72"/>
      <c r="B948" s="129" t="s">
        <v>357</v>
      </c>
      <c r="C948" s="207">
        <f>J564</f>
        <v>210</v>
      </c>
      <c r="D948" s="70"/>
      <c r="E948" s="14"/>
      <c r="F948" s="14"/>
      <c r="G948" s="14"/>
      <c r="H948" s="14"/>
      <c r="I948" s="14"/>
      <c r="J948" s="14"/>
      <c r="K948" s="14"/>
      <c r="L948" s="14"/>
      <c r="M948" s="14"/>
      <c r="N948" s="14"/>
      <c r="O948" s="14"/>
      <c r="P948" s="14"/>
      <c r="Q948" s="14"/>
      <c r="R948" s="2"/>
    </row>
    <row r="949" spans="1:18" s="4" customFormat="1" ht="15">
      <c r="A949" s="72"/>
      <c r="B949" s="128" t="s">
        <v>200</v>
      </c>
      <c r="C949" s="207">
        <v>210</v>
      </c>
      <c r="D949" s="70"/>
      <c r="E949" s="14"/>
      <c r="F949" s="14"/>
      <c r="G949" s="14"/>
      <c r="H949" s="14"/>
      <c r="I949" s="14"/>
      <c r="J949" s="14"/>
      <c r="K949" s="14"/>
      <c r="L949" s="14"/>
      <c r="M949" s="14"/>
      <c r="N949" s="14"/>
      <c r="O949" s="14"/>
      <c r="P949" s="14"/>
      <c r="Q949" s="14"/>
      <c r="R949" s="2"/>
    </row>
    <row r="950" spans="1:18" s="4" customFormat="1" ht="15">
      <c r="A950" s="72"/>
      <c r="B950" s="85" t="s">
        <v>360</v>
      </c>
      <c r="C950" s="207">
        <f>J574</f>
        <v>543</v>
      </c>
      <c r="D950" s="70"/>
      <c r="E950" s="14"/>
      <c r="F950" s="14"/>
      <c r="G950" s="14"/>
      <c r="H950" s="14"/>
      <c r="I950" s="14"/>
      <c r="J950" s="14"/>
      <c r="K950" s="14"/>
      <c r="L950" s="14"/>
      <c r="M950" s="14"/>
      <c r="N950" s="14"/>
      <c r="O950" s="14"/>
      <c r="P950" s="14"/>
      <c r="Q950" s="14"/>
      <c r="R950" s="2"/>
    </row>
    <row r="951" spans="1:18" s="4" customFormat="1" ht="15">
      <c r="A951" s="72"/>
      <c r="B951" s="85" t="s">
        <v>197</v>
      </c>
      <c r="C951" s="207">
        <v>543</v>
      </c>
      <c r="D951" s="70"/>
      <c r="E951" s="14"/>
      <c r="F951" s="14"/>
      <c r="G951" s="14"/>
      <c r="H951" s="14"/>
      <c r="I951" s="14"/>
      <c r="J951" s="14"/>
      <c r="K951" s="14"/>
      <c r="L951" s="14"/>
      <c r="M951" s="14"/>
      <c r="N951" s="14"/>
      <c r="O951" s="14"/>
      <c r="P951" s="14"/>
      <c r="Q951" s="14"/>
      <c r="R951" s="2"/>
    </row>
    <row r="952" spans="1:18" s="4" customFormat="1" ht="15">
      <c r="A952" s="72"/>
      <c r="B952" s="85" t="s">
        <v>362</v>
      </c>
      <c r="C952" s="207">
        <f>J583</f>
        <v>130</v>
      </c>
      <c r="D952" s="70"/>
      <c r="E952" s="14"/>
      <c r="F952" s="14"/>
      <c r="G952" s="14"/>
      <c r="H952" s="14"/>
      <c r="I952" s="14"/>
      <c r="J952" s="14"/>
      <c r="K952" s="14"/>
      <c r="L952" s="14"/>
      <c r="M952" s="14"/>
      <c r="N952" s="14"/>
      <c r="O952" s="14"/>
      <c r="P952" s="14"/>
      <c r="Q952" s="14"/>
      <c r="R952" s="2"/>
    </row>
    <row r="953" spans="1:18" s="4" customFormat="1" ht="15">
      <c r="A953" s="72"/>
      <c r="B953" s="85" t="s">
        <v>197</v>
      </c>
      <c r="C953" s="207">
        <v>130</v>
      </c>
      <c r="D953" s="70"/>
      <c r="E953" s="14"/>
      <c r="F953" s="14"/>
      <c r="G953" s="14"/>
      <c r="H953" s="14"/>
      <c r="I953" s="14"/>
      <c r="J953" s="14"/>
      <c r="K953" s="14"/>
      <c r="L953" s="14"/>
      <c r="M953" s="14"/>
      <c r="N953" s="14"/>
      <c r="O953" s="14"/>
      <c r="P953" s="14"/>
      <c r="Q953" s="14"/>
      <c r="R953" s="2"/>
    </row>
    <row r="954" spans="1:18" s="4" customFormat="1" ht="15">
      <c r="A954" s="72"/>
      <c r="B954" s="85" t="s">
        <v>364</v>
      </c>
      <c r="C954" s="207">
        <f>J591</f>
        <v>36</v>
      </c>
      <c r="D954" s="70"/>
      <c r="E954" s="14"/>
      <c r="F954" s="14"/>
      <c r="G954" s="14"/>
      <c r="H954" s="14"/>
      <c r="I954" s="14"/>
      <c r="J954" s="14"/>
      <c r="K954" s="14"/>
      <c r="L954" s="14"/>
      <c r="M954" s="14"/>
      <c r="N954" s="14"/>
      <c r="O954" s="14"/>
      <c r="P954" s="14"/>
      <c r="Q954" s="14"/>
      <c r="R954" s="2"/>
    </row>
    <row r="955" spans="1:18" s="4" customFormat="1" ht="15">
      <c r="A955" s="72"/>
      <c r="B955" s="85" t="s">
        <v>197</v>
      </c>
      <c r="C955" s="207">
        <v>36</v>
      </c>
      <c r="D955" s="70"/>
      <c r="E955" s="14"/>
      <c r="F955" s="14"/>
      <c r="G955" s="14"/>
      <c r="H955" s="14"/>
      <c r="I955" s="14"/>
      <c r="J955" s="14"/>
      <c r="K955" s="14"/>
      <c r="L955" s="14"/>
      <c r="M955" s="14"/>
      <c r="N955" s="14"/>
      <c r="O955" s="14"/>
      <c r="P955" s="14"/>
      <c r="Q955" s="14"/>
      <c r="R955" s="2"/>
    </row>
    <row r="956" spans="1:18" s="4" customFormat="1" ht="15">
      <c r="A956" s="72"/>
      <c r="B956" s="105" t="s">
        <v>504</v>
      </c>
      <c r="C956" s="207">
        <f>J599</f>
        <v>1870</v>
      </c>
      <c r="D956" s="70"/>
      <c r="E956" s="14"/>
      <c r="F956" s="14"/>
      <c r="G956" s="14"/>
      <c r="H956" s="14"/>
      <c r="I956" s="14"/>
      <c r="J956" s="14"/>
      <c r="K956" s="14"/>
      <c r="L956" s="14"/>
      <c r="M956" s="14"/>
      <c r="N956" s="14"/>
      <c r="O956" s="14"/>
      <c r="P956" s="14"/>
      <c r="Q956" s="14"/>
      <c r="R956" s="2"/>
    </row>
    <row r="957" spans="1:18" s="4" customFormat="1" ht="15">
      <c r="A957" s="72"/>
      <c r="B957" s="85" t="s">
        <v>197</v>
      </c>
      <c r="C957" s="207">
        <v>1870</v>
      </c>
      <c r="D957" s="70"/>
      <c r="E957" s="14"/>
      <c r="F957" s="14"/>
      <c r="G957" s="14"/>
      <c r="H957" s="14"/>
      <c r="I957" s="14"/>
      <c r="J957" s="14"/>
      <c r="K957" s="14"/>
      <c r="L957" s="14"/>
      <c r="M957" s="14"/>
      <c r="N957" s="14"/>
      <c r="O957" s="14"/>
      <c r="P957" s="14"/>
      <c r="Q957" s="14"/>
      <c r="R957" s="2"/>
    </row>
    <row r="958" spans="1:18" s="4" customFormat="1" ht="15">
      <c r="A958" s="72"/>
      <c r="B958" s="85" t="s">
        <v>370</v>
      </c>
      <c r="C958" s="207">
        <f>J612</f>
        <v>9</v>
      </c>
      <c r="D958" s="70"/>
      <c r="E958" s="14"/>
      <c r="F958" s="14"/>
      <c r="G958" s="14"/>
      <c r="H958" s="14"/>
      <c r="I958" s="14"/>
      <c r="J958" s="14"/>
      <c r="K958" s="14"/>
      <c r="L958" s="14"/>
      <c r="M958" s="14"/>
      <c r="N958" s="14"/>
      <c r="O958" s="14"/>
      <c r="P958" s="14"/>
      <c r="Q958" s="14"/>
      <c r="R958" s="2"/>
    </row>
    <row r="959" spans="1:18" s="4" customFormat="1" ht="15">
      <c r="A959" s="72"/>
      <c r="B959" s="85" t="s">
        <v>197</v>
      </c>
      <c r="C959" s="207">
        <v>9</v>
      </c>
      <c r="D959" s="70"/>
      <c r="E959" s="14"/>
      <c r="F959" s="14"/>
      <c r="G959" s="14"/>
      <c r="H959" s="14"/>
      <c r="I959" s="14"/>
      <c r="J959" s="14"/>
      <c r="K959" s="14"/>
      <c r="L959" s="14"/>
      <c r="M959" s="14"/>
      <c r="N959" s="14"/>
      <c r="O959" s="14"/>
      <c r="P959" s="14"/>
      <c r="Q959" s="14"/>
      <c r="R959" s="2"/>
    </row>
    <row r="960" spans="1:18" s="4" customFormat="1" ht="15">
      <c r="A960" s="72"/>
      <c r="B960" s="125" t="s">
        <v>505</v>
      </c>
      <c r="C960" s="206">
        <f>C961+C963+C965+C967+C969+C973+C975+C977+C971</f>
        <v>3903</v>
      </c>
      <c r="D960" s="70"/>
      <c r="E960" s="14"/>
      <c r="F960" s="14"/>
      <c r="G960" s="14"/>
      <c r="H960" s="14"/>
      <c r="I960" s="14"/>
      <c r="J960" s="14"/>
      <c r="K960" s="14"/>
      <c r="L960" s="14"/>
      <c r="M960" s="14"/>
      <c r="N960" s="14"/>
      <c r="O960" s="14"/>
      <c r="P960" s="14"/>
      <c r="Q960" s="14"/>
      <c r="R960" s="2"/>
    </row>
    <row r="961" spans="1:18" s="4" customFormat="1" ht="29.25">
      <c r="A961" s="72"/>
      <c r="B961" s="76" t="s">
        <v>377</v>
      </c>
      <c r="C961" s="136">
        <f>J650</f>
        <v>1576</v>
      </c>
      <c r="D961" s="70"/>
      <c r="E961" s="14"/>
      <c r="F961" s="14"/>
      <c r="G961" s="14"/>
      <c r="H961" s="14"/>
      <c r="I961" s="14"/>
      <c r="J961" s="14"/>
      <c r="K961" s="14"/>
      <c r="L961" s="14"/>
      <c r="M961" s="14"/>
      <c r="N961" s="14"/>
      <c r="O961" s="14"/>
      <c r="P961" s="14"/>
      <c r="Q961" s="14"/>
      <c r="R961" s="2"/>
    </row>
    <row r="962" spans="1:18" s="4" customFormat="1" ht="15">
      <c r="A962" s="72"/>
      <c r="B962" s="127" t="s">
        <v>499</v>
      </c>
      <c r="C962" s="136">
        <v>1576</v>
      </c>
      <c r="D962" s="70"/>
      <c r="E962" s="14"/>
      <c r="F962" s="14"/>
      <c r="G962" s="14"/>
      <c r="H962" s="14"/>
      <c r="I962" s="14"/>
      <c r="J962" s="14"/>
      <c r="K962" s="14"/>
      <c r="L962" s="14"/>
      <c r="M962" s="14"/>
      <c r="N962" s="14"/>
      <c r="O962" s="14"/>
      <c r="P962" s="14"/>
      <c r="Q962" s="14"/>
      <c r="R962" s="2">
        <v>504</v>
      </c>
    </row>
    <row r="963" spans="1:18" s="4" customFormat="1" ht="15">
      <c r="A963" s="72"/>
      <c r="B963" s="130" t="s">
        <v>392</v>
      </c>
      <c r="C963" s="136">
        <f>J669</f>
        <v>8</v>
      </c>
      <c r="D963" s="70"/>
      <c r="E963" s="14"/>
      <c r="F963" s="14"/>
      <c r="G963" s="14"/>
      <c r="H963" s="14"/>
      <c r="I963" s="14"/>
      <c r="J963" s="14"/>
      <c r="K963" s="14"/>
      <c r="L963" s="14"/>
      <c r="M963" s="14"/>
      <c r="N963" s="14"/>
      <c r="O963" s="14"/>
      <c r="P963" s="14"/>
      <c r="Q963" s="14"/>
      <c r="R963" s="2"/>
    </row>
    <row r="964" spans="1:18" s="4" customFormat="1" ht="15">
      <c r="A964" s="72"/>
      <c r="B964" s="128" t="s">
        <v>499</v>
      </c>
      <c r="C964" s="136">
        <v>8</v>
      </c>
      <c r="D964" s="70"/>
      <c r="E964" s="14"/>
      <c r="F964" s="14"/>
      <c r="G964" s="14"/>
      <c r="H964" s="14"/>
      <c r="I964" s="14"/>
      <c r="J964" s="14"/>
      <c r="K964" s="14"/>
      <c r="L964" s="14"/>
      <c r="M964" s="14"/>
      <c r="N964" s="14"/>
      <c r="O964" s="14"/>
      <c r="P964" s="14"/>
      <c r="Q964" s="14"/>
      <c r="R964" s="2"/>
    </row>
    <row r="965" spans="1:18" s="4" customFormat="1" ht="15">
      <c r="A965" s="72"/>
      <c r="B965" s="130" t="s">
        <v>395</v>
      </c>
      <c r="C965" s="136">
        <f>J676</f>
        <v>6</v>
      </c>
      <c r="D965" s="70"/>
      <c r="E965" s="14"/>
      <c r="F965" s="14"/>
      <c r="G965" s="14"/>
      <c r="H965" s="14"/>
      <c r="I965" s="14"/>
      <c r="J965" s="14"/>
      <c r="K965" s="14"/>
      <c r="L965" s="14"/>
      <c r="M965" s="14"/>
      <c r="N965" s="14"/>
      <c r="O965" s="14"/>
      <c r="P965" s="14"/>
      <c r="Q965" s="14"/>
      <c r="R965" s="2"/>
    </row>
    <row r="966" spans="1:18" s="4" customFormat="1" ht="15">
      <c r="A966" s="72"/>
      <c r="B966" s="128" t="s">
        <v>499</v>
      </c>
      <c r="C966" s="136">
        <v>6</v>
      </c>
      <c r="D966" s="70"/>
      <c r="E966" s="14"/>
      <c r="F966" s="14"/>
      <c r="G966" s="14"/>
      <c r="H966" s="14"/>
      <c r="I966" s="14"/>
      <c r="J966" s="14"/>
      <c r="K966" s="14"/>
      <c r="L966" s="14"/>
      <c r="M966" s="14"/>
      <c r="N966" s="14"/>
      <c r="O966" s="14"/>
      <c r="P966" s="14"/>
      <c r="Q966" s="14"/>
      <c r="R966" s="2"/>
    </row>
    <row r="967" spans="1:18" s="4" customFormat="1" ht="29.25">
      <c r="A967" s="72"/>
      <c r="B967" s="131" t="s">
        <v>398</v>
      </c>
      <c r="C967" s="136">
        <f>J683</f>
        <v>42</v>
      </c>
      <c r="D967" s="70"/>
      <c r="E967" s="14"/>
      <c r="F967" s="14"/>
      <c r="G967" s="14"/>
      <c r="H967" s="14"/>
      <c r="I967" s="14"/>
      <c r="J967" s="14"/>
      <c r="K967" s="14"/>
      <c r="L967" s="14"/>
      <c r="M967" s="14"/>
      <c r="N967" s="14"/>
      <c r="O967" s="14"/>
      <c r="P967" s="14"/>
      <c r="Q967" s="14"/>
      <c r="R967" s="2"/>
    </row>
    <row r="968" spans="1:18" s="4" customFormat="1" ht="15">
      <c r="A968" s="72"/>
      <c r="B968" s="128" t="s">
        <v>499</v>
      </c>
      <c r="C968" s="136">
        <v>42</v>
      </c>
      <c r="D968" s="70"/>
      <c r="E968" s="14"/>
      <c r="F968" s="14"/>
      <c r="G968" s="14"/>
      <c r="H968" s="14"/>
      <c r="I968" s="14"/>
      <c r="J968" s="14"/>
      <c r="K968" s="14"/>
      <c r="L968" s="14"/>
      <c r="M968" s="14"/>
      <c r="N968" s="14"/>
      <c r="O968" s="14"/>
      <c r="P968" s="14"/>
      <c r="Q968" s="14"/>
      <c r="R968" s="2"/>
    </row>
    <row r="969" spans="1:18" s="4" customFormat="1" ht="29.25">
      <c r="A969" s="72"/>
      <c r="B969" s="131" t="s">
        <v>400</v>
      </c>
      <c r="C969" s="136">
        <f>J690</f>
        <v>4</v>
      </c>
      <c r="D969" s="70"/>
      <c r="E969" s="14"/>
      <c r="F969" s="14"/>
      <c r="G969" s="14"/>
      <c r="H969" s="14"/>
      <c r="I969" s="14"/>
      <c r="J969" s="14"/>
      <c r="K969" s="14"/>
      <c r="L969" s="14"/>
      <c r="M969" s="14"/>
      <c r="N969" s="14"/>
      <c r="O969" s="14"/>
      <c r="P969" s="14"/>
      <c r="Q969" s="14"/>
      <c r="R969" s="2"/>
    </row>
    <row r="970" spans="1:18" s="4" customFormat="1" ht="15">
      <c r="A970" s="72"/>
      <c r="B970" s="128" t="s">
        <v>499</v>
      </c>
      <c r="C970" s="136">
        <v>4</v>
      </c>
      <c r="D970" s="70"/>
      <c r="E970" s="14"/>
      <c r="F970" s="14"/>
      <c r="G970" s="14"/>
      <c r="H970" s="14"/>
      <c r="I970" s="14"/>
      <c r="J970" s="14"/>
      <c r="K970" s="14"/>
      <c r="L970" s="14"/>
      <c r="M970" s="14"/>
      <c r="N970" s="14"/>
      <c r="O970" s="14"/>
      <c r="P970" s="14"/>
      <c r="Q970" s="14"/>
      <c r="R970" s="2"/>
    </row>
    <row r="971" spans="1:18" s="4" customFormat="1" ht="29.25">
      <c r="A971" s="72"/>
      <c r="B971" s="131" t="s">
        <v>402</v>
      </c>
      <c r="C971" s="136">
        <f>C972</f>
        <v>71</v>
      </c>
      <c r="D971" s="70"/>
      <c r="E971" s="14"/>
      <c r="F971" s="14"/>
      <c r="G971" s="14"/>
      <c r="H971" s="14"/>
      <c r="I971" s="14"/>
      <c r="J971" s="14"/>
      <c r="K971" s="14"/>
      <c r="L971" s="14"/>
      <c r="M971" s="14"/>
      <c r="N971" s="14"/>
      <c r="O971" s="14"/>
      <c r="P971" s="14"/>
      <c r="Q971" s="14"/>
      <c r="R971" s="2"/>
    </row>
    <row r="972" spans="1:18" s="4" customFormat="1" ht="15">
      <c r="A972" s="72"/>
      <c r="B972" s="128" t="s">
        <v>499</v>
      </c>
      <c r="C972" s="136">
        <f>61+10</f>
        <v>71</v>
      </c>
      <c r="D972" s="70"/>
      <c r="E972" s="14"/>
      <c r="F972" s="14"/>
      <c r="G972" s="14"/>
      <c r="H972" s="14"/>
      <c r="I972" s="14"/>
      <c r="J972" s="14"/>
      <c r="K972" s="14"/>
      <c r="L972" s="14"/>
      <c r="M972" s="14"/>
      <c r="N972" s="14"/>
      <c r="O972" s="14"/>
      <c r="P972" s="14"/>
      <c r="Q972" s="14"/>
      <c r="R972" s="2"/>
    </row>
    <row r="973" spans="1:18" s="4" customFormat="1" ht="15">
      <c r="A973" s="72"/>
      <c r="B973" s="130" t="s">
        <v>408</v>
      </c>
      <c r="C973" s="136">
        <f>J723</f>
        <v>50</v>
      </c>
      <c r="D973" s="70"/>
      <c r="E973" s="14"/>
      <c r="F973" s="14"/>
      <c r="G973" s="14"/>
      <c r="H973" s="14"/>
      <c r="I973" s="14"/>
      <c r="J973" s="14"/>
      <c r="K973" s="14"/>
      <c r="L973" s="14"/>
      <c r="M973" s="14"/>
      <c r="N973" s="14"/>
      <c r="O973" s="14"/>
      <c r="P973" s="14"/>
      <c r="Q973" s="14"/>
      <c r="R973" s="2"/>
    </row>
    <row r="974" spans="1:18" s="4" customFormat="1" ht="15">
      <c r="A974" s="72"/>
      <c r="B974" s="128" t="s">
        <v>499</v>
      </c>
      <c r="C974" s="136">
        <v>50</v>
      </c>
      <c r="D974" s="70"/>
      <c r="E974" s="14"/>
      <c r="F974" s="14"/>
      <c r="G974" s="14"/>
      <c r="H974" s="14"/>
      <c r="I974" s="14"/>
      <c r="J974" s="14"/>
      <c r="K974" s="14"/>
      <c r="L974" s="14"/>
      <c r="M974" s="14"/>
      <c r="N974" s="14"/>
      <c r="O974" s="14"/>
      <c r="P974" s="14"/>
      <c r="Q974" s="14"/>
      <c r="R974" s="2"/>
    </row>
    <row r="975" spans="1:18" s="4" customFormat="1" ht="29.25">
      <c r="A975" s="72"/>
      <c r="B975" s="131" t="s">
        <v>339</v>
      </c>
      <c r="C975" s="136">
        <f>J745</f>
        <v>2083</v>
      </c>
      <c r="D975" s="70"/>
      <c r="E975" s="14"/>
      <c r="F975" s="14"/>
      <c r="G975" s="14"/>
      <c r="H975" s="14"/>
      <c r="I975" s="14"/>
      <c r="J975" s="14"/>
      <c r="K975" s="14"/>
      <c r="L975" s="14"/>
      <c r="M975" s="14"/>
      <c r="N975" s="14"/>
      <c r="O975" s="14"/>
      <c r="P975" s="14"/>
      <c r="Q975" s="14"/>
      <c r="R975" s="2"/>
    </row>
    <row r="976" spans="1:18" s="4" customFormat="1" ht="15">
      <c r="A976" s="72"/>
      <c r="B976" s="85" t="s">
        <v>197</v>
      </c>
      <c r="C976" s="136">
        <v>2083</v>
      </c>
      <c r="D976" s="70"/>
      <c r="E976" s="14"/>
      <c r="F976" s="14"/>
      <c r="G976" s="14"/>
      <c r="H976" s="14"/>
      <c r="I976" s="14"/>
      <c r="J976" s="14">
        <v>1788</v>
      </c>
      <c r="K976" s="14"/>
      <c r="L976" s="14"/>
      <c r="M976" s="14"/>
      <c r="N976" s="14"/>
      <c r="O976" s="14"/>
      <c r="P976" s="14"/>
      <c r="Q976" s="14"/>
      <c r="R976" s="2"/>
    </row>
    <row r="977" spans="1:18" s="4" customFormat="1" ht="15">
      <c r="A977" s="72"/>
      <c r="B977" s="130" t="s">
        <v>420</v>
      </c>
      <c r="C977" s="136">
        <f>J762</f>
        <v>63</v>
      </c>
      <c r="D977" s="70"/>
      <c r="E977" s="14"/>
      <c r="F977" s="14"/>
      <c r="G977" s="14"/>
      <c r="H977" s="14"/>
      <c r="I977" s="14"/>
      <c r="J977" s="14"/>
      <c r="K977" s="14"/>
      <c r="L977" s="14"/>
      <c r="M977" s="14"/>
      <c r="N977" s="14"/>
      <c r="O977" s="14"/>
      <c r="P977" s="14"/>
      <c r="Q977" s="14"/>
      <c r="R977" s="2"/>
    </row>
    <row r="978" spans="1:18" s="4" customFormat="1" ht="15">
      <c r="A978" s="72"/>
      <c r="B978" s="85" t="s">
        <v>197</v>
      </c>
      <c r="C978" s="136">
        <v>63</v>
      </c>
      <c r="D978" s="70"/>
      <c r="E978" s="14"/>
      <c r="F978" s="14"/>
      <c r="G978" s="14"/>
      <c r="H978" s="14"/>
      <c r="I978" s="14"/>
      <c r="J978" s="14"/>
      <c r="K978" s="14"/>
      <c r="L978" s="14"/>
      <c r="M978" s="14"/>
      <c r="N978" s="14"/>
      <c r="O978" s="14"/>
      <c r="P978" s="14"/>
      <c r="Q978" s="14"/>
      <c r="R978" s="2"/>
    </row>
    <row r="979" spans="1:18" s="4" customFormat="1" ht="29.25">
      <c r="A979" s="72"/>
      <c r="B979" s="132" t="s">
        <v>506</v>
      </c>
      <c r="C979" s="206">
        <f>C980+C984+C982</f>
        <v>1333</v>
      </c>
      <c r="D979" s="70"/>
      <c r="E979" s="14"/>
      <c r="F979" s="14"/>
      <c r="G979" s="14"/>
      <c r="H979" s="14"/>
      <c r="I979" s="14"/>
      <c r="J979" s="14"/>
      <c r="K979" s="14"/>
      <c r="L979" s="14"/>
      <c r="M979" s="14"/>
      <c r="N979" s="14"/>
      <c r="O979" s="14"/>
      <c r="P979" s="14"/>
      <c r="Q979" s="14"/>
      <c r="R979" s="2"/>
    </row>
    <row r="980" spans="1:18" s="4" customFormat="1" ht="15">
      <c r="A980" s="72"/>
      <c r="B980" s="85" t="s">
        <v>426</v>
      </c>
      <c r="C980" s="136">
        <f>J800</f>
        <v>125</v>
      </c>
      <c r="D980" s="70"/>
      <c r="E980" s="14"/>
      <c r="F980" s="14"/>
      <c r="G980" s="14"/>
      <c r="H980" s="14"/>
      <c r="I980" s="14"/>
      <c r="J980" s="14"/>
      <c r="K980" s="14"/>
      <c r="L980" s="14"/>
      <c r="M980" s="14"/>
      <c r="N980" s="14"/>
      <c r="O980" s="14"/>
      <c r="P980" s="14"/>
      <c r="Q980" s="14"/>
      <c r="R980" s="2"/>
    </row>
    <row r="981" spans="1:18" s="4" customFormat="1" ht="15">
      <c r="A981" s="72"/>
      <c r="B981" s="128" t="s">
        <v>499</v>
      </c>
      <c r="C981" s="136">
        <f>C980</f>
        <v>125</v>
      </c>
      <c r="D981" s="70"/>
      <c r="E981" s="14"/>
      <c r="F981" s="14"/>
      <c r="G981" s="14"/>
      <c r="H981" s="14"/>
      <c r="I981" s="14"/>
      <c r="J981" s="14"/>
      <c r="K981" s="14"/>
      <c r="L981" s="14"/>
      <c r="M981" s="14"/>
      <c r="N981" s="14"/>
      <c r="O981" s="14"/>
      <c r="P981" s="14"/>
      <c r="Q981" s="14"/>
      <c r="R981" s="2"/>
    </row>
    <row r="982" spans="1:18" s="4" customFormat="1" ht="30">
      <c r="A982" s="72"/>
      <c r="B982" s="88" t="s">
        <v>428</v>
      </c>
      <c r="C982" s="136">
        <v>200</v>
      </c>
      <c r="D982" s="70"/>
      <c r="E982" s="14"/>
      <c r="F982" s="14"/>
      <c r="G982" s="14"/>
      <c r="H982" s="14"/>
      <c r="I982" s="14"/>
      <c r="J982" s="14"/>
      <c r="K982" s="14"/>
      <c r="L982" s="14"/>
      <c r="M982" s="14"/>
      <c r="N982" s="14"/>
      <c r="O982" s="14"/>
      <c r="P982" s="14"/>
      <c r="Q982" s="14"/>
      <c r="R982" s="2"/>
    </row>
    <row r="983" spans="1:18" s="4" customFormat="1" ht="15">
      <c r="A983" s="72"/>
      <c r="B983" s="127" t="s">
        <v>200</v>
      </c>
      <c r="C983" s="136">
        <v>200</v>
      </c>
      <c r="D983" s="70"/>
      <c r="E983" s="14"/>
      <c r="F983" s="14"/>
      <c r="G983" s="14"/>
      <c r="H983" s="14"/>
      <c r="I983" s="14"/>
      <c r="J983" s="14"/>
      <c r="K983" s="14"/>
      <c r="L983" s="14"/>
      <c r="M983" s="14"/>
      <c r="N983" s="14"/>
      <c r="O983" s="14"/>
      <c r="P983" s="14"/>
      <c r="Q983" s="14"/>
      <c r="R983" s="2"/>
    </row>
    <row r="984" spans="1:18" s="4" customFormat="1" ht="30">
      <c r="A984" s="72"/>
      <c r="B984" s="88" t="s">
        <v>430</v>
      </c>
      <c r="C984" s="136">
        <v>1008</v>
      </c>
      <c r="D984" s="70"/>
      <c r="E984" s="14"/>
      <c r="F984" s="14"/>
      <c r="G984" s="14"/>
      <c r="H984" s="14"/>
      <c r="I984" s="14"/>
      <c r="J984" s="14"/>
      <c r="K984" s="14"/>
      <c r="L984" s="14"/>
      <c r="M984" s="14"/>
      <c r="N984" s="14"/>
      <c r="O984" s="14"/>
      <c r="P984" s="14"/>
      <c r="Q984" s="14"/>
      <c r="R984" s="2"/>
    </row>
    <row r="985" spans="1:18" s="4" customFormat="1" ht="15">
      <c r="A985" s="72"/>
      <c r="B985" s="127" t="s">
        <v>200</v>
      </c>
      <c r="C985" s="136">
        <v>1008</v>
      </c>
      <c r="D985" s="70"/>
      <c r="E985" s="14"/>
      <c r="F985" s="14"/>
      <c r="G985" s="14"/>
      <c r="H985" s="14"/>
      <c r="I985" s="14"/>
      <c r="J985" s="14"/>
      <c r="K985" s="14"/>
      <c r="L985" s="14"/>
      <c r="M985" s="14"/>
      <c r="N985" s="14"/>
      <c r="O985" s="14"/>
      <c r="P985" s="14"/>
      <c r="Q985" s="14"/>
      <c r="R985" s="2"/>
    </row>
    <row r="986" spans="1:18" s="4" customFormat="1" ht="15">
      <c r="A986" s="72"/>
      <c r="B986" s="125" t="s">
        <v>447</v>
      </c>
      <c r="C986" s="206">
        <f>C987</f>
        <v>580</v>
      </c>
      <c r="D986" s="70"/>
      <c r="E986" s="14"/>
      <c r="F986" s="14"/>
      <c r="G986" s="14"/>
      <c r="H986" s="14"/>
      <c r="I986" s="14"/>
      <c r="J986" s="14"/>
      <c r="K986" s="14"/>
      <c r="L986" s="14"/>
      <c r="M986" s="14"/>
      <c r="N986" s="14"/>
      <c r="O986" s="14"/>
      <c r="P986" s="14"/>
      <c r="Q986" s="14"/>
      <c r="R986" s="2"/>
    </row>
    <row r="987" spans="1:18" s="4" customFormat="1" ht="15">
      <c r="A987" s="72"/>
      <c r="B987" s="85" t="s">
        <v>449</v>
      </c>
      <c r="C987" s="136">
        <f>J856</f>
        <v>580</v>
      </c>
      <c r="D987" s="70"/>
      <c r="E987" s="14"/>
      <c r="F987" s="14"/>
      <c r="G987" s="14"/>
      <c r="H987" s="14"/>
      <c r="I987" s="14"/>
      <c r="J987" s="14"/>
      <c r="K987" s="14"/>
      <c r="L987" s="14"/>
      <c r="M987" s="14"/>
      <c r="N987" s="14"/>
      <c r="O987" s="14"/>
      <c r="P987" s="14"/>
      <c r="Q987" s="14"/>
      <c r="R987" s="2"/>
    </row>
    <row r="988" spans="1:18" s="4" customFormat="1" ht="15">
      <c r="A988" s="72"/>
      <c r="B988" s="125" t="s">
        <v>464</v>
      </c>
      <c r="C988" s="206">
        <f>C989+C991+C997</f>
        <v>20220</v>
      </c>
      <c r="D988" s="70"/>
      <c r="E988" s="14"/>
      <c r="F988" s="14"/>
      <c r="G988" s="14"/>
      <c r="H988" s="14"/>
      <c r="I988" s="14"/>
      <c r="J988" s="14"/>
      <c r="K988" s="14"/>
      <c r="L988" s="14"/>
      <c r="M988" s="14"/>
      <c r="N988" s="14"/>
      <c r="O988" s="14"/>
      <c r="P988" s="14"/>
      <c r="Q988" s="14"/>
      <c r="R988" s="2"/>
    </row>
    <row r="989" spans="1:18" s="4" customFormat="1" ht="15">
      <c r="A989" s="72"/>
      <c r="B989" s="130" t="s">
        <v>465</v>
      </c>
      <c r="C989" s="136">
        <f>20000-323+200</f>
        <v>19877</v>
      </c>
      <c r="D989" s="70"/>
      <c r="E989" s="14"/>
      <c r="F989" s="14"/>
      <c r="G989" s="14"/>
      <c r="H989" s="14"/>
      <c r="I989" s="14"/>
      <c r="J989" s="14"/>
      <c r="K989" s="14"/>
      <c r="L989" s="14"/>
      <c r="M989" s="14"/>
      <c r="N989" s="14"/>
      <c r="O989" s="14"/>
      <c r="P989" s="14"/>
      <c r="Q989" s="14"/>
      <c r="R989" s="2"/>
    </row>
    <row r="990" spans="1:18" s="4" customFormat="1" ht="15">
      <c r="A990" s="72"/>
      <c r="B990" s="85" t="s">
        <v>509</v>
      </c>
      <c r="C990" s="136">
        <f>20000-323+200</f>
        <v>19877</v>
      </c>
      <c r="D990" s="70"/>
      <c r="E990" s="14"/>
      <c r="F990" s="14"/>
      <c r="G990" s="14"/>
      <c r="H990" s="14"/>
      <c r="I990" s="14"/>
      <c r="J990" s="14"/>
      <c r="K990" s="14"/>
      <c r="L990" s="14"/>
      <c r="M990" s="14"/>
      <c r="N990" s="14"/>
      <c r="O990" s="14"/>
      <c r="P990" s="14"/>
      <c r="Q990" s="14"/>
      <c r="R990" s="2"/>
    </row>
    <row r="991" spans="1:18" s="4" customFormat="1" ht="15">
      <c r="A991" s="72"/>
      <c r="B991" s="85" t="s">
        <v>507</v>
      </c>
      <c r="C991" s="136">
        <f>C992+C993+C994</f>
        <v>323</v>
      </c>
      <c r="D991" s="70"/>
      <c r="E991" s="14"/>
      <c r="F991" s="14"/>
      <c r="G991" s="14"/>
      <c r="H991" s="14"/>
      <c r="I991" s="14"/>
      <c r="J991" s="14"/>
      <c r="K991" s="14"/>
      <c r="L991" s="14"/>
      <c r="M991" s="14"/>
      <c r="N991" s="14"/>
      <c r="O991" s="14"/>
      <c r="P991" s="14"/>
      <c r="Q991" s="14"/>
      <c r="R991" s="2"/>
    </row>
    <row r="992" spans="1:18" s="4" customFormat="1" ht="45">
      <c r="A992" s="72"/>
      <c r="B992" s="105" t="s">
        <v>492</v>
      </c>
      <c r="C992" s="136">
        <f>J893</f>
        <v>177</v>
      </c>
      <c r="D992" s="70"/>
      <c r="E992" s="14"/>
      <c r="F992" s="14"/>
      <c r="G992" s="14"/>
      <c r="H992" s="14"/>
      <c r="I992" s="14"/>
      <c r="J992" s="14"/>
      <c r="K992" s="14"/>
      <c r="L992" s="14"/>
      <c r="M992" s="14"/>
      <c r="N992" s="14"/>
      <c r="O992" s="14"/>
      <c r="P992" s="14"/>
      <c r="Q992" s="14"/>
      <c r="R992" s="2"/>
    </row>
    <row r="993" spans="1:18" s="4" customFormat="1" ht="45">
      <c r="A993" s="72"/>
      <c r="B993" s="105" t="s">
        <v>493</v>
      </c>
      <c r="C993" s="136">
        <f>J894</f>
        <v>138</v>
      </c>
      <c r="D993" s="70"/>
      <c r="E993" s="14"/>
      <c r="F993" s="14"/>
      <c r="G993" s="14"/>
      <c r="H993" s="14"/>
      <c r="I993" s="14"/>
      <c r="J993" s="14"/>
      <c r="K993" s="14"/>
      <c r="L993" s="14"/>
      <c r="M993" s="14"/>
      <c r="N993" s="14"/>
      <c r="O993" s="14"/>
      <c r="P993" s="14"/>
      <c r="Q993" s="14"/>
      <c r="R993" s="2"/>
    </row>
    <row r="994" spans="1:18" s="4" customFormat="1" ht="60">
      <c r="A994" s="72"/>
      <c r="B994" s="105" t="s">
        <v>520</v>
      </c>
      <c r="C994" s="136">
        <v>8</v>
      </c>
      <c r="D994" s="70"/>
      <c r="E994" s="14"/>
      <c r="F994" s="14"/>
      <c r="G994" s="14"/>
      <c r="H994" s="14"/>
      <c r="I994" s="14"/>
      <c r="J994" s="14"/>
      <c r="K994" s="14"/>
      <c r="L994" s="14"/>
      <c r="M994" s="14"/>
      <c r="N994" s="14"/>
      <c r="O994" s="14"/>
      <c r="P994" s="14"/>
      <c r="Q994" s="14"/>
      <c r="R994" s="2"/>
    </row>
    <row r="995" spans="1:18" s="4" customFormat="1" ht="30">
      <c r="A995" s="72"/>
      <c r="B995" s="88" t="s">
        <v>540</v>
      </c>
      <c r="C995" s="136">
        <v>200</v>
      </c>
      <c r="D995" s="70"/>
      <c r="E995" s="14"/>
      <c r="F995" s="14"/>
      <c r="G995" s="14"/>
      <c r="H995" s="14"/>
      <c r="I995" s="14"/>
      <c r="J995" s="14"/>
      <c r="K995" s="14"/>
      <c r="L995" s="14"/>
      <c r="M995" s="14"/>
      <c r="N995" s="14"/>
      <c r="O995" s="14"/>
      <c r="P995" s="14"/>
      <c r="Q995" s="14"/>
      <c r="R995" s="2"/>
    </row>
    <row r="996" spans="1:18" s="4" customFormat="1" ht="15">
      <c r="A996" s="72"/>
      <c r="B996" s="102" t="s">
        <v>200</v>
      </c>
      <c r="C996" s="136">
        <v>20</v>
      </c>
      <c r="D996" s="70"/>
      <c r="E996" s="14"/>
      <c r="F996" s="14"/>
      <c r="G996" s="14"/>
      <c r="H996" s="14"/>
      <c r="I996" s="14"/>
      <c r="J996" s="14"/>
      <c r="K996" s="14"/>
      <c r="L996" s="14"/>
      <c r="M996" s="14"/>
      <c r="N996" s="14"/>
      <c r="O996" s="14"/>
      <c r="P996" s="14"/>
      <c r="Q996" s="14"/>
      <c r="R996" s="2"/>
    </row>
    <row r="997" spans="1:18" s="4" customFormat="1" ht="75">
      <c r="A997" s="72"/>
      <c r="B997" s="105" t="s">
        <v>487</v>
      </c>
      <c r="C997" s="136">
        <v>20</v>
      </c>
      <c r="D997" s="70"/>
      <c r="E997" s="14"/>
      <c r="F997" s="14"/>
      <c r="G997" s="14"/>
      <c r="H997" s="14"/>
      <c r="I997" s="14"/>
      <c r="J997" s="14"/>
      <c r="K997" s="14"/>
      <c r="L997" s="14"/>
      <c r="M997" s="14"/>
      <c r="N997" s="14"/>
      <c r="O997" s="14"/>
      <c r="P997" s="14"/>
      <c r="Q997" s="14"/>
      <c r="R997" s="2"/>
    </row>
    <row r="998" spans="1:18" s="4" customFormat="1" ht="15">
      <c r="A998" s="72"/>
      <c r="B998" s="133" t="s">
        <v>515</v>
      </c>
      <c r="C998" s="136">
        <f>C999</f>
        <v>15907</v>
      </c>
      <c r="D998" s="70"/>
      <c r="E998" s="14"/>
      <c r="F998" s="14"/>
      <c r="G998" s="14"/>
      <c r="H998" s="14"/>
      <c r="I998" s="14"/>
      <c r="J998" s="14"/>
      <c r="K998" s="14"/>
      <c r="L998" s="14"/>
      <c r="M998" s="14"/>
      <c r="N998" s="14"/>
      <c r="O998" s="14"/>
      <c r="P998" s="14"/>
      <c r="Q998" s="14"/>
      <c r="R998" s="2"/>
    </row>
    <row r="999" spans="1:18" s="4" customFormat="1" ht="15">
      <c r="A999" s="72"/>
      <c r="B999" s="90" t="s">
        <v>514</v>
      </c>
      <c r="C999" s="136">
        <f>C1000</f>
        <v>15907</v>
      </c>
      <c r="D999" s="70"/>
      <c r="E999" s="14"/>
      <c r="F999" s="14"/>
      <c r="G999" s="14"/>
      <c r="H999" s="14"/>
      <c r="I999" s="14"/>
      <c r="J999" s="14"/>
      <c r="K999" s="14"/>
      <c r="L999" s="14"/>
      <c r="M999" s="14"/>
      <c r="N999" s="14"/>
      <c r="O999" s="14"/>
      <c r="P999" s="14"/>
      <c r="Q999" s="14"/>
      <c r="R999" s="2"/>
    </row>
    <row r="1000" spans="1:18" s="4" customFormat="1" ht="30">
      <c r="A1000" s="72"/>
      <c r="B1000" s="91" t="s">
        <v>516</v>
      </c>
      <c r="C1000" s="136">
        <v>15907</v>
      </c>
      <c r="D1000" s="70"/>
      <c r="E1000" s="14"/>
      <c r="F1000" s="14"/>
      <c r="G1000" s="14"/>
      <c r="H1000" s="14"/>
      <c r="I1000" s="14"/>
      <c r="J1000" s="14"/>
      <c r="K1000" s="14"/>
      <c r="L1000" s="14"/>
      <c r="M1000" s="14"/>
      <c r="N1000" s="14"/>
      <c r="O1000" s="14"/>
      <c r="P1000" s="14"/>
      <c r="Q1000" s="14"/>
      <c r="R1000" s="2"/>
    </row>
    <row r="1001" spans="1:18" s="4" customFormat="1">
      <c r="A1001" s="14"/>
      <c r="B1001" s="19"/>
      <c r="C1001" s="71"/>
      <c r="D1001" s="70"/>
      <c r="E1001" s="14"/>
      <c r="F1001" s="14"/>
      <c r="G1001" s="14"/>
      <c r="H1001" s="14"/>
      <c r="I1001" s="14"/>
      <c r="J1001" s="14"/>
      <c r="K1001" s="14"/>
      <c r="L1001" s="14"/>
      <c r="M1001" s="14"/>
      <c r="N1001" s="14"/>
      <c r="O1001" s="14"/>
      <c r="P1001" s="14"/>
      <c r="Q1001" s="14"/>
      <c r="R1001" s="2"/>
    </row>
    <row r="1002" spans="1:18" s="4" customFormat="1">
      <c r="A1002" s="14"/>
      <c r="B1002" s="19"/>
      <c r="C1002" s="71"/>
      <c r="D1002" s="70"/>
      <c r="E1002" s="14"/>
      <c r="F1002" s="14"/>
      <c r="G1002" s="14"/>
      <c r="H1002" s="14"/>
      <c r="I1002" s="14"/>
      <c r="J1002" s="14"/>
      <c r="K1002" s="14"/>
      <c r="L1002" s="14"/>
      <c r="M1002" s="14"/>
      <c r="N1002" s="14"/>
      <c r="O1002" s="14"/>
      <c r="P1002" s="14"/>
      <c r="Q1002" s="14"/>
      <c r="R1002" s="2"/>
    </row>
    <row r="1003" spans="1:18" s="4" customFormat="1">
      <c r="A1003" s="14"/>
      <c r="B1003" s="19"/>
      <c r="C1003" s="71"/>
      <c r="D1003" s="70"/>
      <c r="E1003" s="14"/>
      <c r="F1003" s="14"/>
      <c r="G1003" s="14"/>
      <c r="H1003" s="14"/>
      <c r="I1003" s="14"/>
      <c r="J1003" s="14"/>
      <c r="K1003" s="14"/>
      <c r="L1003" s="14"/>
      <c r="M1003" s="14"/>
      <c r="N1003" s="14"/>
      <c r="O1003" s="14"/>
      <c r="P1003" s="14"/>
      <c r="Q1003" s="14"/>
      <c r="R1003" s="2"/>
    </row>
    <row r="1004" spans="1:18" s="4" customFormat="1">
      <c r="A1004" s="14"/>
      <c r="B1004" s="19"/>
      <c r="C1004" s="71"/>
      <c r="D1004" s="70"/>
      <c r="E1004" s="14"/>
      <c r="F1004" s="14"/>
      <c r="G1004" s="14"/>
      <c r="H1004" s="14"/>
      <c r="I1004" s="14"/>
      <c r="J1004" s="14"/>
      <c r="K1004" s="14"/>
      <c r="L1004" s="14"/>
      <c r="M1004" s="14"/>
      <c r="N1004" s="14"/>
      <c r="O1004" s="14"/>
      <c r="P1004" s="14"/>
      <c r="Q1004" s="14"/>
      <c r="R1004" s="2"/>
    </row>
    <row r="1005" spans="1:18" s="4" customFormat="1">
      <c r="A1005" s="14"/>
      <c r="B1005" s="19"/>
      <c r="C1005" s="71"/>
      <c r="D1005" s="70"/>
      <c r="E1005" s="14"/>
      <c r="F1005" s="14"/>
      <c r="G1005" s="14"/>
      <c r="H1005" s="14"/>
      <c r="I1005" s="14"/>
      <c r="J1005" s="14"/>
      <c r="K1005" s="14"/>
      <c r="L1005" s="14"/>
      <c r="M1005" s="14"/>
      <c r="N1005" s="14"/>
      <c r="O1005" s="14"/>
      <c r="P1005" s="14"/>
      <c r="Q1005" s="14"/>
      <c r="R1005" s="2"/>
    </row>
    <row r="1006" spans="1:18" s="4" customFormat="1">
      <c r="A1006" s="14"/>
      <c r="B1006" s="19"/>
      <c r="C1006" s="71"/>
      <c r="D1006" s="70"/>
      <c r="E1006" s="14"/>
      <c r="F1006" s="14"/>
      <c r="G1006" s="14"/>
      <c r="H1006" s="14"/>
      <c r="I1006" s="14"/>
      <c r="J1006" s="14"/>
      <c r="K1006" s="14"/>
      <c r="L1006" s="14"/>
      <c r="M1006" s="14"/>
      <c r="N1006" s="14"/>
      <c r="O1006" s="14"/>
      <c r="P1006" s="14"/>
      <c r="Q1006" s="14"/>
      <c r="R1006" s="2"/>
    </row>
    <row r="1007" spans="1:18" s="4" customFormat="1">
      <c r="A1007" s="14"/>
      <c r="B1007" s="19"/>
      <c r="C1007" s="71"/>
      <c r="D1007" s="70"/>
      <c r="E1007" s="14"/>
      <c r="F1007" s="14"/>
      <c r="G1007" s="14"/>
      <c r="H1007" s="14"/>
      <c r="I1007" s="14"/>
      <c r="J1007" s="14"/>
      <c r="K1007" s="14"/>
      <c r="L1007" s="14"/>
      <c r="M1007" s="14"/>
      <c r="N1007" s="14"/>
      <c r="O1007" s="14"/>
      <c r="P1007" s="14"/>
      <c r="Q1007" s="14"/>
      <c r="R1007" s="2"/>
    </row>
    <row r="1008" spans="1:18" s="4" customFormat="1">
      <c r="A1008" s="14"/>
      <c r="B1008" s="19"/>
      <c r="C1008" s="71"/>
      <c r="D1008" s="70"/>
      <c r="E1008" s="14"/>
      <c r="F1008" s="14"/>
      <c r="G1008" s="14"/>
      <c r="H1008" s="14"/>
      <c r="I1008" s="14"/>
      <c r="J1008" s="14"/>
      <c r="K1008" s="14"/>
      <c r="L1008" s="14"/>
      <c r="M1008" s="14"/>
      <c r="N1008" s="14"/>
      <c r="O1008" s="14"/>
      <c r="P1008" s="14"/>
      <c r="Q1008" s="14"/>
      <c r="R1008" s="2"/>
    </row>
    <row r="1009" spans="1:18" s="4" customFormat="1">
      <c r="A1009" s="14"/>
      <c r="B1009" s="19"/>
      <c r="C1009" s="71"/>
      <c r="D1009" s="70"/>
      <c r="E1009" s="14"/>
      <c r="F1009" s="14"/>
      <c r="G1009" s="14"/>
      <c r="H1009" s="14"/>
      <c r="I1009" s="14"/>
      <c r="J1009" s="14"/>
      <c r="K1009" s="14"/>
      <c r="L1009" s="14"/>
      <c r="M1009" s="14"/>
      <c r="N1009" s="14"/>
      <c r="O1009" s="14"/>
      <c r="P1009" s="14"/>
      <c r="Q1009" s="14"/>
      <c r="R1009" s="2"/>
    </row>
    <row r="1010" spans="1:18" s="4" customFormat="1">
      <c r="A1010" s="14"/>
      <c r="B1010" s="19"/>
      <c r="C1010" s="71"/>
      <c r="D1010" s="70"/>
      <c r="E1010" s="14"/>
      <c r="F1010" s="14"/>
      <c r="G1010" s="14"/>
      <c r="H1010" s="14"/>
      <c r="I1010" s="14"/>
      <c r="J1010" s="14"/>
      <c r="K1010" s="14"/>
      <c r="L1010" s="14"/>
      <c r="M1010" s="14"/>
      <c r="N1010" s="14"/>
      <c r="O1010" s="14"/>
      <c r="P1010" s="14"/>
      <c r="Q1010" s="14"/>
      <c r="R1010" s="2"/>
    </row>
    <row r="1011" spans="1:18" s="4" customFormat="1">
      <c r="A1011" s="14"/>
      <c r="B1011" s="19"/>
      <c r="C1011" s="71"/>
      <c r="D1011" s="70"/>
      <c r="E1011" s="14"/>
      <c r="F1011" s="14"/>
      <c r="G1011" s="14"/>
      <c r="H1011" s="14"/>
      <c r="I1011" s="14"/>
      <c r="J1011" s="14"/>
      <c r="K1011" s="14"/>
      <c r="L1011" s="14"/>
      <c r="M1011" s="14"/>
      <c r="N1011" s="14"/>
      <c r="O1011" s="14"/>
      <c r="P1011" s="14"/>
      <c r="Q1011" s="14"/>
      <c r="R1011" s="2"/>
    </row>
    <row r="1012" spans="1:18" s="4" customFormat="1">
      <c r="A1012" s="14"/>
      <c r="B1012" s="19"/>
      <c r="C1012" s="71"/>
      <c r="D1012" s="70"/>
      <c r="E1012" s="14"/>
      <c r="F1012" s="14"/>
      <c r="G1012" s="14"/>
      <c r="H1012" s="14"/>
      <c r="I1012" s="14"/>
      <c r="J1012" s="14"/>
      <c r="K1012" s="14"/>
      <c r="L1012" s="14"/>
      <c r="M1012" s="14"/>
      <c r="N1012" s="14"/>
      <c r="O1012" s="14"/>
      <c r="P1012" s="14"/>
      <c r="Q1012" s="14"/>
      <c r="R1012" s="2"/>
    </row>
    <row r="1013" spans="1:18" s="4" customFormat="1">
      <c r="A1013" s="2"/>
      <c r="B1013" s="3"/>
      <c r="C1013" s="6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</row>
    <row r="1014" spans="1:18" s="4" customFormat="1">
      <c r="A1014" s="2"/>
      <c r="B1014" s="3"/>
      <c r="C1014" s="6"/>
      <c r="E1014" s="2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</row>
    <row r="1015" spans="1:18" s="4" customFormat="1">
      <c r="A1015" s="2"/>
      <c r="B1015" s="3"/>
      <c r="C1015" s="6"/>
      <c r="E1015" s="2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</row>
    <row r="1016" spans="1:18" s="4" customFormat="1">
      <c r="A1016" s="2"/>
      <c r="B1016" s="3"/>
      <c r="C1016" s="6"/>
      <c r="E1016" s="2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</row>
    <row r="1017" spans="1:18" s="4" customFormat="1">
      <c r="A1017" s="2"/>
      <c r="B1017" s="3"/>
      <c r="C1017" s="6"/>
      <c r="E1017" s="2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</row>
    <row r="1018" spans="1:18" s="4" customFormat="1">
      <c r="A1018" s="2"/>
      <c r="B1018" s="3"/>
      <c r="C1018" s="6"/>
      <c r="E1018" s="2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</row>
    <row r="1019" spans="1:18" s="4" customFormat="1">
      <c r="A1019" s="2"/>
      <c r="B1019" s="3"/>
      <c r="C1019" s="6"/>
      <c r="E1019" s="2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</row>
  </sheetData>
  <mergeCells count="7">
    <mergeCell ref="B2:C2"/>
    <mergeCell ref="A5:P5"/>
    <mergeCell ref="A6:P6"/>
    <mergeCell ref="B7:P7"/>
    <mergeCell ref="A9:A10"/>
    <mergeCell ref="K9:N9"/>
    <mergeCell ref="O9:Q9"/>
  </mergeCells>
  <pageMargins left="0.39" right="0.16" top="0.27" bottom="0.24" header="0.17" footer="0.2"/>
  <pageSetup paperSize="9" orientation="landscape" r:id="rId1"/>
  <headerFooter alignWithMargins="0">
    <oddFooter>Page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</vt:lpstr>
      <vt:lpstr>'ANEXA 1'!Print_Titles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larisa</cp:lastModifiedBy>
  <cp:lastPrinted>2018-02-09T10:26:05Z</cp:lastPrinted>
  <dcterms:created xsi:type="dcterms:W3CDTF">2017-03-22T13:01:52Z</dcterms:created>
  <dcterms:modified xsi:type="dcterms:W3CDTF">2018-02-09T10:31:33Z</dcterms:modified>
</cp:coreProperties>
</file>