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tena.tutunaru\Proiecte\Implementare deseuri\ARGES - DESEURI\Financiar\Documentatie atribuire colectare\Ianuarie 2016\"/>
    </mc:Choice>
  </mc:AlternateContent>
  <bookViews>
    <workbookView xWindow="0" yWindow="0" windowWidth="28800" windowHeight="11535" tabRatio="814" firstSheet="3" activeTab="3"/>
  </bookViews>
  <sheets>
    <sheet name="Populatie" sheetId="4" r:id="rId1"/>
    <sheet name="Sistem colectare chesti" sheetId="17" r:id="rId2"/>
    <sheet name="Deseuri generate" sheetId="13" r:id="rId3"/>
    <sheet name="Redeventa" sheetId="16" r:id="rId4"/>
    <sheet name="Curs mediu pe anul 2015" sheetId="18" r:id="rId5"/>
    <sheet name="Sistem colectare" sheetId="2" r:id="rId6"/>
    <sheet name="Calcul valoare contracte" sheetId="15" r:id="rId7"/>
    <sheet name="Masini colecta necesare" sheetId="3" r:id="rId8"/>
    <sheet name="Statii de transfer" sheetId="5" r:id="rId9"/>
    <sheet name="Puncte verzi" sheetId="14" r:id="rId10"/>
    <sheet name="Investitii statii de transfer" sheetId="6" r:id="rId11"/>
    <sheet name="Statii de compost" sheetId="7" r:id="rId12"/>
    <sheet name="Investitii statii compost" sheetId="8" r:id="rId13"/>
    <sheet name="Fisa fundamentare" sheetId="11" r:id="rId14"/>
    <sheet name="Centralizare info localitati" sheetId="12" r:id="rId15"/>
  </sheets>
  <externalReferences>
    <externalReference r:id="rId16"/>
    <externalReference r:id="rId17"/>
  </externalReferences>
  <calcPr calcId="152511"/>
</workbook>
</file>

<file path=xl/calcChain.xml><?xml version="1.0" encoding="utf-8"?>
<calcChain xmlns="http://schemas.openxmlformats.org/spreadsheetml/2006/main">
  <c r="D47" i="16" l="1"/>
  <c r="D43" i="16"/>
  <c r="D42" i="16"/>
  <c r="D34" i="16"/>
  <c r="D30" i="16"/>
  <c r="D29" i="16"/>
  <c r="C67" i="8"/>
  <c r="C66" i="8"/>
  <c r="C68" i="8"/>
  <c r="E29" i="8"/>
  <c r="C54" i="8"/>
  <c r="C61" i="8"/>
  <c r="C60" i="8"/>
  <c r="E24" i="8"/>
  <c r="D22" i="16"/>
  <c r="D16" i="16"/>
  <c r="C111" i="2"/>
  <c r="C122" i="2"/>
  <c r="D7" i="16"/>
  <c r="C129" i="2"/>
  <c r="C128" i="2"/>
  <c r="C124" i="2"/>
  <c r="C123" i="2"/>
  <c r="C119" i="2"/>
  <c r="C115" i="2"/>
  <c r="C118" i="2"/>
  <c r="C116" i="6"/>
  <c r="E100" i="6"/>
  <c r="E102" i="6"/>
  <c r="E103" i="6"/>
  <c r="C103" i="6"/>
  <c r="C102" i="6"/>
  <c r="C100" i="6"/>
  <c r="C114" i="6"/>
  <c r="C117" i="6"/>
  <c r="D18" i="16" s="1"/>
  <c r="D12" i="16"/>
  <c r="D24" i="16"/>
  <c r="D73" i="16"/>
  <c r="D72" i="16"/>
  <c r="D62" i="16" l="1"/>
  <c r="D67" i="16" s="1"/>
  <c r="C12" i="18"/>
  <c r="G34" i="16" l="1"/>
  <c r="H34" i="16"/>
  <c r="G35" i="16"/>
  <c r="H35" i="16"/>
  <c r="G36" i="16"/>
  <c r="H36" i="16"/>
  <c r="G37" i="16"/>
  <c r="H37" i="16"/>
  <c r="G38" i="16"/>
  <c r="H38" i="16"/>
  <c r="D35" i="16"/>
  <c r="E35" i="16"/>
  <c r="F35" i="16"/>
  <c r="D36" i="16"/>
  <c r="E36" i="16"/>
  <c r="F36" i="16"/>
  <c r="D37" i="16"/>
  <c r="E37" i="16"/>
  <c r="F37" i="16"/>
  <c r="D38" i="16"/>
  <c r="E38" i="16"/>
  <c r="F38" i="16"/>
  <c r="E34" i="16"/>
  <c r="F34" i="16"/>
  <c r="E42" i="16" l="1"/>
  <c r="C72" i="16" l="1"/>
  <c r="C73" i="16" l="1"/>
  <c r="C67" i="16"/>
  <c r="I66" i="16" l="1"/>
  <c r="J66" i="16"/>
  <c r="K66" i="16"/>
  <c r="L66" i="16"/>
  <c r="M66" i="16"/>
  <c r="N66" i="16"/>
  <c r="O66" i="16"/>
  <c r="P66" i="16"/>
  <c r="Q66" i="16"/>
  <c r="R66" i="16"/>
  <c r="S66" i="16"/>
  <c r="G48" i="16"/>
  <c r="H48" i="16"/>
  <c r="I48" i="16"/>
  <c r="J48" i="16"/>
  <c r="K48" i="16"/>
  <c r="L48" i="16"/>
  <c r="M48" i="16"/>
  <c r="N48" i="16"/>
  <c r="O48" i="16"/>
  <c r="P48" i="16"/>
  <c r="Q48" i="16"/>
  <c r="R48" i="16"/>
  <c r="S48" i="16"/>
  <c r="G49" i="16"/>
  <c r="H49" i="16"/>
  <c r="I49" i="16"/>
  <c r="J49" i="16"/>
  <c r="K49" i="16"/>
  <c r="L49" i="16"/>
  <c r="M49" i="16"/>
  <c r="N49" i="16"/>
  <c r="O49" i="16"/>
  <c r="P49" i="16"/>
  <c r="Q49" i="16"/>
  <c r="R49" i="16"/>
  <c r="S49" i="16"/>
  <c r="G50" i="16"/>
  <c r="H50" i="16"/>
  <c r="I50" i="16"/>
  <c r="J50" i="16"/>
  <c r="K50" i="16"/>
  <c r="L50" i="16"/>
  <c r="M50" i="16"/>
  <c r="N50" i="16"/>
  <c r="O50" i="16"/>
  <c r="P50" i="16"/>
  <c r="Q50" i="16"/>
  <c r="R50" i="16"/>
  <c r="S50" i="16"/>
  <c r="G51" i="16"/>
  <c r="H51" i="16"/>
  <c r="I51" i="16"/>
  <c r="J51" i="16"/>
  <c r="J52" i="16" s="1"/>
  <c r="K51" i="16"/>
  <c r="L51" i="16"/>
  <c r="M51" i="16"/>
  <c r="N51" i="16"/>
  <c r="O51" i="16"/>
  <c r="P51" i="16"/>
  <c r="Q51" i="16"/>
  <c r="R51" i="16"/>
  <c r="S51" i="16"/>
  <c r="G47" i="16"/>
  <c r="H47" i="16"/>
  <c r="I47" i="16"/>
  <c r="J47" i="16"/>
  <c r="K47" i="16"/>
  <c r="L47" i="16"/>
  <c r="M47" i="16"/>
  <c r="N47" i="16"/>
  <c r="O47" i="16"/>
  <c r="P47" i="16"/>
  <c r="Q47" i="16"/>
  <c r="R47" i="16"/>
  <c r="S47" i="16"/>
  <c r="L4" i="16"/>
  <c r="G39" i="16"/>
  <c r="H39" i="16"/>
  <c r="I39" i="16"/>
  <c r="J39" i="16"/>
  <c r="K39" i="16"/>
  <c r="L39" i="16"/>
  <c r="M39" i="16"/>
  <c r="N39" i="16"/>
  <c r="O39" i="16"/>
  <c r="P39" i="16"/>
  <c r="Q39" i="16"/>
  <c r="R39" i="16"/>
  <c r="S39" i="16"/>
  <c r="D48" i="16"/>
  <c r="E48" i="16"/>
  <c r="F48" i="16"/>
  <c r="D49" i="16"/>
  <c r="C49" i="16" s="1"/>
  <c r="E49" i="16"/>
  <c r="F49" i="16"/>
  <c r="D50" i="16"/>
  <c r="E50" i="16"/>
  <c r="F50" i="16"/>
  <c r="D51" i="16"/>
  <c r="E51" i="16"/>
  <c r="F51" i="16"/>
  <c r="E47" i="16"/>
  <c r="F47" i="16"/>
  <c r="C47" i="16" l="1"/>
  <c r="C51" i="16"/>
  <c r="C48" i="16"/>
  <c r="C50" i="16"/>
  <c r="Q52" i="16"/>
  <c r="P52" i="16"/>
  <c r="L52" i="16"/>
  <c r="H52" i="16"/>
  <c r="H66" i="16" s="1"/>
  <c r="M52" i="16"/>
  <c r="I52" i="16"/>
  <c r="F52" i="16"/>
  <c r="F66" i="16" s="1"/>
  <c r="E52" i="16"/>
  <c r="E66" i="16" s="1"/>
  <c r="D52" i="16"/>
  <c r="S52" i="16"/>
  <c r="O52" i="16"/>
  <c r="K52" i="16"/>
  <c r="G52" i="16"/>
  <c r="G66" i="16" s="1"/>
  <c r="R52" i="16"/>
  <c r="N52" i="16"/>
  <c r="D39" i="16"/>
  <c r="F39" i="16"/>
  <c r="E39" i="16"/>
  <c r="I66" i="4"/>
  <c r="E56" i="16"/>
  <c r="F56" i="16"/>
  <c r="G56" i="16"/>
  <c r="H56" i="16"/>
  <c r="I56" i="16"/>
  <c r="J56" i="16"/>
  <c r="K56" i="16"/>
  <c r="L56" i="16"/>
  <c r="L72" i="16" s="1"/>
  <c r="M56" i="16"/>
  <c r="M72" i="16" s="1"/>
  <c r="N56" i="16"/>
  <c r="N72" i="16" s="1"/>
  <c r="O56" i="16"/>
  <c r="O72" i="16" s="1"/>
  <c r="P56" i="16"/>
  <c r="P72" i="16" s="1"/>
  <c r="Q56" i="16"/>
  <c r="R56" i="16"/>
  <c r="R72" i="16" s="1"/>
  <c r="S56" i="16"/>
  <c r="S72" i="16" s="1"/>
  <c r="E57" i="16"/>
  <c r="E73" i="16" s="1"/>
  <c r="F57" i="16"/>
  <c r="G57" i="16"/>
  <c r="H57" i="16"/>
  <c r="I57" i="16"/>
  <c r="J57" i="16"/>
  <c r="K57" i="16"/>
  <c r="L57" i="16"/>
  <c r="L73" i="16" s="1"/>
  <c r="M57" i="16"/>
  <c r="M73" i="16" s="1"/>
  <c r="N57" i="16"/>
  <c r="N73" i="16" s="1"/>
  <c r="O57" i="16"/>
  <c r="O73" i="16" s="1"/>
  <c r="P57" i="16"/>
  <c r="P73" i="16" s="1"/>
  <c r="Q57" i="16"/>
  <c r="Q73" i="16" s="1"/>
  <c r="R57" i="16"/>
  <c r="R73" i="16" s="1"/>
  <c r="S57" i="16"/>
  <c r="S73" i="16" s="1"/>
  <c r="D57" i="16"/>
  <c r="D56" i="16"/>
  <c r="E42" i="8"/>
  <c r="E41" i="8"/>
  <c r="D24" i="8"/>
  <c r="C95" i="6"/>
  <c r="C94" i="6"/>
  <c r="C93" i="6"/>
  <c r="C107" i="6" s="1"/>
  <c r="E102" i="2"/>
  <c r="E93" i="2"/>
  <c r="E84" i="2"/>
  <c r="G84" i="2"/>
  <c r="N74" i="16" l="1"/>
  <c r="E100" i="16"/>
  <c r="J100" i="16"/>
  <c r="I73" i="16"/>
  <c r="I95" i="16"/>
  <c r="H72" i="16"/>
  <c r="L58" i="16"/>
  <c r="P74" i="16"/>
  <c r="L74" i="16"/>
  <c r="I100" i="16"/>
  <c r="H73" i="16"/>
  <c r="S74" i="16"/>
  <c r="O74" i="16"/>
  <c r="L95" i="16"/>
  <c r="K72" i="16"/>
  <c r="H95" i="16"/>
  <c r="G72" i="16"/>
  <c r="L100" i="16"/>
  <c r="K73" i="16"/>
  <c r="H100" i="16"/>
  <c r="G73" i="16"/>
  <c r="K95" i="16"/>
  <c r="J72" i="16"/>
  <c r="G95" i="16"/>
  <c r="F72" i="16"/>
  <c r="D74" i="16"/>
  <c r="R74" i="16"/>
  <c r="K100" i="16"/>
  <c r="J73" i="16"/>
  <c r="G100" i="16"/>
  <c r="F73" i="16"/>
  <c r="Q58" i="16"/>
  <c r="Q72" i="16"/>
  <c r="Q74" i="16" s="1"/>
  <c r="M74" i="16"/>
  <c r="J95" i="16"/>
  <c r="I72" i="16"/>
  <c r="F95" i="16"/>
  <c r="E72" i="16"/>
  <c r="E74" i="16" s="1"/>
  <c r="I58" i="16"/>
  <c r="M58" i="16"/>
  <c r="E26" i="8"/>
  <c r="F31" i="8" s="1"/>
  <c r="H58" i="16"/>
  <c r="D58" i="16"/>
  <c r="E95" i="16"/>
  <c r="E58" i="16"/>
  <c r="F100" i="16"/>
  <c r="R58" i="16"/>
  <c r="P58" i="16"/>
  <c r="N58" i="16"/>
  <c r="J58" i="16"/>
  <c r="F58" i="16"/>
  <c r="S58" i="16"/>
  <c r="O58" i="16"/>
  <c r="K58" i="16"/>
  <c r="G58" i="16"/>
  <c r="F145" i="2"/>
  <c r="E103" i="2"/>
  <c r="D41" i="6"/>
  <c r="F5" i="4"/>
  <c r="C5" i="15"/>
  <c r="D5" i="15"/>
  <c r="B5" i="15"/>
  <c r="E9" i="5"/>
  <c r="G9" i="5" s="1"/>
  <c r="K49" i="14" s="1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5" i="14"/>
  <c r="L4" i="14"/>
  <c r="L5" i="7"/>
  <c r="N5" i="7" s="1"/>
  <c r="H22" i="5"/>
  <c r="M22" i="5"/>
  <c r="M23" i="5"/>
  <c r="M24" i="5"/>
  <c r="M25" i="5"/>
  <c r="M26" i="5"/>
  <c r="M27" i="5"/>
  <c r="M28" i="5"/>
  <c r="M21" i="5"/>
  <c r="E13" i="5"/>
  <c r="G13" i="5" s="1"/>
  <c r="L36" i="5"/>
  <c r="H23" i="5"/>
  <c r="H24" i="5"/>
  <c r="H25" i="5"/>
  <c r="H26" i="5"/>
  <c r="H27" i="5"/>
  <c r="H28" i="5"/>
  <c r="H21" i="5"/>
  <c r="L10" i="13"/>
  <c r="L11" i="13"/>
  <c r="L12" i="13"/>
  <c r="L9" i="13"/>
  <c r="M22" i="13"/>
  <c r="D15" i="13"/>
  <c r="M19" i="13" s="1"/>
  <c r="E15" i="13"/>
  <c r="N18" i="13" s="1"/>
  <c r="F15" i="13"/>
  <c r="O17" i="13" s="1"/>
  <c r="G15" i="13"/>
  <c r="P18" i="13" s="1"/>
  <c r="H15" i="13"/>
  <c r="Q17" i="13" s="1"/>
  <c r="I15" i="13"/>
  <c r="R18" i="13" s="1"/>
  <c r="J15" i="13"/>
  <c r="S17" i="13" s="1"/>
  <c r="K15" i="13"/>
  <c r="T18" i="13" s="1"/>
  <c r="E7" i="13"/>
  <c r="N10" i="13" s="1"/>
  <c r="F7" i="13"/>
  <c r="O9" i="13" s="1"/>
  <c r="G7" i="13"/>
  <c r="P10" i="13" s="1"/>
  <c r="H7" i="13"/>
  <c r="Q9" i="13" s="1"/>
  <c r="I7" i="13"/>
  <c r="R10" i="13" s="1"/>
  <c r="J7" i="13"/>
  <c r="S9" i="13" s="1"/>
  <c r="K7" i="13"/>
  <c r="T10" i="13" s="1"/>
  <c r="D7" i="13"/>
  <c r="M11" i="13" s="1"/>
  <c r="D138" i="2"/>
  <c r="E138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D139" i="2"/>
  <c r="E139" i="2"/>
  <c r="F139" i="2"/>
  <c r="G139" i="2"/>
  <c r="H139" i="2"/>
  <c r="I139" i="2"/>
  <c r="J139" i="2"/>
  <c r="K139" i="2"/>
  <c r="L139" i="2"/>
  <c r="M139" i="2"/>
  <c r="N139" i="2"/>
  <c r="O139" i="2"/>
  <c r="P139" i="2"/>
  <c r="Q139" i="2"/>
  <c r="R139" i="2"/>
  <c r="C139" i="2"/>
  <c r="C138" i="2"/>
  <c r="C60" i="12"/>
  <c r="C59" i="12"/>
  <c r="C58" i="12"/>
  <c r="C57" i="12"/>
  <c r="C56" i="12"/>
  <c r="C55" i="12"/>
  <c r="C54" i="12"/>
  <c r="C53" i="12"/>
  <c r="C52" i="12"/>
  <c r="C51" i="12"/>
  <c r="C50" i="12"/>
  <c r="C49" i="12"/>
  <c r="C48" i="12"/>
  <c r="C46" i="12"/>
  <c r="C45" i="12"/>
  <c r="C44" i="12"/>
  <c r="C43" i="12"/>
  <c r="C42" i="12"/>
  <c r="C41" i="12"/>
  <c r="C40" i="12"/>
  <c r="C33" i="12"/>
  <c r="C32" i="12"/>
  <c r="C31" i="12"/>
  <c r="C30" i="12"/>
  <c r="C29" i="12"/>
  <c r="C28" i="12"/>
  <c r="C27" i="12"/>
  <c r="C26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5" i="12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6" i="2"/>
  <c r="C45" i="2"/>
  <c r="C44" i="2"/>
  <c r="C43" i="2"/>
  <c r="C42" i="2"/>
  <c r="C41" i="2"/>
  <c r="C40" i="2"/>
  <c r="C33" i="2"/>
  <c r="C32" i="2"/>
  <c r="C31" i="2"/>
  <c r="C30" i="2"/>
  <c r="C29" i="2"/>
  <c r="C28" i="2"/>
  <c r="C27" i="2"/>
  <c r="C26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B9" i="15" s="1"/>
  <c r="B14" i="15" s="1"/>
  <c r="L18" i="7"/>
  <c r="M18" i="7" s="1"/>
  <c r="L19" i="7"/>
  <c r="L20" i="7"/>
  <c r="L21" i="7"/>
  <c r="L22" i="7"/>
  <c r="M22" i="7" s="1"/>
  <c r="L23" i="7"/>
  <c r="L24" i="7"/>
  <c r="L17" i="7"/>
  <c r="N17" i="7" s="1"/>
  <c r="K18" i="7"/>
  <c r="K19" i="7"/>
  <c r="K20" i="7"/>
  <c r="K21" i="7"/>
  <c r="K22" i="7"/>
  <c r="K23" i="7"/>
  <c r="K24" i="7"/>
  <c r="K17" i="7"/>
  <c r="M24" i="7"/>
  <c r="M23" i="7"/>
  <c r="M20" i="7"/>
  <c r="L6" i="7"/>
  <c r="M6" i="7" s="1"/>
  <c r="L7" i="7"/>
  <c r="M7" i="7" s="1"/>
  <c r="N7" i="7" s="1"/>
  <c r="L8" i="7"/>
  <c r="M8" i="7" s="1"/>
  <c r="N8" i="7" s="1"/>
  <c r="L9" i="7"/>
  <c r="M9" i="7" s="1"/>
  <c r="N9" i="7" s="1"/>
  <c r="L10" i="7"/>
  <c r="M10" i="7" s="1"/>
  <c r="N10" i="7" s="1"/>
  <c r="L11" i="7"/>
  <c r="M11" i="7" s="1"/>
  <c r="N11" i="7" s="1"/>
  <c r="L12" i="7"/>
  <c r="M12" i="7" s="1"/>
  <c r="N12" i="7" s="1"/>
  <c r="F18" i="7"/>
  <c r="E31" i="3"/>
  <c r="D33" i="3"/>
  <c r="E33" i="3" s="1"/>
  <c r="D32" i="3"/>
  <c r="E32" i="3" s="1"/>
  <c r="D31" i="3"/>
  <c r="D103" i="6"/>
  <c r="E101" i="6"/>
  <c r="I27" i="3"/>
  <c r="I70" i="3"/>
  <c r="I69" i="3"/>
  <c r="I71" i="3" s="1"/>
  <c r="J71" i="3"/>
  <c r="F85" i="2"/>
  <c r="F94" i="2" s="1"/>
  <c r="F103" i="2" s="1"/>
  <c r="F92" i="2"/>
  <c r="F101" i="2" s="1"/>
  <c r="J54" i="3"/>
  <c r="I54" i="3"/>
  <c r="J29" i="3"/>
  <c r="I28" i="3"/>
  <c r="F24" i="7"/>
  <c r="F23" i="7"/>
  <c r="F22" i="7"/>
  <c r="F21" i="7"/>
  <c r="F20" i="7"/>
  <c r="F19" i="7"/>
  <c r="J74" i="16" l="1"/>
  <c r="H74" i="16"/>
  <c r="F74" i="16"/>
  <c r="K74" i="16"/>
  <c r="I74" i="16"/>
  <c r="G74" i="16"/>
  <c r="R11" i="13"/>
  <c r="H13" i="5"/>
  <c r="Q22" i="13"/>
  <c r="I29" i="3"/>
  <c r="N8" i="13"/>
  <c r="N22" i="5" s="1"/>
  <c r="Q19" i="13"/>
  <c r="R8" i="13"/>
  <c r="N26" i="5" s="1"/>
  <c r="S10" i="13"/>
  <c r="M21" i="13"/>
  <c r="R20" i="13"/>
  <c r="N19" i="13"/>
  <c r="H9" i="5"/>
  <c r="D85" i="14" s="1"/>
  <c r="C34" i="12"/>
  <c r="C61" i="12"/>
  <c r="N12" i="13"/>
  <c r="S12" i="13"/>
  <c r="O10" i="13"/>
  <c r="M18" i="13"/>
  <c r="N20" i="13"/>
  <c r="Q18" i="13"/>
  <c r="N9" i="13"/>
  <c r="O12" i="13"/>
  <c r="R9" i="13"/>
  <c r="M17" i="13"/>
  <c r="R19" i="13"/>
  <c r="E9" i="15"/>
  <c r="E14" i="15" s="1"/>
  <c r="C61" i="2"/>
  <c r="N23" i="7"/>
  <c r="M10" i="13"/>
  <c r="N11" i="13"/>
  <c r="O8" i="13"/>
  <c r="S8" i="13"/>
  <c r="R12" i="13"/>
  <c r="R13" i="13" s="1"/>
  <c r="T11" i="13"/>
  <c r="P11" i="13"/>
  <c r="T9" i="13"/>
  <c r="P9" i="13"/>
  <c r="M20" i="13"/>
  <c r="M16" i="13"/>
  <c r="Q16" i="13"/>
  <c r="S22" i="13"/>
  <c r="O22" i="13"/>
  <c r="R21" i="13"/>
  <c r="N21" i="13"/>
  <c r="Q20" i="13"/>
  <c r="T19" i="13"/>
  <c r="P19" i="13"/>
  <c r="S18" i="13"/>
  <c r="O18" i="13"/>
  <c r="R17" i="13"/>
  <c r="N17" i="13"/>
  <c r="F68" i="14"/>
  <c r="J68" i="14"/>
  <c r="G68" i="14"/>
  <c r="K68" i="14"/>
  <c r="D68" i="14"/>
  <c r="H68" i="14"/>
  <c r="C68" i="14"/>
  <c r="E68" i="14"/>
  <c r="I68" i="14"/>
  <c r="D103" i="14"/>
  <c r="H103" i="14"/>
  <c r="C103" i="14"/>
  <c r="E103" i="14"/>
  <c r="I103" i="14"/>
  <c r="F103" i="14"/>
  <c r="J103" i="14"/>
  <c r="G103" i="14"/>
  <c r="K103" i="14"/>
  <c r="N6" i="7"/>
  <c r="M9" i="13"/>
  <c r="P8" i="13"/>
  <c r="T8" i="13"/>
  <c r="Q12" i="13"/>
  <c r="S11" i="13"/>
  <c r="O11" i="13"/>
  <c r="Q10" i="13"/>
  <c r="N16" i="13"/>
  <c r="R16" i="13"/>
  <c r="R22" i="13"/>
  <c r="N22" i="13"/>
  <c r="Q21" i="13"/>
  <c r="T20" i="13"/>
  <c r="P20" i="13"/>
  <c r="S19" i="13"/>
  <c r="O19" i="13"/>
  <c r="T22" i="13"/>
  <c r="M12" i="13"/>
  <c r="M8" i="13"/>
  <c r="Q8" i="13"/>
  <c r="T12" i="13"/>
  <c r="P12" i="13"/>
  <c r="O16" i="13"/>
  <c r="S16" i="13"/>
  <c r="T21" i="13"/>
  <c r="P21" i="13"/>
  <c r="S20" i="13"/>
  <c r="O20" i="13"/>
  <c r="T17" i="13"/>
  <c r="P17" i="13"/>
  <c r="I22" i="5"/>
  <c r="I26" i="5"/>
  <c r="Q11" i="13"/>
  <c r="P16" i="13"/>
  <c r="T16" i="13"/>
  <c r="P22" i="13"/>
  <c r="S21" i="13"/>
  <c r="O21" i="13"/>
  <c r="J53" i="14"/>
  <c r="H53" i="14"/>
  <c r="F53" i="14"/>
  <c r="D53" i="14"/>
  <c r="K52" i="14"/>
  <c r="I52" i="14"/>
  <c r="G52" i="14"/>
  <c r="E52" i="14"/>
  <c r="C52" i="14"/>
  <c r="J51" i="14"/>
  <c r="H51" i="14"/>
  <c r="F51" i="14"/>
  <c r="D51" i="14"/>
  <c r="K50" i="14"/>
  <c r="I50" i="14"/>
  <c r="G50" i="14"/>
  <c r="E50" i="14"/>
  <c r="C50" i="14"/>
  <c r="H84" i="14"/>
  <c r="F84" i="14"/>
  <c r="F88" i="14"/>
  <c r="K87" i="14"/>
  <c r="C87" i="14"/>
  <c r="J86" i="14"/>
  <c r="K85" i="14"/>
  <c r="I85" i="14"/>
  <c r="J49" i="14"/>
  <c r="H49" i="14"/>
  <c r="F49" i="14"/>
  <c r="D49" i="14"/>
  <c r="K53" i="14"/>
  <c r="I53" i="14"/>
  <c r="G53" i="14"/>
  <c r="E53" i="14"/>
  <c r="C53" i="14"/>
  <c r="J52" i="14"/>
  <c r="H52" i="14"/>
  <c r="F52" i="14"/>
  <c r="D52" i="14"/>
  <c r="K51" i="14"/>
  <c r="I51" i="14"/>
  <c r="G51" i="14"/>
  <c r="E51" i="14"/>
  <c r="C51" i="14"/>
  <c r="J50" i="14"/>
  <c r="H50" i="14"/>
  <c r="F50" i="14"/>
  <c r="D50" i="14"/>
  <c r="K84" i="14"/>
  <c r="I84" i="14"/>
  <c r="G84" i="14"/>
  <c r="K88" i="14"/>
  <c r="I88" i="14"/>
  <c r="G88" i="14"/>
  <c r="C88" i="14"/>
  <c r="J87" i="14"/>
  <c r="H87" i="14"/>
  <c r="D87" i="14"/>
  <c r="K86" i="14"/>
  <c r="I86" i="14"/>
  <c r="E86" i="14"/>
  <c r="C86" i="14"/>
  <c r="J85" i="14"/>
  <c r="F85" i="14"/>
  <c r="C49" i="14"/>
  <c r="I49" i="14"/>
  <c r="G49" i="14"/>
  <c r="E49" i="14"/>
  <c r="C19" i="12"/>
  <c r="N18" i="7"/>
  <c r="M19" i="7"/>
  <c r="N19" i="7" s="1"/>
  <c r="N20" i="7"/>
  <c r="M21" i="7"/>
  <c r="N21" i="7" s="1"/>
  <c r="N22" i="7"/>
  <c r="N24" i="7"/>
  <c r="F93" i="2"/>
  <c r="C85" i="14" l="1"/>
  <c r="L85" i="14" s="1"/>
  <c r="D86" i="14"/>
  <c r="G87" i="14"/>
  <c r="H88" i="14"/>
  <c r="J84" i="14"/>
  <c r="L84" i="14" s="1"/>
  <c r="M84" i="14" s="1"/>
  <c r="E85" i="14"/>
  <c r="H86" i="14"/>
  <c r="I87" i="14"/>
  <c r="J88" i="14"/>
  <c r="N13" i="13"/>
  <c r="L68" i="14"/>
  <c r="M68" i="14" s="1"/>
  <c r="L49" i="14"/>
  <c r="M49" i="14" s="1"/>
  <c r="Q13" i="13"/>
  <c r="O25" i="5" s="1"/>
  <c r="F102" i="2"/>
  <c r="D111" i="2"/>
  <c r="D115" i="2" s="1"/>
  <c r="D119" i="2" s="1"/>
  <c r="G93" i="2"/>
  <c r="O13" i="13"/>
  <c r="O23" i="5" s="1"/>
  <c r="H85" i="14"/>
  <c r="G86" i="14"/>
  <c r="F87" i="14"/>
  <c r="E88" i="14"/>
  <c r="E84" i="14"/>
  <c r="G85" i="14"/>
  <c r="F86" i="14"/>
  <c r="L86" i="14" s="1"/>
  <c r="E87" i="14"/>
  <c r="D88" i="14"/>
  <c r="D84" i="14"/>
  <c r="C84" i="14"/>
  <c r="S13" i="13"/>
  <c r="J27" i="5" s="1"/>
  <c r="M13" i="13"/>
  <c r="J21" i="5" s="1"/>
  <c r="F83" i="16"/>
  <c r="H83" i="16"/>
  <c r="J83" i="16"/>
  <c r="L83" i="16"/>
  <c r="N83" i="16"/>
  <c r="P83" i="16"/>
  <c r="R83" i="16"/>
  <c r="E83" i="16"/>
  <c r="G83" i="16"/>
  <c r="I83" i="16"/>
  <c r="K83" i="16"/>
  <c r="M83" i="16"/>
  <c r="O83" i="16"/>
  <c r="Q83" i="16"/>
  <c r="S83" i="16"/>
  <c r="D83" i="16"/>
  <c r="O26" i="5"/>
  <c r="J26" i="5"/>
  <c r="O22" i="5"/>
  <c r="E11" i="15" s="1"/>
  <c r="E16" i="15" s="1"/>
  <c r="J22" i="5"/>
  <c r="B11" i="15" s="1"/>
  <c r="B16" i="15" s="1"/>
  <c r="I21" i="5"/>
  <c r="N21" i="5"/>
  <c r="N28" i="5"/>
  <c r="I28" i="5"/>
  <c r="P13" i="13"/>
  <c r="L53" i="14"/>
  <c r="N24" i="5"/>
  <c r="I24" i="5"/>
  <c r="T13" i="13"/>
  <c r="N27" i="5"/>
  <c r="I27" i="5"/>
  <c r="O21" i="5"/>
  <c r="L103" i="14"/>
  <c r="M103" i="14" s="1"/>
  <c r="N23" i="5"/>
  <c r="I23" i="5"/>
  <c r="N25" i="5"/>
  <c r="I25" i="5"/>
  <c r="L50" i="14"/>
  <c r="L51" i="14"/>
  <c r="L52" i="14"/>
  <c r="C115" i="6"/>
  <c r="C87" i="6"/>
  <c r="D87" i="6" s="1"/>
  <c r="C89" i="6"/>
  <c r="C88" i="6"/>
  <c r="E48" i="6"/>
  <c r="C92" i="6" s="1"/>
  <c r="E45" i="8"/>
  <c r="E44" i="8"/>
  <c r="C59" i="8" s="1"/>
  <c r="E28" i="8"/>
  <c r="E27" i="8"/>
  <c r="C52" i="8" s="1"/>
  <c r="E30" i="8"/>
  <c r="J23" i="5" l="1"/>
  <c r="O27" i="5"/>
  <c r="L88" i="14"/>
  <c r="L87" i="14"/>
  <c r="J25" i="5"/>
  <c r="F30" i="8"/>
  <c r="C53" i="8"/>
  <c r="C55" i="8" s="1"/>
  <c r="C56" i="8" s="1"/>
  <c r="C96" i="6"/>
  <c r="G96" i="6" s="1"/>
  <c r="E67" i="8"/>
  <c r="E54" i="8"/>
  <c r="E108" i="6"/>
  <c r="E94" i="6"/>
  <c r="J116" i="6"/>
  <c r="E109" i="6"/>
  <c r="E95" i="6"/>
  <c r="J28" i="5"/>
  <c r="O28" i="5"/>
  <c r="O24" i="5"/>
  <c r="J24" i="5"/>
  <c r="J114" i="6"/>
  <c r="H107" i="6"/>
  <c r="E93" i="6"/>
  <c r="E96" i="6" s="1"/>
  <c r="F107" i="6"/>
  <c r="D107" i="6"/>
  <c r="Q107" i="6"/>
  <c r="O107" i="6"/>
  <c r="M107" i="6"/>
  <c r="K107" i="6"/>
  <c r="I107" i="6"/>
  <c r="G107" i="6"/>
  <c r="R108" i="6"/>
  <c r="P108" i="6"/>
  <c r="N108" i="6"/>
  <c r="L108" i="6"/>
  <c r="J108" i="6"/>
  <c r="H108" i="6"/>
  <c r="F108" i="6"/>
  <c r="D108" i="6"/>
  <c r="R109" i="6"/>
  <c r="P109" i="6"/>
  <c r="N109" i="6"/>
  <c r="L109" i="6"/>
  <c r="J109" i="6"/>
  <c r="H109" i="6"/>
  <c r="F109" i="6"/>
  <c r="D109" i="6"/>
  <c r="H116" i="6"/>
  <c r="F116" i="6"/>
  <c r="D116" i="6"/>
  <c r="H115" i="6"/>
  <c r="F115" i="6"/>
  <c r="D115" i="6"/>
  <c r="H114" i="6"/>
  <c r="F114" i="6"/>
  <c r="D114" i="6"/>
  <c r="Q116" i="6"/>
  <c r="O116" i="6"/>
  <c r="M116" i="6"/>
  <c r="K116" i="6"/>
  <c r="R115" i="6"/>
  <c r="P115" i="6"/>
  <c r="N115" i="6"/>
  <c r="L115" i="6"/>
  <c r="J115" i="6"/>
  <c r="Q114" i="6"/>
  <c r="O114" i="6"/>
  <c r="M114" i="6"/>
  <c r="K114" i="6"/>
  <c r="R67" i="8"/>
  <c r="P67" i="8"/>
  <c r="N67" i="8"/>
  <c r="L67" i="8"/>
  <c r="J67" i="8"/>
  <c r="H67" i="8"/>
  <c r="F67" i="8"/>
  <c r="D67" i="8"/>
  <c r="E107" i="6"/>
  <c r="E110" i="6" s="1"/>
  <c r="F16" i="16" s="1"/>
  <c r="R107" i="6"/>
  <c r="P107" i="6"/>
  <c r="N107" i="6"/>
  <c r="L107" i="6"/>
  <c r="J107" i="6"/>
  <c r="C108" i="6"/>
  <c r="Q108" i="6"/>
  <c r="O108" i="6"/>
  <c r="M108" i="6"/>
  <c r="K108" i="6"/>
  <c r="I108" i="6"/>
  <c r="G108" i="6"/>
  <c r="C109" i="6"/>
  <c r="Q109" i="6"/>
  <c r="O109" i="6"/>
  <c r="M109" i="6"/>
  <c r="K109" i="6"/>
  <c r="I109" i="6"/>
  <c r="G109" i="6"/>
  <c r="I116" i="6"/>
  <c r="G116" i="6"/>
  <c r="E116" i="6"/>
  <c r="I115" i="6"/>
  <c r="G115" i="6"/>
  <c r="E115" i="6"/>
  <c r="I114" i="6"/>
  <c r="G114" i="6"/>
  <c r="E114" i="6"/>
  <c r="R116" i="6"/>
  <c r="P116" i="6"/>
  <c r="N116" i="6"/>
  <c r="L116" i="6"/>
  <c r="Q115" i="6"/>
  <c r="O115" i="6"/>
  <c r="M115" i="6"/>
  <c r="K115" i="6"/>
  <c r="R114" i="6"/>
  <c r="R117" i="6" s="1"/>
  <c r="S18" i="16" s="1"/>
  <c r="P114" i="6"/>
  <c r="P117" i="6" s="1"/>
  <c r="Q18" i="16" s="1"/>
  <c r="N114" i="6"/>
  <c r="N117" i="6" s="1"/>
  <c r="O18" i="16" s="1"/>
  <c r="L114" i="6"/>
  <c r="L117" i="6" s="1"/>
  <c r="M18" i="16" s="1"/>
  <c r="Q67" i="8"/>
  <c r="O67" i="8"/>
  <c r="M67" i="8"/>
  <c r="K67" i="8"/>
  <c r="I67" i="8"/>
  <c r="G67" i="8"/>
  <c r="E46" i="8"/>
  <c r="E47" i="8"/>
  <c r="G38" i="8"/>
  <c r="C62" i="8" l="1"/>
  <c r="C63" i="8" s="1"/>
  <c r="E60" i="8"/>
  <c r="E73" i="8"/>
  <c r="P110" i="6"/>
  <c r="Q16" i="16" s="1"/>
  <c r="Q19" i="16" s="1"/>
  <c r="H117" i="6"/>
  <c r="I18" i="16" s="1"/>
  <c r="G117" i="6"/>
  <c r="H18" i="16" s="1"/>
  <c r="J110" i="6"/>
  <c r="K16" i="16" s="1"/>
  <c r="R110" i="6"/>
  <c r="L110" i="6"/>
  <c r="M16" i="16" s="1"/>
  <c r="M19" i="16" s="1"/>
  <c r="N110" i="6"/>
  <c r="J117" i="6"/>
  <c r="K18" i="16" s="1"/>
  <c r="H110" i="6"/>
  <c r="I16" i="16" s="1"/>
  <c r="D117" i="6"/>
  <c r="E18" i="16" s="1"/>
  <c r="G39" i="8"/>
  <c r="H39" i="8" s="1"/>
  <c r="E53" i="8"/>
  <c r="E55" i="8" s="1"/>
  <c r="D72" i="8"/>
  <c r="F72" i="8"/>
  <c r="H72" i="8"/>
  <c r="J72" i="8"/>
  <c r="L72" i="8"/>
  <c r="N72" i="8"/>
  <c r="P72" i="8"/>
  <c r="R72" i="8"/>
  <c r="E72" i="8"/>
  <c r="G72" i="8"/>
  <c r="I72" i="8"/>
  <c r="K72" i="8"/>
  <c r="M72" i="8"/>
  <c r="O72" i="8"/>
  <c r="Q72" i="8"/>
  <c r="C72" i="8"/>
  <c r="G40" i="8"/>
  <c r="H40" i="8" s="1"/>
  <c r="C110" i="6"/>
  <c r="M117" i="6"/>
  <c r="N18" i="16" s="1"/>
  <c r="Q117" i="6"/>
  <c r="R18" i="16" s="1"/>
  <c r="I110" i="6"/>
  <c r="J16" i="16" s="1"/>
  <c r="M110" i="6"/>
  <c r="N16" i="16" s="1"/>
  <c r="Q110" i="6"/>
  <c r="R16" i="16" s="1"/>
  <c r="F110" i="6"/>
  <c r="G16" i="16" s="1"/>
  <c r="I73" i="8"/>
  <c r="K73" i="8"/>
  <c r="Q73" i="8"/>
  <c r="C73" i="8"/>
  <c r="H73" i="8"/>
  <c r="J73" i="8"/>
  <c r="P73" i="8"/>
  <c r="R73" i="8"/>
  <c r="E66" i="8"/>
  <c r="E68" i="8" s="1"/>
  <c r="F22" i="16" s="1"/>
  <c r="G66" i="8"/>
  <c r="G68" i="8" s="1"/>
  <c r="H22" i="16" s="1"/>
  <c r="I66" i="8"/>
  <c r="I68" i="8" s="1"/>
  <c r="J22" i="16" s="1"/>
  <c r="K66" i="8"/>
  <c r="K68" i="8" s="1"/>
  <c r="L22" i="16" s="1"/>
  <c r="M66" i="8"/>
  <c r="M68" i="8" s="1"/>
  <c r="N22" i="16" s="1"/>
  <c r="O66" i="8"/>
  <c r="O68" i="8" s="1"/>
  <c r="P22" i="16" s="1"/>
  <c r="Q66" i="8"/>
  <c r="Q68" i="8" s="1"/>
  <c r="R22" i="16" s="1"/>
  <c r="D66" i="8"/>
  <c r="D68" i="8" s="1"/>
  <c r="E22" i="16" s="1"/>
  <c r="F66" i="8"/>
  <c r="F68" i="8" s="1"/>
  <c r="G22" i="16" s="1"/>
  <c r="H66" i="8"/>
  <c r="H68" i="8" s="1"/>
  <c r="I22" i="16" s="1"/>
  <c r="J66" i="8"/>
  <c r="J68" i="8" s="1"/>
  <c r="K22" i="16" s="1"/>
  <c r="L66" i="8"/>
  <c r="L68" i="8" s="1"/>
  <c r="M22" i="16" s="1"/>
  <c r="N66" i="8"/>
  <c r="N68" i="8" s="1"/>
  <c r="O22" i="16" s="1"/>
  <c r="P66" i="8"/>
  <c r="P68" i="8" s="1"/>
  <c r="Q22" i="16" s="1"/>
  <c r="R66" i="8"/>
  <c r="R68" i="8" s="1"/>
  <c r="S22" i="16" s="1"/>
  <c r="E117" i="6"/>
  <c r="F18" i="16" s="1"/>
  <c r="I117" i="6"/>
  <c r="J18" i="16" s="1"/>
  <c r="P120" i="6"/>
  <c r="E120" i="6"/>
  <c r="K117" i="6"/>
  <c r="L18" i="16" s="1"/>
  <c r="O117" i="6"/>
  <c r="P18" i="16" s="1"/>
  <c r="F117" i="6"/>
  <c r="G18" i="16" s="1"/>
  <c r="G110" i="6"/>
  <c r="K110" i="6"/>
  <c r="O110" i="6"/>
  <c r="D110" i="6"/>
  <c r="E16" i="16" s="1"/>
  <c r="E12" i="3"/>
  <c r="G12" i="3" s="1"/>
  <c r="E11" i="3"/>
  <c r="F19" i="16" l="1"/>
  <c r="I19" i="16"/>
  <c r="E19" i="16"/>
  <c r="L120" i="6"/>
  <c r="G19" i="16"/>
  <c r="K19" i="16"/>
  <c r="K120" i="6"/>
  <c r="L16" i="16"/>
  <c r="L19" i="16" s="1"/>
  <c r="G12" i="16"/>
  <c r="K12" i="16"/>
  <c r="O12" i="16"/>
  <c r="S12" i="16"/>
  <c r="E12" i="16"/>
  <c r="J12" i="16"/>
  <c r="P12" i="16"/>
  <c r="F12" i="16"/>
  <c r="M12" i="16"/>
  <c r="H12" i="16"/>
  <c r="N12" i="16"/>
  <c r="R12" i="16"/>
  <c r="I12" i="16"/>
  <c r="L12" i="16"/>
  <c r="Q12" i="16"/>
  <c r="G120" i="6"/>
  <c r="H16" i="16"/>
  <c r="H19" i="16" s="1"/>
  <c r="N73" i="8"/>
  <c r="F73" i="8"/>
  <c r="O73" i="8"/>
  <c r="O74" i="8" s="1"/>
  <c r="G73" i="8"/>
  <c r="N19" i="16"/>
  <c r="C120" i="6"/>
  <c r="D19" i="16"/>
  <c r="E61" i="8"/>
  <c r="O120" i="6"/>
  <c r="P16" i="16"/>
  <c r="P19" i="16" s="1"/>
  <c r="R19" i="16"/>
  <c r="N120" i="6"/>
  <c r="O16" i="16"/>
  <c r="O19" i="16" s="1"/>
  <c r="L73" i="8"/>
  <c r="D73" i="8"/>
  <c r="M73" i="8"/>
  <c r="J19" i="16"/>
  <c r="R120" i="6"/>
  <c r="S16" i="16"/>
  <c r="S19" i="16" s="1"/>
  <c r="E62" i="8"/>
  <c r="H120" i="6"/>
  <c r="Q120" i="6"/>
  <c r="J120" i="6"/>
  <c r="M120" i="6"/>
  <c r="D120" i="6"/>
  <c r="L74" i="8"/>
  <c r="D74" i="8"/>
  <c r="M74" i="8"/>
  <c r="E74" i="8"/>
  <c r="F24" i="16" s="1"/>
  <c r="F25" i="16" s="1"/>
  <c r="R74" i="8"/>
  <c r="S24" i="16" s="1"/>
  <c r="J74" i="8"/>
  <c r="C74" i="8"/>
  <c r="K74" i="8"/>
  <c r="P74" i="8"/>
  <c r="H74" i="8"/>
  <c r="I24" i="16" s="1"/>
  <c r="I25" i="16" s="1"/>
  <c r="Q74" i="8"/>
  <c r="I74" i="8"/>
  <c r="J24" i="16" s="1"/>
  <c r="J25" i="16" s="1"/>
  <c r="N74" i="8"/>
  <c r="F74" i="8"/>
  <c r="G24" i="16" s="1"/>
  <c r="G25" i="16" s="1"/>
  <c r="G74" i="8"/>
  <c r="E13" i="3"/>
  <c r="G11" i="3"/>
  <c r="R77" i="8"/>
  <c r="I77" i="8"/>
  <c r="E77" i="8"/>
  <c r="I120" i="6"/>
  <c r="F120" i="6"/>
  <c r="E105" i="2"/>
  <c r="E101" i="2"/>
  <c r="D6" i="16" s="1"/>
  <c r="E92" i="2"/>
  <c r="D5" i="16" s="1"/>
  <c r="E94" i="2"/>
  <c r="E96" i="2" s="1"/>
  <c r="C114" i="2" s="1"/>
  <c r="E83" i="2"/>
  <c r="E85" i="2"/>
  <c r="E87" i="2" s="1"/>
  <c r="C110" i="2" s="1"/>
  <c r="E83" i="6"/>
  <c r="E82" i="6"/>
  <c r="E81" i="6"/>
  <c r="E80" i="6"/>
  <c r="C86" i="6" s="1"/>
  <c r="D86" i="6" s="1"/>
  <c r="E79" i="6"/>
  <c r="D77" i="6"/>
  <c r="F77" i="6" s="1"/>
  <c r="D76" i="6"/>
  <c r="F76" i="6" s="1"/>
  <c r="D75" i="6"/>
  <c r="F75" i="6" s="1"/>
  <c r="D74" i="6"/>
  <c r="F74" i="6" s="1"/>
  <c r="D73" i="6"/>
  <c r="F73" i="6" s="1"/>
  <c r="D72" i="6"/>
  <c r="F72" i="6" s="1"/>
  <c r="D71" i="6"/>
  <c r="F71" i="6" s="1"/>
  <c r="D70" i="6"/>
  <c r="F70" i="6" s="1"/>
  <c r="D69" i="6"/>
  <c r="F69" i="6" s="1"/>
  <c r="D68" i="6"/>
  <c r="F68" i="6" s="1"/>
  <c r="D67" i="6"/>
  <c r="F67" i="6" s="1"/>
  <c r="D66" i="6"/>
  <c r="F66" i="6" s="1"/>
  <c r="D65" i="6"/>
  <c r="F65" i="6" s="1"/>
  <c r="D64" i="6"/>
  <c r="F64" i="6" s="1"/>
  <c r="D63" i="6"/>
  <c r="F63" i="6" s="1"/>
  <c r="D62" i="6"/>
  <c r="F62" i="6" s="1"/>
  <c r="D61" i="6"/>
  <c r="F61" i="6" s="1"/>
  <c r="D60" i="6"/>
  <c r="F60" i="6" s="1"/>
  <c r="D59" i="6"/>
  <c r="F59" i="6" s="1"/>
  <c r="D58" i="6"/>
  <c r="F58" i="6" s="1"/>
  <c r="D57" i="6"/>
  <c r="F57" i="6" s="1"/>
  <c r="D56" i="6"/>
  <c r="F56" i="6" s="1"/>
  <c r="E51" i="6"/>
  <c r="E50" i="6"/>
  <c r="E49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2" i="6"/>
  <c r="D43" i="6"/>
  <c r="D44" i="6"/>
  <c r="D45" i="6"/>
  <c r="D24" i="6"/>
  <c r="E47" i="6"/>
  <c r="F51" i="6" s="1"/>
  <c r="C37" i="8"/>
  <c r="D37" i="8" s="1"/>
  <c r="E43" i="8"/>
  <c r="F47" i="8" s="1"/>
  <c r="D42" i="8"/>
  <c r="D41" i="8"/>
  <c r="D40" i="8"/>
  <c r="D39" i="8"/>
  <c r="D38" i="8"/>
  <c r="D25" i="8"/>
  <c r="D23" i="8"/>
  <c r="D22" i="8"/>
  <c r="D21" i="8"/>
  <c r="C20" i="8"/>
  <c r="D20" i="8" s="1"/>
  <c r="F13" i="8"/>
  <c r="E13" i="8"/>
  <c r="F12" i="8"/>
  <c r="E12" i="8"/>
  <c r="L54" i="5"/>
  <c r="L55" i="5"/>
  <c r="L56" i="5"/>
  <c r="L57" i="5"/>
  <c r="L58" i="5"/>
  <c r="L59" i="5"/>
  <c r="L60" i="5"/>
  <c r="L61" i="5"/>
  <c r="L62" i="5"/>
  <c r="L63" i="5"/>
  <c r="L64" i="5"/>
  <c r="L65" i="5"/>
  <c r="L44" i="5"/>
  <c r="L45" i="5"/>
  <c r="L46" i="5"/>
  <c r="L47" i="5"/>
  <c r="L48" i="5"/>
  <c r="L49" i="5"/>
  <c r="L50" i="5"/>
  <c r="L51" i="5"/>
  <c r="L52" i="5"/>
  <c r="L53" i="5"/>
  <c r="L37" i="5"/>
  <c r="L38" i="5"/>
  <c r="L39" i="5"/>
  <c r="L40" i="5"/>
  <c r="L41" i="5"/>
  <c r="L42" i="5"/>
  <c r="L43" i="5"/>
  <c r="I34" i="2"/>
  <c r="L68" i="2" s="1"/>
  <c r="F19" i="6"/>
  <c r="F18" i="6"/>
  <c r="E19" i="6"/>
  <c r="E18" i="6"/>
  <c r="S25" i="16" l="1"/>
  <c r="H77" i="8"/>
  <c r="Q77" i="8"/>
  <c r="R24" i="16"/>
  <c r="M77" i="8"/>
  <c r="N24" i="16"/>
  <c r="J77" i="8"/>
  <c r="K24" i="16"/>
  <c r="N77" i="8"/>
  <c r="O24" i="16"/>
  <c r="P77" i="8"/>
  <c r="Q24" i="16"/>
  <c r="L77" i="8"/>
  <c r="M24" i="16"/>
  <c r="O77" i="8"/>
  <c r="P24" i="16"/>
  <c r="C77" i="8"/>
  <c r="G83" i="2"/>
  <c r="D4" i="16"/>
  <c r="F10" i="16"/>
  <c r="F13" i="16" s="1"/>
  <c r="J10" i="16"/>
  <c r="J13" i="16" s="1"/>
  <c r="N10" i="16"/>
  <c r="N13" i="16" s="1"/>
  <c r="R10" i="16"/>
  <c r="R13" i="16" s="1"/>
  <c r="I10" i="16"/>
  <c r="I13" i="16" s="1"/>
  <c r="O10" i="16"/>
  <c r="O13" i="16" s="1"/>
  <c r="G10" i="16"/>
  <c r="G13" i="16" s="1"/>
  <c r="M10" i="16"/>
  <c r="M13" i="16" s="1"/>
  <c r="H10" i="16"/>
  <c r="H13" i="16" s="1"/>
  <c r="P10" i="16"/>
  <c r="P13" i="16" s="1"/>
  <c r="E10" i="16"/>
  <c r="E13" i="16" s="1"/>
  <c r="S10" i="16"/>
  <c r="S13" i="16" s="1"/>
  <c r="K10" i="16"/>
  <c r="K13" i="16" s="1"/>
  <c r="L10" i="16"/>
  <c r="L13" i="16" s="1"/>
  <c r="D10" i="16"/>
  <c r="D13" i="16" s="1"/>
  <c r="Q10" i="16"/>
  <c r="Q13" i="16" s="1"/>
  <c r="D77" i="8"/>
  <c r="E24" i="16"/>
  <c r="F77" i="8"/>
  <c r="G77" i="8"/>
  <c r="H24" i="16"/>
  <c r="K77" i="8"/>
  <c r="L24" i="16"/>
  <c r="G92" i="2"/>
  <c r="G101" i="2"/>
  <c r="G79" i="6"/>
  <c r="H79" i="6" s="1"/>
  <c r="C99" i="6"/>
  <c r="G103" i="6" s="1"/>
  <c r="G81" i="6"/>
  <c r="G80" i="6"/>
  <c r="F83" i="6"/>
  <c r="N68" i="2"/>
  <c r="N69" i="2"/>
  <c r="E25" i="16" l="1"/>
  <c r="D25" i="16"/>
  <c r="M25" i="16"/>
  <c r="O25" i="16"/>
  <c r="N25" i="16"/>
  <c r="P25" i="16"/>
  <c r="Q25" i="16"/>
  <c r="K25" i="16"/>
  <c r="R25" i="16"/>
  <c r="H25" i="16"/>
  <c r="L25" i="16"/>
  <c r="E6" i="8"/>
  <c r="F6" i="8"/>
  <c r="D6" i="8"/>
  <c r="C6" i="8"/>
  <c r="E24" i="7"/>
  <c r="G24" i="7" s="1"/>
  <c r="E23" i="7"/>
  <c r="G23" i="7" s="1"/>
  <c r="E22" i="7"/>
  <c r="G22" i="7" s="1"/>
  <c r="E21" i="7"/>
  <c r="G21" i="7" s="1"/>
  <c r="E20" i="7"/>
  <c r="G20" i="7" s="1"/>
  <c r="E19" i="7"/>
  <c r="G19" i="7" s="1"/>
  <c r="E18" i="7"/>
  <c r="G18" i="7" s="1"/>
  <c r="E17" i="7"/>
  <c r="G17" i="7" s="1"/>
  <c r="E12" i="7"/>
  <c r="E11" i="7"/>
  <c r="E10" i="7"/>
  <c r="E9" i="7"/>
  <c r="E8" i="7"/>
  <c r="E7" i="7"/>
  <c r="E6" i="7"/>
  <c r="E5" i="7"/>
  <c r="D7" i="6"/>
  <c r="E7" i="6"/>
  <c r="F7" i="6"/>
  <c r="C7" i="6"/>
  <c r="D14" i="6"/>
  <c r="E14" i="6"/>
  <c r="F14" i="6"/>
  <c r="C14" i="6"/>
  <c r="E7" i="5"/>
  <c r="E8" i="5"/>
  <c r="E10" i="5"/>
  <c r="E11" i="5"/>
  <c r="E12" i="5"/>
  <c r="E6" i="5"/>
  <c r="D61" i="16" l="1"/>
  <c r="C43" i="16"/>
  <c r="E99" i="16"/>
  <c r="E101" i="16" s="1"/>
  <c r="E94" i="16"/>
  <c r="E96" i="16" s="1"/>
  <c r="D31" i="16"/>
  <c r="D44" i="16" s="1"/>
  <c r="H8" i="5"/>
  <c r="G8" i="5"/>
  <c r="H11" i="5"/>
  <c r="G11" i="5"/>
  <c r="F5" i="7"/>
  <c r="G5" i="7"/>
  <c r="G9" i="7"/>
  <c r="F9" i="7"/>
  <c r="H7" i="5"/>
  <c r="G7" i="5"/>
  <c r="H10" i="5"/>
  <c r="G10" i="5"/>
  <c r="F6" i="7"/>
  <c r="G6" i="7"/>
  <c r="F10" i="7"/>
  <c r="G10" i="7"/>
  <c r="H6" i="5"/>
  <c r="G6" i="5"/>
  <c r="F7" i="7"/>
  <c r="G7" i="7"/>
  <c r="F11" i="7"/>
  <c r="G11" i="7"/>
  <c r="H12" i="5"/>
  <c r="G12" i="5"/>
  <c r="F8" i="7"/>
  <c r="G8" i="7"/>
  <c r="F12" i="7"/>
  <c r="G12" i="7"/>
  <c r="D61" i="2"/>
  <c r="G61" i="2"/>
  <c r="F71" i="2" s="1"/>
  <c r="H61" i="2"/>
  <c r="I71" i="2" s="1"/>
  <c r="I61" i="2"/>
  <c r="L71" i="2" s="1"/>
  <c r="E19" i="2"/>
  <c r="D65" i="2" s="1"/>
  <c r="F19" i="2"/>
  <c r="E65" i="2" s="1"/>
  <c r="I19" i="2"/>
  <c r="L65" i="2" s="1"/>
  <c r="N66" i="2" s="1"/>
  <c r="D19" i="2"/>
  <c r="E34" i="2"/>
  <c r="D68" i="2" s="1"/>
  <c r="F34" i="2"/>
  <c r="E68" i="2" s="1"/>
  <c r="G34" i="2"/>
  <c r="F68" i="2" s="1"/>
  <c r="H34" i="2"/>
  <c r="I68" i="2" s="1"/>
  <c r="D34" i="2"/>
  <c r="E49" i="2"/>
  <c r="F49" i="2" s="1"/>
  <c r="C42" i="16" l="1"/>
  <c r="D66" i="16"/>
  <c r="D89" i="16"/>
  <c r="D63" i="16"/>
  <c r="D40" i="14"/>
  <c r="H40" i="14"/>
  <c r="C41" i="14"/>
  <c r="G41" i="14"/>
  <c r="K41" i="14"/>
  <c r="G39" i="14"/>
  <c r="K39" i="14"/>
  <c r="E40" i="14"/>
  <c r="I40" i="14"/>
  <c r="D41" i="14"/>
  <c r="H41" i="14"/>
  <c r="D39" i="14"/>
  <c r="H39" i="14"/>
  <c r="C39" i="14"/>
  <c r="G40" i="14"/>
  <c r="F41" i="14"/>
  <c r="F39" i="14"/>
  <c r="J40" i="14"/>
  <c r="I41" i="14"/>
  <c r="I39" i="14"/>
  <c r="C40" i="14"/>
  <c r="K40" i="14"/>
  <c r="J41" i="14"/>
  <c r="J39" i="14"/>
  <c r="F40" i="14"/>
  <c r="E41" i="14"/>
  <c r="E39" i="14"/>
  <c r="C43" i="14"/>
  <c r="G43" i="14"/>
  <c r="K43" i="14"/>
  <c r="F44" i="14"/>
  <c r="J44" i="14"/>
  <c r="F42" i="14"/>
  <c r="J42" i="14"/>
  <c r="D43" i="14"/>
  <c r="H43" i="14"/>
  <c r="C44" i="14"/>
  <c r="G44" i="14"/>
  <c r="K44" i="14"/>
  <c r="G42" i="14"/>
  <c r="K42" i="14"/>
  <c r="J43" i="14"/>
  <c r="I44" i="14"/>
  <c r="I42" i="14"/>
  <c r="E43" i="14"/>
  <c r="D44" i="14"/>
  <c r="D42" i="14"/>
  <c r="C42" i="14"/>
  <c r="F43" i="14"/>
  <c r="E44" i="14"/>
  <c r="E42" i="14"/>
  <c r="I43" i="14"/>
  <c r="H44" i="14"/>
  <c r="H42" i="14"/>
  <c r="E75" i="14"/>
  <c r="I75" i="14"/>
  <c r="D76" i="14"/>
  <c r="H76" i="14"/>
  <c r="D74" i="14"/>
  <c r="H74" i="14"/>
  <c r="C74" i="14"/>
  <c r="F75" i="14"/>
  <c r="J75" i="14"/>
  <c r="E76" i="14"/>
  <c r="I76" i="14"/>
  <c r="E74" i="14"/>
  <c r="I74" i="14"/>
  <c r="C75" i="14"/>
  <c r="G75" i="14"/>
  <c r="K75" i="14"/>
  <c r="F76" i="14"/>
  <c r="J76" i="14"/>
  <c r="F74" i="14"/>
  <c r="J74" i="14"/>
  <c r="H75" i="14"/>
  <c r="G74" i="14"/>
  <c r="C76" i="14"/>
  <c r="K74" i="14"/>
  <c r="G76" i="14"/>
  <c r="D75" i="14"/>
  <c r="K76" i="14"/>
  <c r="D78" i="14"/>
  <c r="H78" i="14"/>
  <c r="C79" i="14"/>
  <c r="G79" i="14"/>
  <c r="K79" i="14"/>
  <c r="G77" i="14"/>
  <c r="K77" i="14"/>
  <c r="E78" i="14"/>
  <c r="I78" i="14"/>
  <c r="D79" i="14"/>
  <c r="H79" i="14"/>
  <c r="D77" i="14"/>
  <c r="H77" i="14"/>
  <c r="C77" i="14"/>
  <c r="F78" i="14"/>
  <c r="J78" i="14"/>
  <c r="E79" i="14"/>
  <c r="I79" i="14"/>
  <c r="E77" i="14"/>
  <c r="I77" i="14"/>
  <c r="K78" i="14"/>
  <c r="J77" i="14"/>
  <c r="F79" i="14"/>
  <c r="C78" i="14"/>
  <c r="J79" i="14"/>
  <c r="G78" i="14"/>
  <c r="F77" i="14"/>
  <c r="D81" i="14"/>
  <c r="H81" i="14"/>
  <c r="C82" i="14"/>
  <c r="G82" i="14"/>
  <c r="K82" i="14"/>
  <c r="F83" i="14"/>
  <c r="J83" i="14"/>
  <c r="F80" i="14"/>
  <c r="J80" i="14"/>
  <c r="E81" i="14"/>
  <c r="I81" i="14"/>
  <c r="D82" i="14"/>
  <c r="H82" i="14"/>
  <c r="C83" i="14"/>
  <c r="G83" i="14"/>
  <c r="K83" i="14"/>
  <c r="G80" i="14"/>
  <c r="K80" i="14"/>
  <c r="F81" i="14"/>
  <c r="J81" i="14"/>
  <c r="E82" i="14"/>
  <c r="I82" i="14"/>
  <c r="D83" i="14"/>
  <c r="H83" i="14"/>
  <c r="D80" i="14"/>
  <c r="H80" i="14"/>
  <c r="C80" i="14"/>
  <c r="F82" i="14"/>
  <c r="E80" i="14"/>
  <c r="C81" i="14"/>
  <c r="J82" i="14"/>
  <c r="I80" i="14"/>
  <c r="G81" i="14"/>
  <c r="E83" i="14"/>
  <c r="K81" i="14"/>
  <c r="I83" i="14"/>
  <c r="D65" i="14"/>
  <c r="H65" i="14"/>
  <c r="C66" i="14"/>
  <c r="G66" i="14"/>
  <c r="K66" i="14"/>
  <c r="F67" i="14"/>
  <c r="F65" i="14"/>
  <c r="J65" i="14"/>
  <c r="E66" i="14"/>
  <c r="I66" i="14"/>
  <c r="G65" i="14"/>
  <c r="F66" i="14"/>
  <c r="D67" i="14"/>
  <c r="I67" i="14"/>
  <c r="E64" i="14"/>
  <c r="I64" i="14"/>
  <c r="I65" i="14"/>
  <c r="H66" i="14"/>
  <c r="E67" i="14"/>
  <c r="J67" i="14"/>
  <c r="F64" i="14"/>
  <c r="J64" i="14"/>
  <c r="C65" i="14"/>
  <c r="K65" i="14"/>
  <c r="J66" i="14"/>
  <c r="G67" i="14"/>
  <c r="K67" i="14"/>
  <c r="G64" i="14"/>
  <c r="K64" i="14"/>
  <c r="E65" i="14"/>
  <c r="D66" i="14"/>
  <c r="C67" i="14"/>
  <c r="H67" i="14"/>
  <c r="D64" i="14"/>
  <c r="H64" i="14"/>
  <c r="C64" i="14"/>
  <c r="D55" i="14"/>
  <c r="H55" i="14"/>
  <c r="C56" i="14"/>
  <c r="G56" i="14"/>
  <c r="K56" i="14"/>
  <c r="F57" i="14"/>
  <c r="J57" i="14"/>
  <c r="E58" i="14"/>
  <c r="I58" i="14"/>
  <c r="E54" i="14"/>
  <c r="I54" i="14"/>
  <c r="E55" i="14"/>
  <c r="I55" i="14"/>
  <c r="D56" i="14"/>
  <c r="H56" i="14"/>
  <c r="C57" i="14"/>
  <c r="G57" i="14"/>
  <c r="K57" i="14"/>
  <c r="F58" i="14"/>
  <c r="J58" i="14"/>
  <c r="F54" i="14"/>
  <c r="J54" i="14"/>
  <c r="C55" i="14"/>
  <c r="K55" i="14"/>
  <c r="J56" i="14"/>
  <c r="I57" i="14"/>
  <c r="H58" i="14"/>
  <c r="H54" i="14"/>
  <c r="F55" i="14"/>
  <c r="E56" i="14"/>
  <c r="D57" i="14"/>
  <c r="C58" i="14"/>
  <c r="K58" i="14"/>
  <c r="K54" i="14"/>
  <c r="G55" i="14"/>
  <c r="F56" i="14"/>
  <c r="E57" i="14"/>
  <c r="D58" i="14"/>
  <c r="D54" i="14"/>
  <c r="C54" i="14"/>
  <c r="J55" i="14"/>
  <c r="I56" i="14"/>
  <c r="H57" i="14"/>
  <c r="G58" i="14"/>
  <c r="G54" i="14"/>
  <c r="C60" i="14"/>
  <c r="G60" i="14"/>
  <c r="K60" i="14"/>
  <c r="F61" i="14"/>
  <c r="J61" i="14"/>
  <c r="E62" i="14"/>
  <c r="I62" i="14"/>
  <c r="D63" i="14"/>
  <c r="D60" i="14"/>
  <c r="H60" i="14"/>
  <c r="C61" i="14"/>
  <c r="G61" i="14"/>
  <c r="K61" i="14"/>
  <c r="F62" i="14"/>
  <c r="J62" i="14"/>
  <c r="E63" i="14"/>
  <c r="I63" i="14"/>
  <c r="E59" i="14"/>
  <c r="I59" i="14"/>
  <c r="E60" i="14"/>
  <c r="I60" i="14"/>
  <c r="D61" i="14"/>
  <c r="H61" i="14"/>
  <c r="C62" i="14"/>
  <c r="G62" i="14"/>
  <c r="K62" i="14"/>
  <c r="F63" i="14"/>
  <c r="J63" i="14"/>
  <c r="F59" i="14"/>
  <c r="J59" i="14"/>
  <c r="F60" i="14"/>
  <c r="J60" i="14"/>
  <c r="E61" i="14"/>
  <c r="I61" i="14"/>
  <c r="D62" i="14"/>
  <c r="H62" i="14"/>
  <c r="C63" i="14"/>
  <c r="G63" i="14"/>
  <c r="K63" i="14"/>
  <c r="G59" i="14"/>
  <c r="K59" i="14"/>
  <c r="H63" i="14"/>
  <c r="D59" i="14"/>
  <c r="H59" i="14"/>
  <c r="C59" i="14"/>
  <c r="C46" i="14"/>
  <c r="G46" i="14"/>
  <c r="K46" i="14"/>
  <c r="F47" i="14"/>
  <c r="J47" i="14"/>
  <c r="E48" i="14"/>
  <c r="I48" i="14"/>
  <c r="E45" i="14"/>
  <c r="I45" i="14"/>
  <c r="D46" i="14"/>
  <c r="H46" i="14"/>
  <c r="C47" i="14"/>
  <c r="G47" i="14"/>
  <c r="K47" i="14"/>
  <c r="F48" i="14"/>
  <c r="J48" i="14"/>
  <c r="F45" i="14"/>
  <c r="J45" i="14"/>
  <c r="F46" i="14"/>
  <c r="E47" i="14"/>
  <c r="D48" i="14"/>
  <c r="D45" i="14"/>
  <c r="C45" i="14"/>
  <c r="I46" i="14"/>
  <c r="H47" i="14"/>
  <c r="G48" i="14"/>
  <c r="G45" i="14"/>
  <c r="J46" i="14"/>
  <c r="I47" i="14"/>
  <c r="H48" i="14"/>
  <c r="H45" i="14"/>
  <c r="E46" i="14"/>
  <c r="D47" i="14"/>
  <c r="C48" i="14"/>
  <c r="K48" i="14"/>
  <c r="K45" i="14"/>
  <c r="F100" i="14"/>
  <c r="J100" i="14"/>
  <c r="E101" i="14"/>
  <c r="I101" i="14"/>
  <c r="D102" i="14"/>
  <c r="H102" i="14"/>
  <c r="D99" i="14"/>
  <c r="H99" i="14"/>
  <c r="C99" i="14"/>
  <c r="C100" i="14"/>
  <c r="G100" i="14"/>
  <c r="K100" i="14"/>
  <c r="F101" i="14"/>
  <c r="J101" i="14"/>
  <c r="E102" i="14"/>
  <c r="I102" i="14"/>
  <c r="E99" i="14"/>
  <c r="I99" i="14"/>
  <c r="D100" i="14"/>
  <c r="H100" i="14"/>
  <c r="C101" i="14"/>
  <c r="G101" i="14"/>
  <c r="K101" i="14"/>
  <c r="F102" i="14"/>
  <c r="J102" i="14"/>
  <c r="F99" i="14"/>
  <c r="J99" i="14"/>
  <c r="D101" i="14"/>
  <c r="K102" i="14"/>
  <c r="H101" i="14"/>
  <c r="G99" i="14"/>
  <c r="E100" i="14"/>
  <c r="C102" i="14"/>
  <c r="K99" i="14"/>
  <c r="I100" i="14"/>
  <c r="G102" i="14"/>
  <c r="E90" i="14"/>
  <c r="I90" i="14"/>
  <c r="D91" i="14"/>
  <c r="H91" i="14"/>
  <c r="C92" i="14"/>
  <c r="G92" i="14"/>
  <c r="K92" i="14"/>
  <c r="F93" i="14"/>
  <c r="J93" i="14"/>
  <c r="F89" i="14"/>
  <c r="J89" i="14"/>
  <c r="F90" i="14"/>
  <c r="J90" i="14"/>
  <c r="E91" i="14"/>
  <c r="I91" i="14"/>
  <c r="D92" i="14"/>
  <c r="H92" i="14"/>
  <c r="C93" i="14"/>
  <c r="G93" i="14"/>
  <c r="K93" i="14"/>
  <c r="G89" i="14"/>
  <c r="K89" i="14"/>
  <c r="C90" i="14"/>
  <c r="G90" i="14"/>
  <c r="K90" i="14"/>
  <c r="F91" i="14"/>
  <c r="J91" i="14"/>
  <c r="E92" i="14"/>
  <c r="I92" i="14"/>
  <c r="D93" i="14"/>
  <c r="H93" i="14"/>
  <c r="D89" i="14"/>
  <c r="H89" i="14"/>
  <c r="C89" i="14"/>
  <c r="C91" i="14"/>
  <c r="J92" i="14"/>
  <c r="I89" i="14"/>
  <c r="G91" i="14"/>
  <c r="E93" i="14"/>
  <c r="D90" i="14"/>
  <c r="K91" i="14"/>
  <c r="I93" i="14"/>
  <c r="H90" i="14"/>
  <c r="F92" i="14"/>
  <c r="E89" i="14"/>
  <c r="F95" i="14"/>
  <c r="J95" i="14"/>
  <c r="E96" i="14"/>
  <c r="I96" i="14"/>
  <c r="D97" i="14"/>
  <c r="H97" i="14"/>
  <c r="C98" i="14"/>
  <c r="G98" i="14"/>
  <c r="K98" i="14"/>
  <c r="G94" i="14"/>
  <c r="K94" i="14"/>
  <c r="C95" i="14"/>
  <c r="G95" i="14"/>
  <c r="K95" i="14"/>
  <c r="F96" i="14"/>
  <c r="J96" i="14"/>
  <c r="E97" i="14"/>
  <c r="I97" i="14"/>
  <c r="D98" i="14"/>
  <c r="H98" i="14"/>
  <c r="D94" i="14"/>
  <c r="H94" i="14"/>
  <c r="C94" i="14"/>
  <c r="D95" i="14"/>
  <c r="H95" i="14"/>
  <c r="C96" i="14"/>
  <c r="G96" i="14"/>
  <c r="K96" i="14"/>
  <c r="F97" i="14"/>
  <c r="J97" i="14"/>
  <c r="E98" i="14"/>
  <c r="I98" i="14"/>
  <c r="E94" i="14"/>
  <c r="I94" i="14"/>
  <c r="I95" i="14"/>
  <c r="G97" i="14"/>
  <c r="F94" i="14"/>
  <c r="D96" i="14"/>
  <c r="K97" i="14"/>
  <c r="J94" i="14"/>
  <c r="H96" i="14"/>
  <c r="F98" i="14"/>
  <c r="E95" i="14"/>
  <c r="C97" i="14"/>
  <c r="J98" i="14"/>
  <c r="D93" i="2"/>
  <c r="C68" i="2"/>
  <c r="H70" i="2"/>
  <c r="H68" i="2"/>
  <c r="H69" i="2"/>
  <c r="K71" i="2"/>
  <c r="K72" i="2"/>
  <c r="C71" i="2"/>
  <c r="K68" i="2"/>
  <c r="K69" i="2"/>
  <c r="C65" i="2"/>
  <c r="D84" i="2"/>
  <c r="G86" i="2" s="1"/>
  <c r="N71" i="2"/>
  <c r="N72" i="2"/>
  <c r="H72" i="2"/>
  <c r="H73" i="2"/>
  <c r="H71" i="2"/>
  <c r="E42" i="2"/>
  <c r="F42" i="2" s="1"/>
  <c r="E43" i="2"/>
  <c r="F43" i="2" s="1"/>
  <c r="E44" i="2"/>
  <c r="F44" i="2" s="1"/>
  <c r="E45" i="2"/>
  <c r="F45" i="2" s="1"/>
  <c r="E46" i="2"/>
  <c r="F46" i="2" s="1"/>
  <c r="E47" i="2"/>
  <c r="F47" i="2" s="1"/>
  <c r="E48" i="2"/>
  <c r="F48" i="2" s="1"/>
  <c r="E50" i="2"/>
  <c r="F50" i="2" s="1"/>
  <c r="E51" i="2"/>
  <c r="F51" i="2" s="1"/>
  <c r="E52" i="2"/>
  <c r="F52" i="2" s="1"/>
  <c r="E53" i="2"/>
  <c r="F53" i="2" s="1"/>
  <c r="E54" i="2"/>
  <c r="F54" i="2" s="1"/>
  <c r="E55" i="2"/>
  <c r="F55" i="2" s="1"/>
  <c r="E56" i="2"/>
  <c r="F56" i="2" s="1"/>
  <c r="E57" i="2"/>
  <c r="F57" i="2" s="1"/>
  <c r="E58" i="2"/>
  <c r="F58" i="2" s="1"/>
  <c r="E59" i="2"/>
  <c r="F59" i="2" s="1"/>
  <c r="E60" i="2"/>
  <c r="F60" i="2" s="1"/>
  <c r="E41" i="2"/>
  <c r="C66" i="16" l="1"/>
  <c r="D68" i="16"/>
  <c r="D76" i="16" s="1"/>
  <c r="L94" i="14"/>
  <c r="M94" i="14" s="1"/>
  <c r="L63" i="14"/>
  <c r="L39" i="14"/>
  <c r="M39" i="14" s="1"/>
  <c r="L78" i="14"/>
  <c r="L59" i="14"/>
  <c r="M59" i="14" s="1"/>
  <c r="L90" i="14"/>
  <c r="L45" i="14"/>
  <c r="M45" i="14" s="1"/>
  <c r="L89" i="14"/>
  <c r="M89" i="14" s="1"/>
  <c r="L93" i="14"/>
  <c r="L100" i="14"/>
  <c r="L48" i="14"/>
  <c r="L61" i="14"/>
  <c r="L54" i="14"/>
  <c r="M54" i="14" s="1"/>
  <c r="L58" i="14"/>
  <c r="L57" i="14"/>
  <c r="L64" i="14"/>
  <c r="M64" i="14" s="1"/>
  <c r="L67" i="14"/>
  <c r="L79" i="14"/>
  <c r="L75" i="14"/>
  <c r="L42" i="14"/>
  <c r="M42" i="14" s="1"/>
  <c r="L43" i="14"/>
  <c r="L96" i="14"/>
  <c r="L91" i="14"/>
  <c r="L97" i="14"/>
  <c r="L95" i="14"/>
  <c r="L92" i="14"/>
  <c r="L102" i="14"/>
  <c r="L101" i="14"/>
  <c r="L99" i="14"/>
  <c r="M99" i="14" s="1"/>
  <c r="L46" i="14"/>
  <c r="L55" i="14"/>
  <c r="L56" i="14"/>
  <c r="L65" i="14"/>
  <c r="L66" i="14"/>
  <c r="L80" i="14"/>
  <c r="M80" i="14" s="1"/>
  <c r="L82" i="14"/>
  <c r="L77" i="14"/>
  <c r="M77" i="14" s="1"/>
  <c r="L41" i="14"/>
  <c r="L98" i="14"/>
  <c r="L47" i="14"/>
  <c r="L60" i="14"/>
  <c r="L81" i="14"/>
  <c r="L83" i="14"/>
  <c r="G95" i="2"/>
  <c r="E95" i="2"/>
  <c r="L62" i="14"/>
  <c r="L76" i="14"/>
  <c r="L74" i="14"/>
  <c r="M74" i="14" s="1"/>
  <c r="L44" i="14"/>
  <c r="L40" i="14"/>
  <c r="E88" i="2"/>
  <c r="C136" i="2" s="1"/>
  <c r="E86" i="2"/>
  <c r="E97" i="2"/>
  <c r="F41" i="2"/>
  <c r="E61" i="2"/>
  <c r="H18" i="2"/>
  <c r="G18" i="2"/>
  <c r="H17" i="2"/>
  <c r="G17" i="2"/>
  <c r="H13" i="2"/>
  <c r="G13" i="2"/>
  <c r="G10" i="2"/>
  <c r="C66" i="3"/>
  <c r="C65" i="3"/>
  <c r="C24" i="3"/>
  <c r="G19" i="2" l="1"/>
  <c r="F61" i="2"/>
  <c r="D102" i="2" s="1"/>
  <c r="H19" i="2"/>
  <c r="I65" i="2" s="1"/>
  <c r="K66" i="2" s="1"/>
  <c r="F122" i="2"/>
  <c r="G4" i="16" s="1"/>
  <c r="C19" i="2"/>
  <c r="C23" i="3"/>
  <c r="E122" i="2"/>
  <c r="F4" i="16" s="1"/>
  <c r="G122" i="2"/>
  <c r="H4" i="16" s="1"/>
  <c r="I122" i="2"/>
  <c r="J4" i="16" s="1"/>
  <c r="K122" i="2"/>
  <c r="M122" i="2"/>
  <c r="N4" i="16" s="1"/>
  <c r="O122" i="2"/>
  <c r="P4" i="16" s="1"/>
  <c r="Q122" i="2"/>
  <c r="R4" i="16" s="1"/>
  <c r="D122" i="2"/>
  <c r="E4" i="16" s="1"/>
  <c r="H122" i="2"/>
  <c r="I4" i="16" s="1"/>
  <c r="J122" i="2"/>
  <c r="K4" i="16" s="1"/>
  <c r="L122" i="2"/>
  <c r="M4" i="16" s="1"/>
  <c r="N122" i="2"/>
  <c r="O4" i="16" s="1"/>
  <c r="P122" i="2"/>
  <c r="Q4" i="16" s="1"/>
  <c r="R122" i="2"/>
  <c r="S4" i="16" s="1"/>
  <c r="D123" i="2"/>
  <c r="E5" i="16" s="1"/>
  <c r="F123" i="2"/>
  <c r="G5" i="16" s="1"/>
  <c r="H123" i="2"/>
  <c r="I5" i="16" s="1"/>
  <c r="J123" i="2"/>
  <c r="K5" i="16" s="1"/>
  <c r="L123" i="2"/>
  <c r="M5" i="16" s="1"/>
  <c r="N123" i="2"/>
  <c r="O5" i="16" s="1"/>
  <c r="P123" i="2"/>
  <c r="Q5" i="16" s="1"/>
  <c r="R123" i="2"/>
  <c r="S5" i="16" s="1"/>
  <c r="E123" i="2"/>
  <c r="F5" i="16" s="1"/>
  <c r="G123" i="2"/>
  <c r="H5" i="16" s="1"/>
  <c r="I123" i="2"/>
  <c r="J5" i="16" s="1"/>
  <c r="K123" i="2"/>
  <c r="L5" i="16" s="1"/>
  <c r="L29" i="16" s="1"/>
  <c r="L42" i="16" s="1"/>
  <c r="M123" i="2"/>
  <c r="N5" i="16" s="1"/>
  <c r="O123" i="2"/>
  <c r="P5" i="16" s="1"/>
  <c r="Q123" i="2"/>
  <c r="R5" i="16" s="1"/>
  <c r="D71" i="2"/>
  <c r="C34" i="2"/>
  <c r="C47" i="3" s="1"/>
  <c r="C49" i="3" s="1"/>
  <c r="F65" i="2"/>
  <c r="E71" i="2" l="1"/>
  <c r="H21" i="2"/>
  <c r="S29" i="16"/>
  <c r="S42" i="16" s="1"/>
  <c r="K29" i="16"/>
  <c r="K42" i="16" s="1"/>
  <c r="P29" i="16"/>
  <c r="P42" i="16" s="1"/>
  <c r="H29" i="16"/>
  <c r="H42" i="16" s="1"/>
  <c r="G29" i="16"/>
  <c r="G42" i="16" s="1"/>
  <c r="Q29" i="16"/>
  <c r="Q42" i="16" s="1"/>
  <c r="I29" i="16"/>
  <c r="I42" i="16" s="1"/>
  <c r="N29" i="16"/>
  <c r="N42" i="16" s="1"/>
  <c r="F29" i="16"/>
  <c r="F42" i="16" s="1"/>
  <c r="O29" i="16"/>
  <c r="O42" i="16" s="1"/>
  <c r="E29" i="16"/>
  <c r="L61" i="16"/>
  <c r="M29" i="16"/>
  <c r="M42" i="16" s="1"/>
  <c r="R29" i="16"/>
  <c r="R42" i="16" s="1"/>
  <c r="J29" i="16"/>
  <c r="J42" i="16" s="1"/>
  <c r="E82" i="16"/>
  <c r="G82" i="16"/>
  <c r="I82" i="16"/>
  <c r="K82" i="16"/>
  <c r="M82" i="16"/>
  <c r="O82" i="16"/>
  <c r="Q82" i="16"/>
  <c r="S82" i="16"/>
  <c r="D82" i="16"/>
  <c r="F82" i="16"/>
  <c r="H82" i="16"/>
  <c r="J82" i="16"/>
  <c r="L82" i="16"/>
  <c r="N82" i="16"/>
  <c r="P82" i="16"/>
  <c r="R82" i="16"/>
  <c r="P128" i="2"/>
  <c r="P136" i="2" s="1"/>
  <c r="P140" i="2" s="1"/>
  <c r="L128" i="2"/>
  <c r="L136" i="2" s="1"/>
  <c r="L140" i="2" s="1"/>
  <c r="Q128" i="2"/>
  <c r="Q136" i="2" s="1"/>
  <c r="Q140" i="2" s="1"/>
  <c r="I128" i="2"/>
  <c r="I136" i="2" s="1"/>
  <c r="I140" i="2" s="1"/>
  <c r="C22" i="3"/>
  <c r="B10" i="15"/>
  <c r="B15" i="15" s="1"/>
  <c r="B17" i="15" s="1"/>
  <c r="C64" i="3"/>
  <c r="E10" i="15"/>
  <c r="E15" i="15" s="1"/>
  <c r="E17" i="15" s="1"/>
  <c r="E19" i="15" s="1"/>
  <c r="E20" i="15" s="1"/>
  <c r="R128" i="2"/>
  <c r="R136" i="2" s="1"/>
  <c r="R140" i="2" s="1"/>
  <c r="J128" i="2"/>
  <c r="J136" i="2" s="1"/>
  <c r="J140" i="2" s="1"/>
  <c r="O128" i="2"/>
  <c r="O136" i="2" s="1"/>
  <c r="O140" i="2" s="1"/>
  <c r="G128" i="2"/>
  <c r="G136" i="2" s="1"/>
  <c r="G140" i="2" s="1"/>
  <c r="C140" i="2"/>
  <c r="B18" i="15" s="1"/>
  <c r="H128" i="2"/>
  <c r="H136" i="2" s="1"/>
  <c r="H140" i="2" s="1"/>
  <c r="M128" i="2"/>
  <c r="M136" i="2" s="1"/>
  <c r="M140" i="2" s="1"/>
  <c r="E128" i="2"/>
  <c r="F128" i="2"/>
  <c r="F136" i="2" s="1"/>
  <c r="F140" i="2" s="1"/>
  <c r="G102" i="2"/>
  <c r="G104" i="2" s="1"/>
  <c r="E104" i="2"/>
  <c r="N128" i="2"/>
  <c r="N136" i="2" s="1"/>
  <c r="N140" i="2" s="1"/>
  <c r="D128" i="2"/>
  <c r="D136" i="2" s="1"/>
  <c r="D140" i="2" s="1"/>
  <c r="K128" i="2"/>
  <c r="K136" i="2" s="1"/>
  <c r="K140" i="2" s="1"/>
  <c r="E106" i="2"/>
  <c r="H66" i="2"/>
  <c r="H67" i="2"/>
  <c r="C29" i="16" l="1"/>
  <c r="R61" i="16"/>
  <c r="M61" i="16"/>
  <c r="S61" i="16"/>
  <c r="N61" i="16"/>
  <c r="P61" i="16"/>
  <c r="O61" i="16"/>
  <c r="Q61" i="16"/>
  <c r="L94" i="16"/>
  <c r="K61" i="16"/>
  <c r="G94" i="16"/>
  <c r="G96" i="16" s="1"/>
  <c r="F61" i="16"/>
  <c r="H94" i="16"/>
  <c r="H96" i="16" s="1"/>
  <c r="G61" i="16"/>
  <c r="I94" i="16"/>
  <c r="H61" i="16"/>
  <c r="K94" i="16"/>
  <c r="K96" i="16" s="1"/>
  <c r="J61" i="16"/>
  <c r="F94" i="16"/>
  <c r="F96" i="16" s="1"/>
  <c r="E61" i="16"/>
  <c r="J94" i="16"/>
  <c r="J96" i="16" s="1"/>
  <c r="I61" i="16"/>
  <c r="L96" i="16"/>
  <c r="I96" i="16"/>
  <c r="R84" i="16"/>
  <c r="N84" i="16"/>
  <c r="J84" i="16"/>
  <c r="F84" i="16"/>
  <c r="S84" i="16"/>
  <c r="O84" i="16"/>
  <c r="K84" i="16"/>
  <c r="G84" i="16"/>
  <c r="P84" i="16"/>
  <c r="L84" i="16"/>
  <c r="H84" i="16"/>
  <c r="D88" i="16"/>
  <c r="D84" i="16"/>
  <c r="Q84" i="16"/>
  <c r="M84" i="16"/>
  <c r="I84" i="16"/>
  <c r="E84" i="16"/>
  <c r="C18" i="15"/>
  <c r="E136" i="2"/>
  <c r="E140" i="2" s="1"/>
  <c r="E134" i="2"/>
  <c r="F134" i="2" s="1"/>
  <c r="G134" i="2" s="1"/>
  <c r="H134" i="2" s="1"/>
  <c r="C22" i="15"/>
  <c r="C23" i="15" s="1"/>
  <c r="B19" i="15"/>
  <c r="C25" i="15" s="1"/>
  <c r="C137" i="2"/>
  <c r="C141" i="2" s="1"/>
  <c r="E18" i="15" s="1"/>
  <c r="F17" i="15" s="1"/>
  <c r="D124" i="2"/>
  <c r="F124" i="2"/>
  <c r="H124" i="2"/>
  <c r="J124" i="2"/>
  <c r="L124" i="2"/>
  <c r="N124" i="2"/>
  <c r="P124" i="2"/>
  <c r="R124" i="2"/>
  <c r="E124" i="2"/>
  <c r="G124" i="2"/>
  <c r="I124" i="2"/>
  <c r="K124" i="2"/>
  <c r="M124" i="2"/>
  <c r="O124" i="2"/>
  <c r="Q124" i="2"/>
  <c r="O129" i="2" l="1"/>
  <c r="O137" i="2" s="1"/>
  <c r="O141" i="2" s="1"/>
  <c r="P6" i="16"/>
  <c r="N129" i="2"/>
  <c r="N137" i="2" s="1"/>
  <c r="N141" i="2" s="1"/>
  <c r="O6" i="16"/>
  <c r="F129" i="2"/>
  <c r="F137" i="2" s="1"/>
  <c r="F141" i="2" s="1"/>
  <c r="G6" i="16"/>
  <c r="M129" i="2"/>
  <c r="M137" i="2" s="1"/>
  <c r="M141" i="2" s="1"/>
  <c r="N6" i="16"/>
  <c r="E129" i="2"/>
  <c r="E135" i="2" s="1"/>
  <c r="F135" i="2" s="1"/>
  <c r="G135" i="2" s="1"/>
  <c r="F6" i="16"/>
  <c r="L129" i="2"/>
  <c r="L137" i="2" s="1"/>
  <c r="L141" i="2" s="1"/>
  <c r="M6" i="16"/>
  <c r="D129" i="2"/>
  <c r="D137" i="2" s="1"/>
  <c r="D141" i="2" s="1"/>
  <c r="E6" i="16"/>
  <c r="K129" i="2"/>
  <c r="K137" i="2" s="1"/>
  <c r="K141" i="2" s="1"/>
  <c r="L6" i="16"/>
  <c r="R129" i="2"/>
  <c r="R137" i="2" s="1"/>
  <c r="R141" i="2" s="1"/>
  <c r="S6" i="16"/>
  <c r="J129" i="2"/>
  <c r="J137" i="2" s="1"/>
  <c r="J141" i="2" s="1"/>
  <c r="K6" i="16"/>
  <c r="G129" i="2"/>
  <c r="G137" i="2" s="1"/>
  <c r="G141" i="2" s="1"/>
  <c r="H6" i="16"/>
  <c r="Q129" i="2"/>
  <c r="Q137" i="2" s="1"/>
  <c r="Q141" i="2" s="1"/>
  <c r="R6" i="16"/>
  <c r="I129" i="2"/>
  <c r="I137" i="2" s="1"/>
  <c r="I141" i="2" s="1"/>
  <c r="J6" i="16"/>
  <c r="P129" i="2"/>
  <c r="P137" i="2" s="1"/>
  <c r="P141" i="2" s="1"/>
  <c r="Q6" i="16"/>
  <c r="H129" i="2"/>
  <c r="H137" i="2" s="1"/>
  <c r="H141" i="2" s="1"/>
  <c r="I6" i="16"/>
  <c r="B20" i="15"/>
  <c r="Q125" i="2"/>
  <c r="M125" i="2"/>
  <c r="E125" i="2"/>
  <c r="P125" i="2"/>
  <c r="H125" i="2"/>
  <c r="O125" i="2"/>
  <c r="K125" i="2"/>
  <c r="G125" i="2"/>
  <c r="R125" i="2"/>
  <c r="N125" i="2"/>
  <c r="J125" i="2"/>
  <c r="F125" i="2"/>
  <c r="C125" i="2"/>
  <c r="I125" i="2"/>
  <c r="L125" i="2"/>
  <c r="D125" i="2"/>
  <c r="E137" i="2" l="1"/>
  <c r="E141" i="2" s="1"/>
  <c r="P88" i="16"/>
  <c r="L88" i="16"/>
  <c r="K88" i="16"/>
  <c r="G88" i="16"/>
  <c r="H88" i="16"/>
  <c r="I30" i="16"/>
  <c r="I43" i="16" s="1"/>
  <c r="I7" i="16"/>
  <c r="R88" i="16"/>
  <c r="S30" i="16"/>
  <c r="S43" i="16" s="1"/>
  <c r="S7" i="16"/>
  <c r="I88" i="16"/>
  <c r="Q88" i="16"/>
  <c r="F30" i="16"/>
  <c r="F43" i="16" s="1"/>
  <c r="F7" i="16"/>
  <c r="O88" i="16"/>
  <c r="O30" i="16"/>
  <c r="O43" i="16" s="1"/>
  <c r="O7" i="16"/>
  <c r="E88" i="16"/>
  <c r="S88" i="16"/>
  <c r="M88" i="16"/>
  <c r="J30" i="16"/>
  <c r="J43" i="16" s="1"/>
  <c r="J7" i="16"/>
  <c r="H30" i="16"/>
  <c r="H43" i="16" s="1"/>
  <c r="H7" i="16"/>
  <c r="F88" i="16"/>
  <c r="E30" i="16"/>
  <c r="E7" i="16"/>
  <c r="N88" i="16"/>
  <c r="Q30" i="16"/>
  <c r="Q43" i="16" s="1"/>
  <c r="Q7" i="16"/>
  <c r="R30" i="16"/>
  <c r="R43" i="16" s="1"/>
  <c r="R7" i="16"/>
  <c r="J88" i="16"/>
  <c r="K30" i="16"/>
  <c r="K43" i="16" s="1"/>
  <c r="K7" i="16"/>
  <c r="L30" i="16"/>
  <c r="L43" i="16" s="1"/>
  <c r="L7" i="16"/>
  <c r="M30" i="16"/>
  <c r="M43" i="16" s="1"/>
  <c r="M7" i="16"/>
  <c r="N30" i="16"/>
  <c r="N43" i="16" s="1"/>
  <c r="N7" i="16"/>
  <c r="G30" i="16"/>
  <c r="G43" i="16" s="1"/>
  <c r="G7" i="16"/>
  <c r="P30" i="16"/>
  <c r="P43" i="16" s="1"/>
  <c r="P7" i="16"/>
  <c r="E43" i="16" l="1"/>
  <c r="C30" i="16"/>
  <c r="R62" i="16"/>
  <c r="R67" i="16" s="1"/>
  <c r="R44" i="16"/>
  <c r="M62" i="16"/>
  <c r="M67" i="16" s="1"/>
  <c r="S62" i="16"/>
  <c r="S67" i="16" s="1"/>
  <c r="G44" i="16"/>
  <c r="Q62" i="16"/>
  <c r="Q67" i="16" s="1"/>
  <c r="F44" i="16"/>
  <c r="P62" i="16"/>
  <c r="P67" i="16" s="1"/>
  <c r="N62" i="16"/>
  <c r="N67" i="16" s="1"/>
  <c r="N44" i="16"/>
  <c r="L62" i="16"/>
  <c r="L67" i="16" s="1"/>
  <c r="O62" i="16"/>
  <c r="O67" i="16" s="1"/>
  <c r="O44" i="16"/>
  <c r="H99" i="16"/>
  <c r="H101" i="16" s="1"/>
  <c r="G62" i="16"/>
  <c r="G67" i="16" s="1"/>
  <c r="L99" i="16"/>
  <c r="L101" i="16" s="1"/>
  <c r="K62" i="16"/>
  <c r="K67" i="16" s="1"/>
  <c r="F99" i="16"/>
  <c r="F101" i="16" s="1"/>
  <c r="E62" i="16"/>
  <c r="E67" i="16" s="1"/>
  <c r="J99" i="16"/>
  <c r="I62" i="16"/>
  <c r="I67" i="16" s="1"/>
  <c r="K99" i="16"/>
  <c r="K101" i="16" s="1"/>
  <c r="J62" i="16"/>
  <c r="J67" i="16" s="1"/>
  <c r="G99" i="16"/>
  <c r="F62" i="16"/>
  <c r="F67" i="16" s="1"/>
  <c r="I99" i="16"/>
  <c r="I101" i="16" s="1"/>
  <c r="H62" i="16"/>
  <c r="H67" i="16" s="1"/>
  <c r="G31" i="16"/>
  <c r="K31" i="16"/>
  <c r="K44" i="16" s="1"/>
  <c r="O31" i="16"/>
  <c r="N31" i="16"/>
  <c r="Q31" i="16"/>
  <c r="H31" i="16"/>
  <c r="H44" i="16" s="1"/>
  <c r="S31" i="16"/>
  <c r="J101" i="16"/>
  <c r="I31" i="16"/>
  <c r="I44" i="16" s="1"/>
  <c r="M31" i="16"/>
  <c r="R31" i="16"/>
  <c r="J31" i="16"/>
  <c r="J44" i="16" s="1"/>
  <c r="G101" i="16"/>
  <c r="F31" i="16"/>
  <c r="P31" i="16"/>
  <c r="L31" i="16"/>
  <c r="E31" i="16"/>
  <c r="E44" i="16" l="1"/>
  <c r="Q44" i="16"/>
  <c r="S44" i="16"/>
  <c r="M44" i="16"/>
  <c r="L44" i="16"/>
  <c r="P44" i="16"/>
  <c r="N63" i="16"/>
  <c r="S63" i="16"/>
  <c r="R63" i="16"/>
  <c r="Q63" i="16"/>
  <c r="O63" i="16"/>
  <c r="L63" i="16"/>
  <c r="F63" i="16"/>
  <c r="M63" i="16"/>
  <c r="H63" i="16"/>
  <c r="K63" i="16"/>
  <c r="E63" i="16"/>
  <c r="P63" i="16"/>
  <c r="J63" i="16"/>
  <c r="I63" i="16"/>
  <c r="G63" i="16"/>
  <c r="G89" i="16" l="1"/>
  <c r="G68" i="16"/>
  <c r="G76" i="16" s="1"/>
  <c r="E89" i="16"/>
  <c r="E68" i="16"/>
  <c r="E76" i="16" s="1"/>
  <c r="O89" i="16"/>
  <c r="O68" i="16"/>
  <c r="O76" i="16" s="1"/>
  <c r="N89" i="16"/>
  <c r="N68" i="16"/>
  <c r="N76" i="16" s="1"/>
  <c r="I89" i="16"/>
  <c r="I68" i="16"/>
  <c r="I76" i="16" s="1"/>
  <c r="K89" i="16"/>
  <c r="K68" i="16"/>
  <c r="K76" i="16" s="1"/>
  <c r="L89" i="16"/>
  <c r="L68" i="16"/>
  <c r="L76" i="16" s="1"/>
  <c r="Q89" i="16"/>
  <c r="Q68" i="16"/>
  <c r="Q76" i="16" s="1"/>
  <c r="S89" i="16"/>
  <c r="S68" i="16"/>
  <c r="S76" i="16" s="1"/>
  <c r="J89" i="16"/>
  <c r="J68" i="16"/>
  <c r="J76" i="16" s="1"/>
  <c r="H89" i="16"/>
  <c r="H68" i="16"/>
  <c r="H76" i="16" s="1"/>
  <c r="F89" i="16"/>
  <c r="F68" i="16"/>
  <c r="F76" i="16" s="1"/>
  <c r="R89" i="16"/>
  <c r="R68" i="16"/>
  <c r="R76" i="16" s="1"/>
  <c r="P89" i="16"/>
  <c r="P68" i="16"/>
  <c r="P76" i="16" s="1"/>
  <c r="M89" i="16"/>
  <c r="M68" i="16"/>
  <c r="M76" i="16" s="1"/>
</calcChain>
</file>

<file path=xl/comments1.xml><?xml version="1.0" encoding="utf-8"?>
<comments xmlns="http://schemas.openxmlformats.org/spreadsheetml/2006/main">
  <authors>
    <author>atena</author>
  </authors>
  <commentList>
    <comment ref="J8" authorId="0" shapeId="0">
      <text>
        <r>
          <rPr>
            <b/>
            <sz val="8"/>
            <color indexed="81"/>
            <rFont val="Tahoma"/>
          </rPr>
          <t>atena:</t>
        </r>
        <r>
          <rPr>
            <sz val="8"/>
            <color indexed="81"/>
            <rFont val="Tahoma"/>
          </rPr>
          <t xml:space="preserve">
restul pana la 2881 sunt pasive</t>
        </r>
      </text>
    </comment>
  </commentList>
</comments>
</file>

<file path=xl/comments2.xml><?xml version="1.0" encoding="utf-8"?>
<comments xmlns="http://schemas.openxmlformats.org/spreadsheetml/2006/main">
  <authors>
    <author>mobile7</author>
    <author>atena</author>
  </authors>
  <commentList>
    <comment ref="C111" authorId="0" shapeId="0">
      <text>
        <r>
          <rPr>
            <b/>
            <sz val="9"/>
            <color indexed="81"/>
            <rFont val="Tahoma"/>
            <family val="2"/>
          </rPr>
          <t>mobile7:</t>
        </r>
        <r>
          <rPr>
            <sz val="9"/>
            <color indexed="81"/>
            <rFont val="Tahoma"/>
            <family val="2"/>
          </rPr>
          <t xml:space="preserve">
Sa verific dc aici sunt incluse si compostoarele individuale - </t>
        </r>
        <r>
          <rPr>
            <b/>
            <sz val="9"/>
            <color indexed="81"/>
            <rFont val="Tahoma"/>
            <family val="2"/>
          </rPr>
          <t>nu sunt incluse aici compostoarele individuale, astea au fost incluse la componenta 9</t>
        </r>
      </text>
    </comment>
    <comment ref="D111" authorId="1" shapeId="0">
      <text>
        <r>
          <rPr>
            <b/>
            <sz val="8"/>
            <color indexed="81"/>
            <rFont val="Tahoma"/>
            <family val="2"/>
          </rPr>
          <t>atena:</t>
        </r>
        <r>
          <rPr>
            <sz val="8"/>
            <color indexed="81"/>
            <rFont val="Tahoma"/>
            <family val="2"/>
          </rPr>
          <t xml:space="preserve">
Durata de viata a fost modificata de la 7 la 8 ani conform discutii ADI Servsal</t>
        </r>
      </text>
    </comment>
  </commentList>
</comments>
</file>

<file path=xl/comments3.xml><?xml version="1.0" encoding="utf-8"?>
<comments xmlns="http://schemas.openxmlformats.org/spreadsheetml/2006/main">
  <authors>
    <author>mobile7</author>
    <author>atena</author>
  </authors>
  <commentList>
    <comment ref="E38" authorId="0" shapeId="0">
      <text>
        <r>
          <rPr>
            <b/>
            <sz val="9"/>
            <color indexed="81"/>
            <rFont val="Tahoma"/>
            <family val="2"/>
          </rPr>
          <t>mobile7:</t>
        </r>
        <r>
          <rPr>
            <sz val="9"/>
            <color indexed="81"/>
            <rFont val="Tahoma"/>
            <family val="2"/>
          </rPr>
          <t xml:space="preserve">
Calculam amortisment pe 40 de ani</t>
        </r>
      </text>
    </comment>
    <comment ref="D94" authorId="1" shapeId="0">
      <text>
        <r>
          <rPr>
            <b/>
            <sz val="8"/>
            <color indexed="81"/>
            <rFont val="Tahoma"/>
            <family val="2"/>
          </rPr>
          <t>atena:</t>
        </r>
        <r>
          <rPr>
            <sz val="8"/>
            <color indexed="81"/>
            <rFont val="Tahoma"/>
            <family val="2"/>
          </rPr>
          <t xml:space="preserve">
Modificat conform discutie ADI SERVSAL</t>
        </r>
      </text>
    </comment>
  </commentList>
</comments>
</file>

<file path=xl/comments4.xml><?xml version="1.0" encoding="utf-8"?>
<comments xmlns="http://schemas.openxmlformats.org/spreadsheetml/2006/main">
  <authors>
    <author>mobile7</author>
    <author>atena</author>
  </authors>
  <commentList>
    <comment ref="E20" authorId="0" shapeId="0">
      <text>
        <r>
          <rPr>
            <b/>
            <sz val="9"/>
            <color indexed="81"/>
            <rFont val="Tahoma"/>
            <family val="2"/>
          </rPr>
          <t>mobile7:</t>
        </r>
        <r>
          <rPr>
            <sz val="9"/>
            <color indexed="81"/>
            <rFont val="Tahoma"/>
            <family val="2"/>
          </rPr>
          <t xml:space="preserve">
Nu le includem in redeventa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</rPr>
          <t>mobile7: nu il includem in redeventa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4" authorId="1" shapeId="0">
      <text>
        <r>
          <rPr>
            <b/>
            <sz val="8"/>
            <color indexed="81"/>
            <rFont val="Tahoma"/>
            <family val="2"/>
          </rPr>
          <t>atena:</t>
        </r>
        <r>
          <rPr>
            <sz val="8"/>
            <color indexed="81"/>
            <rFont val="Tahoma"/>
            <family val="2"/>
          </rPr>
          <t xml:space="preserve">
La valoarea de 175.300 Euro din Aplicatia de Finantare era adaugat si echipamentul de la Campulung de la statia de compost in valoare de 150.000 Euro din Deviz</t>
        </r>
      </text>
    </comment>
    <comment ref="E39" authorId="0" shapeId="0">
      <text>
        <r>
          <rPr>
            <b/>
            <sz val="9"/>
            <color indexed="81"/>
            <rFont val="Tahoma"/>
            <family val="2"/>
          </rPr>
          <t>nu il includem in redeventa mobile7: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1" authorId="1" shapeId="0">
      <text>
        <r>
          <rPr>
            <b/>
            <sz val="8"/>
            <color indexed="81"/>
            <rFont val="Tahoma"/>
            <family val="2"/>
          </rPr>
          <t>atena:</t>
        </r>
        <r>
          <rPr>
            <sz val="8"/>
            <color indexed="81"/>
            <rFont val="Tahoma"/>
            <family val="2"/>
          </rPr>
          <t xml:space="preserve">
La valoarea de 175.300 Euro din Aplicatia de Finantare era adaugat si echipamentul de la Albota de la statia de compost in valoare de 150.000 Euro din Deviz</t>
        </r>
      </text>
    </comment>
  </commentList>
</comments>
</file>

<file path=xl/sharedStrings.xml><?xml version="1.0" encoding="utf-8"?>
<sst xmlns="http://schemas.openxmlformats.org/spreadsheetml/2006/main" count="1526" uniqueCount="715">
  <si>
    <t>Zona 1</t>
  </si>
  <si>
    <t>Zona 1 - Curtea de Arges</t>
  </si>
  <si>
    <t>Curtea de Arges</t>
  </si>
  <si>
    <t>Albestii de Arges</t>
  </si>
  <si>
    <t>Arefu</t>
  </si>
  <si>
    <t>Baiculesti</t>
  </si>
  <si>
    <t>Cicanesti</t>
  </si>
  <si>
    <t>Ciofrangeni</t>
  </si>
  <si>
    <t>Cepari</t>
  </si>
  <si>
    <t>Poenarii de Arges</t>
  </si>
  <si>
    <t>Corbeni</t>
  </si>
  <si>
    <t>Salatrucu</t>
  </si>
  <si>
    <t>Suici</t>
  </si>
  <si>
    <t>Tigveni</t>
  </si>
  <si>
    <t>Valea Danului</t>
  </si>
  <si>
    <t>Valea Iasului</t>
  </si>
  <si>
    <t>Denumire</t>
  </si>
  <si>
    <t>Populatie</t>
  </si>
  <si>
    <t>Nr. Platforme</t>
  </si>
  <si>
    <t>Rezultatele cautarii - Populatia stabila la 1 ianuarie pe judete, localitati, grupe de varsta si sexe</t>
  </si>
  <si>
    <t>Judete</t>
  </si>
  <si>
    <t>Localitati</t>
  </si>
  <si>
    <t>Grupe de varsta</t>
  </si>
  <si>
    <t>Sexe</t>
  </si>
  <si>
    <t>Ani</t>
  </si>
  <si>
    <t>Numar persoane</t>
  </si>
  <si>
    <t>Arges</t>
  </si>
  <si>
    <t>TOTAL</t>
  </si>
  <si>
    <t>Total</t>
  </si>
  <si>
    <t>MUNICIPIUL PITESTI</t>
  </si>
  <si>
    <t>MUNICIPIUL CAMPULUNG</t>
  </si>
  <si>
    <t>MUNICIPIUL CURTEA DE ARGES</t>
  </si>
  <si>
    <t>ORAS COSTESTI</t>
  </si>
  <si>
    <t>ORAS MIOVENI</t>
  </si>
  <si>
    <t>ORAS STEFANESTI</t>
  </si>
  <si>
    <t>ORAS TOPOLOVENI</t>
  </si>
  <si>
    <t>ALBESTII DE ARGES</t>
  </si>
  <si>
    <t>ALBESTII DE MUSCEL</t>
  </si>
  <si>
    <t>ALBOTA</t>
  </si>
  <si>
    <t>ANINOASA</t>
  </si>
  <si>
    <t>AREFU</t>
  </si>
  <si>
    <t>BABANA</t>
  </si>
  <si>
    <t>BAICULESTI</t>
  </si>
  <si>
    <t>BALILESTI</t>
  </si>
  <si>
    <t>BARLA</t>
  </si>
  <si>
    <t>BASCOV</t>
  </si>
  <si>
    <t>BELETI-NEGRESTI</t>
  </si>
  <si>
    <t>BEREVOESTI</t>
  </si>
  <si>
    <t>BOGATI</t>
  </si>
  <si>
    <t>BOTENI</t>
  </si>
  <si>
    <t>BOTESTI</t>
  </si>
  <si>
    <t>BRADU</t>
  </si>
  <si>
    <t>BRADULET</t>
  </si>
  <si>
    <t>BUDEASA</t>
  </si>
  <si>
    <t>BUGHEA DE JOS</t>
  </si>
  <si>
    <t>BUGHEA DE SUS</t>
  </si>
  <si>
    <t>BUZOESTI</t>
  </si>
  <si>
    <t>CALDARARU</t>
  </si>
  <si>
    <t>CALINESTI</t>
  </si>
  <si>
    <t>CATEASCA</t>
  </si>
  <si>
    <t>CEPARI</t>
  </si>
  <si>
    <t>CETATENI</t>
  </si>
  <si>
    <t>CICANESTI</t>
  </si>
  <si>
    <t>CIOFRANGENI</t>
  </si>
  <si>
    <t>CIOMAGESTI</t>
  </si>
  <si>
    <t>COCU</t>
  </si>
  <si>
    <t>CORBENI</t>
  </si>
  <si>
    <t>CORBI</t>
  </si>
  <si>
    <t>COSESTI</t>
  </si>
  <si>
    <t>COTMEANA</t>
  </si>
  <si>
    <t>CUCA</t>
  </si>
  <si>
    <t>DAMBOVICIOARA</t>
  </si>
  <si>
    <t>DARMANESTI</t>
  </si>
  <si>
    <t>DAVIDESTI</t>
  </si>
  <si>
    <t>DOBRESTI</t>
  </si>
  <si>
    <t>DOMNESTI</t>
  </si>
  <si>
    <t>DRAGANU</t>
  </si>
  <si>
    <t>DRAGOSLAVELE</t>
  </si>
  <si>
    <t>GODENI</t>
  </si>
  <si>
    <t>HARSESTI</t>
  </si>
  <si>
    <t>HARTIESTI</t>
  </si>
  <si>
    <t>IZVORU</t>
  </si>
  <si>
    <t>LEORDENI</t>
  </si>
  <si>
    <t>LERESTI</t>
  </si>
  <si>
    <t>LUNCA CORBULUI</t>
  </si>
  <si>
    <t>MALURENI</t>
  </si>
  <si>
    <t>MARACINENI</t>
  </si>
  <si>
    <t>MERISANI</t>
  </si>
  <si>
    <t>MICESTI</t>
  </si>
  <si>
    <t>MIHAESTI</t>
  </si>
  <si>
    <t>MIOARELE</t>
  </si>
  <si>
    <t>MIROSI</t>
  </si>
  <si>
    <t>MORARESTI</t>
  </si>
  <si>
    <t>MOSOAIA</t>
  </si>
  <si>
    <t>MOZACENI</t>
  </si>
  <si>
    <t>MUSATESTI</t>
  </si>
  <si>
    <t>NEGRASI</t>
  </si>
  <si>
    <t>NUCSOARA</t>
  </si>
  <si>
    <t>OARJA</t>
  </si>
  <si>
    <t>PIETROSANI</t>
  </si>
  <si>
    <t>POIANA LACULUI</t>
  </si>
  <si>
    <t>POIENARII DE ARGES</t>
  </si>
  <si>
    <t>POIENARII DE MUSCEL</t>
  </si>
  <si>
    <t>POPESTI</t>
  </si>
  <si>
    <t>PRIBOIENI</t>
  </si>
  <si>
    <t>RACA</t>
  </si>
  <si>
    <t>RATESTI</t>
  </si>
  <si>
    <t>RECEA</t>
  </si>
  <si>
    <t>ROCIU</t>
  </si>
  <si>
    <t>RUCAR</t>
  </si>
  <si>
    <t>SALATRUCU</t>
  </si>
  <si>
    <t>SAPATA</t>
  </si>
  <si>
    <t>SCHITU GOLESTI</t>
  </si>
  <si>
    <t>SLOBOZIA</t>
  </si>
  <si>
    <t>STALPENI</t>
  </si>
  <si>
    <t>STEFAN CEL MARE</t>
  </si>
  <si>
    <t>STOENESTI</t>
  </si>
  <si>
    <t>STOLNICI</t>
  </si>
  <si>
    <t>SUICI</t>
  </si>
  <si>
    <t>SUSENI</t>
  </si>
  <si>
    <t>TEIU</t>
  </si>
  <si>
    <t>TIGVENI</t>
  </si>
  <si>
    <t>TITESTI</t>
  </si>
  <si>
    <t>UDA</t>
  </si>
  <si>
    <t>UNGHENI</t>
  </si>
  <si>
    <t>VALEA DANULUI</t>
  </si>
  <si>
    <t>VALEA IASULUI</t>
  </si>
  <si>
    <t>VALEA MARE PRAVAT</t>
  </si>
  <si>
    <t>VEDEA</t>
  </si>
  <si>
    <t>VLADESTI</t>
  </si>
  <si>
    <t>VULTURESTI</t>
  </si>
  <si>
    <t>© 1998 - 2007 INSTITUTUL NATIONAL DE STATISTICA</t>
  </si>
  <si>
    <t>Zona 2 - Domnesti</t>
  </si>
  <si>
    <t xml:space="preserve">Aninoasa </t>
  </si>
  <si>
    <t>Bradulet</t>
  </si>
  <si>
    <t>Corbi</t>
  </si>
  <si>
    <t>Domnesti</t>
  </si>
  <si>
    <t>Musatesti</t>
  </si>
  <si>
    <t>Nucsoara</t>
  </si>
  <si>
    <t>Pietrosani</t>
  </si>
  <si>
    <t>Vladesti</t>
  </si>
  <si>
    <t>Zona 8 - Costesti</t>
  </si>
  <si>
    <t>Costesti</t>
  </si>
  <si>
    <t>Barla</t>
  </si>
  <si>
    <t>Buzoiesti</t>
  </si>
  <si>
    <t>Caldararu</t>
  </si>
  <si>
    <t>Harsesti</t>
  </si>
  <si>
    <t>Izvoru</t>
  </si>
  <si>
    <t>Lunca Corbului</t>
  </si>
  <si>
    <t>Mirosi</t>
  </si>
  <si>
    <t>Mozaceni</t>
  </si>
  <si>
    <t>Negrasi</t>
  </si>
  <si>
    <t>Popesti</t>
  </si>
  <si>
    <t>Raca</t>
  </si>
  <si>
    <t>Rociu</t>
  </si>
  <si>
    <t>Recea</t>
  </si>
  <si>
    <t>Slobozia</t>
  </si>
  <si>
    <t>Stolnici</t>
  </si>
  <si>
    <t>Suseni</t>
  </si>
  <si>
    <t>Stefan cel Mare</t>
  </si>
  <si>
    <t>Teiu</t>
  </si>
  <si>
    <t>Ungheni</t>
  </si>
  <si>
    <t>25 mp</t>
  </si>
  <si>
    <t>8 mp</t>
  </si>
  <si>
    <t>Grup de 2 containere</t>
  </si>
  <si>
    <t>Containere</t>
  </si>
  <si>
    <t>120 L - rezidual</t>
  </si>
  <si>
    <t>120 L - reciclabile</t>
  </si>
  <si>
    <t>120 L - organic (in zona urbana)
compostor individual - in zona rurala</t>
  </si>
  <si>
    <t>Costesti (villages)</t>
  </si>
  <si>
    <t>zona 1 - Curtea de Arges</t>
  </si>
  <si>
    <t>Zona 3 - Costesti</t>
  </si>
  <si>
    <t>Numar masini de colecta</t>
  </si>
  <si>
    <t>24 mc Organic</t>
  </si>
  <si>
    <t>24 mc Reciclabil</t>
  </si>
  <si>
    <t>24 mc Rezidual</t>
  </si>
  <si>
    <t>16 mc Organic</t>
  </si>
  <si>
    <t>16 mc Reciclabil</t>
  </si>
  <si>
    <t>16 mc Rezidual</t>
  </si>
  <si>
    <t>Deseuri periculoase</t>
  </si>
  <si>
    <t>Masini colecta mediul urban</t>
  </si>
  <si>
    <t>Masini colecta mediul rural</t>
  </si>
  <si>
    <t>An</t>
  </si>
  <si>
    <t>Curtea Arges</t>
  </si>
  <si>
    <t>Cantitati Statii transfer</t>
  </si>
  <si>
    <t>Cantitati depozitate pe zone</t>
  </si>
  <si>
    <t>Zona 2</t>
  </si>
  <si>
    <t>Zona 8</t>
  </si>
  <si>
    <t>Input in statiile de compost</t>
  </si>
  <si>
    <t>Cantitati compostate in gospodarie</t>
  </si>
  <si>
    <t>Organic</t>
  </si>
  <si>
    <t>Hartie</t>
  </si>
  <si>
    <t>Sticla</t>
  </si>
  <si>
    <t>Metal</t>
  </si>
  <si>
    <t>Plastic</t>
  </si>
  <si>
    <t>Lemn</t>
  </si>
  <si>
    <t>Altele</t>
  </si>
  <si>
    <t>Rezidual</t>
  </si>
  <si>
    <t>CW</t>
  </si>
  <si>
    <t>Fluxul deseurilor in statiile de transfer - faza II</t>
  </si>
  <si>
    <t>Statie transfer</t>
  </si>
  <si>
    <t>Container 30 mc</t>
  </si>
  <si>
    <t>Echipamente</t>
  </si>
  <si>
    <t>Pod cantarire</t>
  </si>
  <si>
    <t>Camioane</t>
  </si>
  <si>
    <t>Incarcator frontal</t>
  </si>
  <si>
    <t>Curtea de Agres</t>
  </si>
  <si>
    <t>Dotari pentru punctele verzi</t>
  </si>
  <si>
    <t>30 mc</t>
  </si>
  <si>
    <t>10 mc</t>
  </si>
  <si>
    <t>Camioane deseuri periculoase</t>
  </si>
  <si>
    <t>Statie compost Curtea de Arges</t>
  </si>
  <si>
    <t>Statie compost Costesti</t>
  </si>
  <si>
    <t>Output statii compost</t>
  </si>
  <si>
    <t>Dotari statii de transfer</t>
  </si>
  <si>
    <t>Echipamente statiile de compost</t>
  </si>
  <si>
    <t>Shredder</t>
  </si>
  <si>
    <t>Container (buc)</t>
  </si>
  <si>
    <t>Echipament (buc)</t>
  </si>
  <si>
    <t>Investitii</t>
  </si>
  <si>
    <t>Statie de transfer</t>
  </si>
  <si>
    <t>Constructii civile</t>
  </si>
  <si>
    <t>Investitie</t>
  </si>
  <si>
    <t>Anuitati calculate</t>
  </si>
  <si>
    <t>Anuitati din SF</t>
  </si>
  <si>
    <t>Investitii statii de transfer</t>
  </si>
  <si>
    <t>Investitii statii de compost</t>
  </si>
  <si>
    <t>Collection trucks for Hazardous Wastes</t>
  </si>
  <si>
    <t>Zona 3</t>
  </si>
  <si>
    <t>Platforme tip A</t>
  </si>
  <si>
    <t>Platforme</t>
  </si>
  <si>
    <t>Platforme tip B</t>
  </si>
  <si>
    <t>Pubele rezidual la domiciliu</t>
  </si>
  <si>
    <t>Pubele compostare individuala la domiciliu</t>
  </si>
  <si>
    <t>Pubele reciclabil la domiciliu</t>
  </si>
  <si>
    <t>Nr. Containere de pe platforme</t>
  </si>
  <si>
    <t>Reciclabil</t>
  </si>
  <si>
    <t>Containere de pe platforme (1.1 mc)</t>
  </si>
  <si>
    <t>Presa de balotat(Balers)</t>
  </si>
  <si>
    <t>Recipiente de compostare individuala</t>
  </si>
  <si>
    <t>Container 30 mc pt transpotul compostului</t>
  </si>
  <si>
    <t>Investitii statia de compost Curtea de Arges</t>
  </si>
  <si>
    <t>Plaforma de beton</t>
  </si>
  <si>
    <t>Recipiente compostare individuala</t>
  </si>
  <si>
    <t>Container 30 mc pentru transport compost</t>
  </si>
  <si>
    <t>Shredder pentru deseu verde</t>
  </si>
  <si>
    <t>Nr buc</t>
  </si>
  <si>
    <t>Pret unitar</t>
  </si>
  <si>
    <t>Sistem de drenaj pentru levigat</t>
  </si>
  <si>
    <t>Site, balante si pompe</t>
  </si>
  <si>
    <t>Prelata de acoperire</t>
  </si>
  <si>
    <t>Acoperis</t>
  </si>
  <si>
    <t>Total, din care</t>
  </si>
  <si>
    <t>Echipamente cu montaj</t>
  </si>
  <si>
    <t>Echipamente de transport</t>
  </si>
  <si>
    <t>Dotari</t>
  </si>
  <si>
    <t>montaj</t>
  </si>
  <si>
    <t>utilaj</t>
  </si>
  <si>
    <t>dotare</t>
  </si>
  <si>
    <t>Investitii statia de compost Costesti</t>
  </si>
  <si>
    <t>Investitii Statia de transfer Curtea de Arges</t>
  </si>
  <si>
    <t>Organizare de santier</t>
  </si>
  <si>
    <t>Pregatirea zonei</t>
  </si>
  <si>
    <t>Lucrari de drenaj</t>
  </si>
  <si>
    <t>Platforme pentru deseuri</t>
  </si>
  <si>
    <t>Instalatii de siguranta si iluminat</t>
  </si>
  <si>
    <t>Lucrari de peisagistica</t>
  </si>
  <si>
    <t>Poarta si gard</t>
  </si>
  <si>
    <t>Lucrari civile pentru utilitati</t>
  </si>
  <si>
    <t>Pregatire pentru drumurile de acces</t>
  </si>
  <si>
    <t>Drumurile de acces</t>
  </si>
  <si>
    <t>Pavarea drumurilor de acces</t>
  </si>
  <si>
    <t>Drenajul drumurilor de acces</t>
  </si>
  <si>
    <t>Compactor</t>
  </si>
  <si>
    <t>Cantar</t>
  </si>
  <si>
    <t>Container administrativ</t>
  </si>
  <si>
    <t>Echipament pentru utilitati</t>
  </si>
  <si>
    <t>Container rezidual</t>
  </si>
  <si>
    <t>Container voluminoase</t>
  </si>
  <si>
    <t>Container EEE</t>
  </si>
  <si>
    <t>Container deseuri periculoase</t>
  </si>
  <si>
    <t>Camioane lung-curier</t>
  </si>
  <si>
    <t>TOTAL, din care:</t>
  </si>
  <si>
    <t>dotari</t>
  </si>
  <si>
    <t>cu montaj</t>
  </si>
  <si>
    <t>Investitii zona 1</t>
  </si>
  <si>
    <t>Pubele</t>
  </si>
  <si>
    <t>Bucati</t>
  </si>
  <si>
    <t>TOTAL, din care</t>
  </si>
  <si>
    <t>Investitii zona 2</t>
  </si>
  <si>
    <t>Investitii zona 8</t>
  </si>
  <si>
    <t>Masini necesare dar nefinantate prin proiect</t>
  </si>
  <si>
    <t>Masini colecta deseuri periculoase</t>
  </si>
  <si>
    <t>Zona 1 si 2</t>
  </si>
  <si>
    <t>Nr</t>
  </si>
  <si>
    <t>Durata de viata</t>
  </si>
  <si>
    <t>Statia de compost Curtea de Arges</t>
  </si>
  <si>
    <t>Echipament fix</t>
  </si>
  <si>
    <t>Exchipament mobil</t>
  </si>
  <si>
    <t>Valoare</t>
  </si>
  <si>
    <t>Statia de compost Costesti</t>
  </si>
  <si>
    <t>Durata de viata - Zona 1</t>
  </si>
  <si>
    <t>Durata de viata - Zona 2</t>
  </si>
  <si>
    <t>Durata de viata - Zona 3</t>
  </si>
  <si>
    <t>Echipament statii transfer</t>
  </si>
  <si>
    <t>Container alte fluxuri deseuri</t>
  </si>
  <si>
    <t>Durata de viata ST Curtea de Arges</t>
  </si>
  <si>
    <t>Durata viata</t>
  </si>
  <si>
    <t>Durata de viata ST Costesti</t>
  </si>
  <si>
    <t>Calcul redeventa ST Curtea de arges</t>
  </si>
  <si>
    <t>Redeventa Echipamente</t>
  </si>
  <si>
    <t>Redeventa Container Rezidual</t>
  </si>
  <si>
    <t>Redeventa Container alte fluxuri</t>
  </si>
  <si>
    <t>c</t>
  </si>
  <si>
    <t>Redeventa Statie de compost Curtea de Arges</t>
  </si>
  <si>
    <t>Redeventa echipament fix</t>
  </si>
  <si>
    <t>Redeventa echipament mobil</t>
  </si>
  <si>
    <t>REDEVENTA COMPOST</t>
  </si>
  <si>
    <t>REDEVENTA TRANSFER SI PUNCTE VERZI</t>
  </si>
  <si>
    <t>Redeventa zona 1</t>
  </si>
  <si>
    <t>Redeventa zona 2</t>
  </si>
  <si>
    <t>Urban</t>
  </si>
  <si>
    <t>Rural</t>
  </si>
  <si>
    <t>Compost vandabil:</t>
  </si>
  <si>
    <t>Material de acoperire depozit:</t>
  </si>
  <si>
    <t>Calcul redeventa ST Costesti</t>
  </si>
  <si>
    <t xml:space="preserve">1. Cheltuieli materiale, din care: </t>
  </si>
  <si>
    <t>Combustibil si lubrifianti</t>
  </si>
  <si>
    <t xml:space="preserve">Energie electricã tehnologicã </t>
  </si>
  <si>
    <t>Piese de schimb, utilaje</t>
  </si>
  <si>
    <t>Redeventã</t>
  </si>
  <si>
    <t>Cheltuieli cu protectia mediului</t>
  </si>
  <si>
    <t xml:space="preserve">Alte servicii executate de terti </t>
  </si>
  <si>
    <t>Alte cheltuieli materiale</t>
  </si>
  <si>
    <t xml:space="preserve">2. Cheltuieli cu munca vie: </t>
  </si>
  <si>
    <t xml:space="preserve">3. Taxe licente </t>
  </si>
  <si>
    <t>4. Cheltuieli cu închirierea utilajelor</t>
  </si>
  <si>
    <t>5. Cheltuieli cu depunerea în rampã</t>
  </si>
  <si>
    <t xml:space="preserve">  - salarii</t>
  </si>
  <si>
    <t xml:space="preserve">  - CAS</t>
  </si>
  <si>
    <t xml:space="preserve">  - fond somaj</t>
  </si>
  <si>
    <t xml:space="preserve">  - CASS</t>
  </si>
  <si>
    <t xml:space="preserve">  - cotã de contributii pentru concedii si indemnizatii</t>
  </si>
  <si>
    <t xml:space="preserve">  - alte cheltuieli cu munca vie (inclusiv tichete de masã)</t>
  </si>
  <si>
    <t xml:space="preserve">7. Alte cheltuieli </t>
  </si>
  <si>
    <t>A. Cheltuieli de exploatare (1+2+3+4+5)</t>
  </si>
  <si>
    <t>B. Cheltuieli financiare</t>
  </si>
  <si>
    <t>I. Cheltuieli totale (A+B)</t>
  </si>
  <si>
    <t xml:space="preserve">II. Profit </t>
  </si>
  <si>
    <t>III. Cotã de dezvoltare</t>
  </si>
  <si>
    <t xml:space="preserve">V. Cantitate programatã </t>
  </si>
  <si>
    <t>VI. Tarif, exclusiv TVA (IV:V)</t>
  </si>
  <si>
    <t>VII. TVA</t>
  </si>
  <si>
    <t xml:space="preserve">VIII. Tarif, inclusiv TVA </t>
  </si>
  <si>
    <t>Materii prime si materiale consumabile</t>
  </si>
  <si>
    <t xml:space="preserve">Echipament de lucru si  protectia muncii </t>
  </si>
  <si>
    <t xml:space="preserve">Reparatii </t>
  </si>
  <si>
    <t>Amortizarea utilajelor si mijloacelor de transport</t>
  </si>
  <si>
    <t xml:space="preserve">  - fond accidente si boli profesionale</t>
  </si>
  <si>
    <t xml:space="preserve">  - fond garantare creante salariale</t>
  </si>
  <si>
    <t xml:space="preserve">6. Fond pentru închiderea depozitului de deseuri si urmãrirea acestuia postînchidere          </t>
  </si>
  <si>
    <t>U/M</t>
  </si>
  <si>
    <t>Programat annual (Lei)</t>
  </si>
  <si>
    <t>Tarif propus (Lei/UM)</t>
  </si>
  <si>
    <t>Specificatie</t>
  </si>
  <si>
    <t>IV. Venituri obtinute din activitatea de salubrizare (I+II+III)</t>
  </si>
  <si>
    <t>Redeventa operator zona 8</t>
  </si>
  <si>
    <t>Redeventa zona 8</t>
  </si>
  <si>
    <t>Timp traseu</t>
  </si>
  <si>
    <t>ore</t>
  </si>
  <si>
    <t>Traseu/camion-tura</t>
  </si>
  <si>
    <t>traseu</t>
  </si>
  <si>
    <t>Km parcursi</t>
  </si>
  <si>
    <t>km/an-camion</t>
  </si>
  <si>
    <t>Emisii de CO2</t>
  </si>
  <si>
    <t>tone CO2/an-camion</t>
  </si>
  <si>
    <t>Lungime (km)</t>
  </si>
  <si>
    <t>Constructii si demolari</t>
  </si>
  <si>
    <t>Periculoase</t>
  </si>
  <si>
    <t>Masini de colecta (unitati)</t>
  </si>
  <si>
    <t>Tip</t>
  </si>
  <si>
    <t>Reciclabile</t>
  </si>
  <si>
    <t>24 mc</t>
  </si>
  <si>
    <t>16 mc</t>
  </si>
  <si>
    <t>Populatia (INS 2012)</t>
  </si>
  <si>
    <t>Cantitati (Tone/saptamana)</t>
  </si>
  <si>
    <t>Containere (1.1 mc)</t>
  </si>
  <si>
    <t>Pubele (120 l)</t>
  </si>
  <si>
    <t>Platforme (platforma betonata)</t>
  </si>
  <si>
    <t>Redeventa anuala</t>
  </si>
  <si>
    <t>Durata de viata (ani)</t>
  </si>
  <si>
    <t>Redeventa anuala (euro)</t>
  </si>
  <si>
    <t>Pret unitar (Euro)</t>
  </si>
  <si>
    <t>din AF</t>
  </si>
  <si>
    <t>din AF si CBA</t>
  </si>
  <si>
    <t>Container DEEE</t>
  </si>
  <si>
    <t>Investitii Statia de transfer Costesti</t>
  </si>
  <si>
    <t>Hartie si Carton</t>
  </si>
  <si>
    <t>Saptamana</t>
  </si>
  <si>
    <t>Input Statie compost Curtea de Arges</t>
  </si>
  <si>
    <t>Output Statie compost Costesti</t>
  </si>
  <si>
    <t>Output Statie compost Curtea de Arges</t>
  </si>
  <si>
    <t>Compost vandabil</t>
  </si>
  <si>
    <t>Material de acoperire depozit</t>
  </si>
  <si>
    <t>Input Statie compost Costesti</t>
  </si>
  <si>
    <t>Din planul de achizitii</t>
  </si>
  <si>
    <t>Calculat</t>
  </si>
  <si>
    <t>Diferenta</t>
  </si>
  <si>
    <t>Din aplicatia de finantare</t>
  </si>
  <si>
    <t>Din Aplicatia de Finantare</t>
  </si>
  <si>
    <t>utilaj - fara montaj</t>
  </si>
  <si>
    <t>Anul 2012, statistica</t>
  </si>
  <si>
    <t>Anul 2011 - Recensamant*</t>
  </si>
  <si>
    <t>*sursa INS Arges</t>
  </si>
  <si>
    <t>Investment Calculation</t>
  </si>
  <si>
    <t>Type</t>
  </si>
  <si>
    <t>Bring system</t>
  </si>
  <si>
    <t>Criteria for System Implementation</t>
  </si>
  <si>
    <t>Storage type:</t>
  </si>
  <si>
    <t>Separated</t>
  </si>
  <si>
    <t>Zone</t>
  </si>
  <si>
    <t>Domiciliary</t>
  </si>
  <si>
    <t>Platforms</t>
  </si>
  <si>
    <t>No Platforms</t>
  </si>
  <si>
    <t>Sum</t>
  </si>
  <si>
    <t>Container:</t>
  </si>
  <si>
    <t>1,1</t>
  </si>
  <si>
    <t>m3</t>
  </si>
  <si>
    <r>
      <t>Z1</t>
    </r>
    <r>
      <rPr>
        <vertAlign val="superscript"/>
        <sz val="8"/>
        <color theme="1"/>
        <rFont val="Arial Narrow"/>
        <family val="2"/>
      </rPr>
      <t>1</t>
    </r>
  </si>
  <si>
    <t>Bins</t>
  </si>
  <si>
    <t>0,12</t>
  </si>
  <si>
    <t>L</t>
  </si>
  <si>
    <r>
      <t>Z2</t>
    </r>
    <r>
      <rPr>
        <vertAlign val="superscript"/>
        <sz val="8"/>
        <color theme="1"/>
        <rFont val="Arial Narrow"/>
        <family val="2"/>
      </rPr>
      <t>2</t>
    </r>
  </si>
  <si>
    <t>Density</t>
  </si>
  <si>
    <t>0,35</t>
  </si>
  <si>
    <t>ton/m3</t>
  </si>
  <si>
    <r>
      <t>Z8</t>
    </r>
    <r>
      <rPr>
        <vertAlign val="superscript"/>
        <sz val="8"/>
        <color theme="1"/>
        <rFont val="Arial Narrow"/>
        <family val="2"/>
      </rPr>
      <t>3</t>
    </r>
  </si>
  <si>
    <t>Households</t>
  </si>
  <si>
    <t>Inh/house</t>
  </si>
  <si>
    <t>Coverage</t>
  </si>
  <si>
    <t>Inh/container</t>
  </si>
  <si>
    <t>HH Bins</t>
  </si>
  <si>
    <t>Bins (Reciclables, Residual, Urban organic )</t>
  </si>
  <si>
    <t>Amount of waste</t>
  </si>
  <si>
    <t>Ton/year</t>
  </si>
  <si>
    <t>m3/year</t>
  </si>
  <si>
    <t>Generated volume</t>
  </si>
  <si>
    <t>Volume for Communal</t>
  </si>
  <si>
    <t>Volume for Domiciliary</t>
  </si>
  <si>
    <t>Population 2013</t>
  </si>
  <si>
    <t>No Platfroms</t>
  </si>
  <si>
    <t>m3/Week</t>
  </si>
  <si>
    <t>Units</t>
  </si>
  <si>
    <t>Containers</t>
  </si>
  <si>
    <t>Z-1</t>
  </si>
  <si>
    <t>Z-2</t>
  </si>
  <si>
    <t>Z-8</t>
  </si>
  <si>
    <t>Investment Costs </t>
  </si>
  <si>
    <t>Qty</t>
  </si>
  <si>
    <t>unit</t>
  </si>
  <si>
    <t>Unit Costs (Euro)</t>
  </si>
  <si>
    <t>Total (Euro)</t>
  </si>
  <si>
    <t>Civil Works</t>
  </si>
  <si>
    <t>Equipment</t>
  </si>
  <si>
    <t xml:space="preserve">Eurobins </t>
  </si>
  <si>
    <t>Total Z1</t>
  </si>
  <si>
    <t>Total Z2</t>
  </si>
  <si>
    <t>Total Z8</t>
  </si>
  <si>
    <t>Total investments for Option-5 (Tempory Storage)=</t>
  </si>
  <si>
    <t>1.625.223</t>
  </si>
  <si>
    <t>2.250.057</t>
  </si>
  <si>
    <t>Redeventa Statie de compost Costesti</t>
  </si>
  <si>
    <t>REDEVENTA colectare</t>
  </si>
  <si>
    <t>Duratele de viata din Analiza Cost-Beneficiu</t>
  </si>
  <si>
    <t>Numar mediu de persoane pe gospodarie</t>
  </si>
  <si>
    <t>Nr. Fax</t>
  </si>
  <si>
    <t>Nume primar</t>
  </si>
  <si>
    <t>Nicolae Diaconu</t>
  </si>
  <si>
    <t>0248-721107</t>
  </si>
  <si>
    <t xml:space="preserve">0248-735005 </t>
  </si>
  <si>
    <t>Sava Vasile</t>
  </si>
  <si>
    <t>0248-730211</t>
  </si>
  <si>
    <t xml:space="preserve">Stoican Gheorghe </t>
  </si>
  <si>
    <t>Dragnea Niculaie</t>
  </si>
  <si>
    <t xml:space="preserve">0248-760204 </t>
  </si>
  <si>
    <t xml:space="preserve">0248-735058 </t>
  </si>
  <si>
    <t>Ionescu Ion</t>
  </si>
  <si>
    <t>0248-747155</t>
  </si>
  <si>
    <t>Panţeru Dorin Florin</t>
  </si>
  <si>
    <t xml:space="preserve">Mateescu Virgil Remo </t>
  </si>
  <si>
    <t>0248-730236</t>
  </si>
  <si>
    <t>0248-545043</t>
  </si>
  <si>
    <t xml:space="preserve">Minculete Gheorghe </t>
  </si>
  <si>
    <t xml:space="preserve">0248-545013 </t>
  </si>
  <si>
    <t>Langer Nicolae</t>
  </si>
  <si>
    <t xml:space="preserve">0248-545155 </t>
  </si>
  <si>
    <t>Iatagan Constantin</t>
  </si>
  <si>
    <t xml:space="preserve">0248-742010 </t>
  </si>
  <si>
    <t>Slatineanu Dumitru-Doru</t>
  </si>
  <si>
    <t xml:space="preserve">0248-724458 </t>
  </si>
  <si>
    <t>Dina Vasile</t>
  </si>
  <si>
    <t xml:space="preserve"> 0248-724411</t>
  </si>
  <si>
    <t>Barbu Nicolae</t>
  </si>
  <si>
    <t>Adresa trimisa</t>
  </si>
  <si>
    <t>Raspuns primit</t>
  </si>
  <si>
    <t xml:space="preserve"> 0248-577101 </t>
  </si>
  <si>
    <t>Benonie Stefan</t>
  </si>
  <si>
    <t>0248-267910</t>
  </si>
  <si>
    <t>Evlampie Alecu</t>
  </si>
  <si>
    <t>0248-580005</t>
  </si>
  <si>
    <t>Virgil Baciu</t>
  </si>
  <si>
    <t>0248-269952</t>
  </si>
  <si>
    <t>Smădu Nicolae</t>
  </si>
  <si>
    <t xml:space="preserve">0248-268622 </t>
  </si>
  <si>
    <t>Păuna Mircea</t>
  </si>
  <si>
    <t xml:space="preserve">0248-582090 </t>
  </si>
  <si>
    <t>Cojocaru Ion</t>
  </si>
  <si>
    <t>0248-267267</t>
  </si>
  <si>
    <t>Eugeniu Pătru</t>
  </si>
  <si>
    <t>0248-547740</t>
  </si>
  <si>
    <t>Dică Hristu Cristian</t>
  </si>
  <si>
    <t>0248-672717</t>
  </si>
  <si>
    <t>0248- 678141</t>
  </si>
  <si>
    <t>Neacşu Ion</t>
  </si>
  <si>
    <t>Ion Baicea</t>
  </si>
  <si>
    <t>0248-690051</t>
  </si>
  <si>
    <t>Tănase Ion</t>
  </si>
  <si>
    <t>0248-692008</t>
  </si>
  <si>
    <t>Petroaica Marin</t>
  </si>
  <si>
    <t>0248-677007</t>
  </si>
  <si>
    <t xml:space="preserve">Moloiu Ionel </t>
  </si>
  <si>
    <t xml:space="preserve"> 0248-695020</t>
  </si>
  <si>
    <t>Neacşu Cornel</t>
  </si>
  <si>
    <t>0248-688960</t>
  </si>
  <si>
    <t>Gheorghe Drăgan</t>
  </si>
  <si>
    <t xml:space="preserve"> 0248-694509</t>
  </si>
  <si>
    <t>Niţă Marin</t>
  </si>
  <si>
    <t xml:space="preserve"> 0248-697282</t>
  </si>
  <si>
    <t>Cioran Lucian</t>
  </si>
  <si>
    <t xml:space="preserve">0248-687520 </t>
  </si>
  <si>
    <t>Nicolae Radu</t>
  </si>
  <si>
    <t>0248-693109</t>
  </si>
  <si>
    <t>Barbu Mircea</t>
  </si>
  <si>
    <t xml:space="preserve"> 0248-694083 </t>
  </si>
  <si>
    <t>Georgel Burcea</t>
  </si>
  <si>
    <t>0248-688115</t>
  </si>
  <si>
    <t>Bălăşoiu Aurel</t>
  </si>
  <si>
    <t xml:space="preserve"> 0248-696178 </t>
  </si>
  <si>
    <t>Pană Marin</t>
  </si>
  <si>
    <t xml:space="preserve"> 0248-698002 </t>
  </si>
  <si>
    <t>Alexandru Niţu</t>
  </si>
  <si>
    <t>0248-676201</t>
  </si>
  <si>
    <t>Pupăză Roşu Sevastian</t>
  </si>
  <si>
    <t>0248-699397</t>
  </si>
  <si>
    <t>Radu Doru</t>
  </si>
  <si>
    <t>0248-696559</t>
  </si>
  <si>
    <t>Vidan Niculae</t>
  </si>
  <si>
    <t>0248-689605</t>
  </si>
  <si>
    <t>Florin Dumitru</t>
  </si>
  <si>
    <t>0248-674423</t>
  </si>
  <si>
    <t>Miu Iulian</t>
  </si>
  <si>
    <t>Redeventa operator zona 1 si 2 (Euro)</t>
  </si>
  <si>
    <t>REDEVENTA TOTALA LOTURI (euro)</t>
  </si>
  <si>
    <t>REDEVENTA TOTALA LOTURI (lei)</t>
  </si>
  <si>
    <t xml:space="preserve">Redeventa operator zona 1 si 2 </t>
  </si>
  <si>
    <t>Costuri administrare ADI SERVSAL zona 1 si 2</t>
  </si>
  <si>
    <t>Costuri administrare ADI SERVSAL zona 8</t>
  </si>
  <si>
    <t>REDEVENTA TOTALA ZONA 1 SI 2</t>
  </si>
  <si>
    <t>REDEVENTA TOTALA ZONA 8</t>
  </si>
  <si>
    <t>Deseuri generate in judetul Arges</t>
  </si>
  <si>
    <t>Deseuri generate total</t>
  </si>
  <si>
    <t>Deseuri municipale</t>
  </si>
  <si>
    <t>Deseuri asimilabile</t>
  </si>
  <si>
    <t>Deseuri din piete</t>
  </si>
  <si>
    <t>Deseuri din gradini, parcuri</t>
  </si>
  <si>
    <t>Deseuri stradale</t>
  </si>
  <si>
    <t>Deseuri municipale si asimilabile colectate separat</t>
  </si>
  <si>
    <t>Hartie si carton</t>
  </si>
  <si>
    <t>Biodegradabil</t>
  </si>
  <si>
    <t>Procent deseuri populatie</t>
  </si>
  <si>
    <t>Procent deseuri agenti economici si institutii</t>
  </si>
  <si>
    <t>Compozitie</t>
  </si>
  <si>
    <t>ST Curtea de Arges</t>
  </si>
  <si>
    <t>Agenti economici si institutii</t>
  </si>
  <si>
    <t>ST Costesti</t>
  </si>
  <si>
    <t>Fluxul deseurilor in statia de transfer Curtea de Arges</t>
  </si>
  <si>
    <t>Fluxul deseurilor in statia de transfer Costesti</t>
  </si>
  <si>
    <t>Cu TVA</t>
  </si>
  <si>
    <t>Fara TVA</t>
  </si>
  <si>
    <t>Lot 1</t>
  </si>
  <si>
    <t>Lot 2</t>
  </si>
  <si>
    <t>Populatie urban</t>
  </si>
  <si>
    <t>Populatie rural</t>
  </si>
  <si>
    <t>Tarif rural (lei/pers/luna)</t>
  </si>
  <si>
    <t>Tarif urban (lei/pers/luna)</t>
  </si>
  <si>
    <t>Venituri populatie urbana</t>
  </si>
  <si>
    <t>Venituri populatie rurala</t>
  </si>
  <si>
    <t>Venituri agenti economici si institutii</t>
  </si>
  <si>
    <t>VENITURI ANUALE</t>
  </si>
  <si>
    <t>Agenti economici si institutii (tone)</t>
  </si>
  <si>
    <t>TOTAL LEI/AN</t>
  </si>
  <si>
    <t>TOTAL LEI/CONTRACT (8 ANI)</t>
  </si>
  <si>
    <t>TOTAL EURO/CONTRACT</t>
  </si>
  <si>
    <t>redeventa pe an</t>
  </si>
  <si>
    <t>TOTAL LEI/AN, din care:</t>
  </si>
  <si>
    <t>Tarif agenti economici (lei/tona)</t>
  </si>
  <si>
    <t>Pubele si containere care se vor inlocui</t>
  </si>
  <si>
    <t>Redeventa masini de colecta (deseuri periculoase</t>
  </si>
  <si>
    <t>Redeventa transfer</t>
  </si>
  <si>
    <t>Redeventa compostare</t>
  </si>
  <si>
    <t>Redeventa zona 1 SI 2</t>
  </si>
  <si>
    <t>COSTURI ADMINISTRATIVE</t>
  </si>
  <si>
    <t>ZONA 1 SI 2</t>
  </si>
  <si>
    <t>TOTAL REDEVENTA - EURO</t>
  </si>
  <si>
    <t>TOTAL REDEVENTA - LEI</t>
  </si>
  <si>
    <t>Redeventa unitara (lei/pers/luna)</t>
  </si>
  <si>
    <t>Numarul gospodariilor pe localitati - date preliminare recensamant</t>
  </si>
  <si>
    <t>Informatii chestionare</t>
  </si>
  <si>
    <t>nr. crt</t>
  </si>
  <si>
    <t>An 1</t>
  </si>
  <si>
    <t>An 2</t>
  </si>
  <si>
    <t>An 3</t>
  </si>
  <si>
    <t>An 4</t>
  </si>
  <si>
    <t>An 5</t>
  </si>
  <si>
    <t>An 6</t>
  </si>
  <si>
    <t>An 7</t>
  </si>
  <si>
    <t>An 8</t>
  </si>
  <si>
    <t>Amortizare</t>
  </si>
  <si>
    <t>Costuri de administrare SERVSAL</t>
  </si>
  <si>
    <t>Agenti economici din localitate</t>
  </si>
  <si>
    <t>Institutii</t>
  </si>
  <si>
    <t>Case</t>
  </si>
  <si>
    <t>Blocuri</t>
  </si>
  <si>
    <t>Populatia de la casa</t>
  </si>
  <si>
    <t>Case de vacanta</t>
  </si>
  <si>
    <t>Localitate</t>
  </si>
  <si>
    <t>Sistem de colectare</t>
  </si>
  <si>
    <t>Colectare deseuri</t>
  </si>
  <si>
    <t>Nr. Puncte de colectare</t>
  </si>
  <si>
    <t>Numar platforme colectare selectiva</t>
  </si>
  <si>
    <t>Numar containere pe platforme</t>
  </si>
  <si>
    <t>Numar persoane angajata</t>
  </si>
  <si>
    <t>Modalitate de plata</t>
  </si>
  <si>
    <t>Valoare tarif populatie</t>
  </si>
  <si>
    <t>Valoare tarif agentii economici</t>
  </si>
  <si>
    <t xml:space="preserve">Bunuri mobile </t>
  </si>
  <si>
    <t>Bunuri imobile</t>
  </si>
  <si>
    <t>Nr. Crt</t>
  </si>
  <si>
    <t>poarta in poarta</t>
  </si>
  <si>
    <t>mixt</t>
  </si>
  <si>
    <t xml:space="preserve"> - </t>
  </si>
  <si>
    <t>1 buc - 4X6 metri</t>
  </si>
  <si>
    <t>taxa</t>
  </si>
  <si>
    <t>2 lei/mc/luna</t>
  </si>
  <si>
    <t>10 plastic
41 alte tipuri</t>
  </si>
  <si>
    <t>tarif</t>
  </si>
  <si>
    <t>1 leu/pers</t>
  </si>
  <si>
    <t>60 lei/mc inclusiv TVA</t>
  </si>
  <si>
    <t>punct fix</t>
  </si>
  <si>
    <t>punct fix - asociatii de locatari, institutii si agenti economici
poarta in poarta gospodarii</t>
  </si>
  <si>
    <t>mixt - la case
selectiv - asociatii de locatari, institutii si agenti economici</t>
  </si>
  <si>
    <t xml:space="preserve"> - 35 buc - 1.1 mc hartie
 - 35 buc - 1.1 mc - plastic + metal
 - 15 buc - 1.1 mc - sticla
 - 362 pubele - 0.25 mc</t>
  </si>
  <si>
    <t>41 persoane ale operatorului  actual</t>
  </si>
  <si>
    <t>69.66 lei/mc</t>
  </si>
  <si>
    <t>4 persoane</t>
  </si>
  <si>
    <t>tarif???</t>
  </si>
  <si>
    <t>7.05 lei/pers/luna</t>
  </si>
  <si>
    <t>86.37 lei/mc</t>
  </si>
  <si>
    <t>34 containere</t>
  </si>
  <si>
    <t>Aninoasa</t>
  </si>
  <si>
    <t>1 leu/pers/luna
4 lei/familie/luna</t>
  </si>
  <si>
    <t>10 lei/luna</t>
  </si>
  <si>
    <t>un tractor cu remorca</t>
  </si>
  <si>
    <t>7.5 lei/pers/luna inclusiv TVA</t>
  </si>
  <si>
    <t>108.56 LEI/MC</t>
  </si>
  <si>
    <t>50 Lei/luna cu TVA</t>
  </si>
  <si>
    <t>10 lei/luna familie
5 lei/luna o singura persoana</t>
  </si>
  <si>
    <t>24 - 36 RON/luna fara TVA
5 ron/luna de camera la pensiuni</t>
  </si>
  <si>
    <t>1 hartie si carton
1 plastic
1 metal
1 sticla</t>
  </si>
  <si>
    <t>7.04 lei/pers/luna cu TVA</t>
  </si>
  <si>
    <t>15 lei/luna</t>
  </si>
  <si>
    <t xml:space="preserve">1
</t>
  </si>
  <si>
    <t xml:space="preserve"> - 2 hartie
 - 2 plastic 
 - 1 metal
 - 1 sticla
 - 2 rezidual
1100 pubele</t>
  </si>
  <si>
    <t xml:space="preserve"> - Autocompactor - 291.618,48 Lei
 - tractor armator - 12.660,67</t>
  </si>
  <si>
    <t>2.5 Lei/pers/luna  cu TVA</t>
  </si>
  <si>
    <t>10 RON/luna - cu TVA
65 lei/mc - fara TVA</t>
  </si>
  <si>
    <t>5 lei/luna</t>
  </si>
  <si>
    <t>5 Lei/gospodarie/luna</t>
  </si>
  <si>
    <t>5 lei/gospodarie/luna</t>
  </si>
  <si>
    <t>30 lei/luna</t>
  </si>
  <si>
    <t xml:space="preserve"> - pubele gunoi: 341.887 Lei
 - 4 tractoare: 504.356 Lei
2 autogunoiere: 884.207 Lei</t>
  </si>
  <si>
    <t>4 platforme: 517.138 Lei</t>
  </si>
  <si>
    <t>Poienarii de Arges</t>
  </si>
  <si>
    <t>7 lei/luna cu TVA</t>
  </si>
  <si>
    <t>6 lei/pers/luna  inclusiv TVA</t>
  </si>
  <si>
    <t>5.68 lei/pers/luna fara TVA
52.55 lei/mc asociatii de locatari</t>
  </si>
  <si>
    <t>10 ron/familie/luna cu TVA
5 lei/gosp/luna pt o singura persoana</t>
  </si>
  <si>
    <t>35 RON/luna fara TVA
35 lei/mc fara TVA pt institutii</t>
  </si>
  <si>
    <t>3.5 RON/pers/luna</t>
  </si>
  <si>
    <t>EURO</t>
  </si>
  <si>
    <t>Luna</t>
  </si>
  <si>
    <t>Valoarea medie</t>
  </si>
  <si>
    <t>Ianuarie</t>
  </si>
  <si>
    <t>Februarie</t>
  </si>
  <si>
    <t>Martie</t>
  </si>
  <si>
    <t xml:space="preserve">Aprilie </t>
  </si>
  <si>
    <t>Mai</t>
  </si>
  <si>
    <t>Iunie</t>
  </si>
  <si>
    <t>Iulie</t>
  </si>
  <si>
    <t>Medie</t>
  </si>
  <si>
    <t>REDEVENTA AMORTIZARE proiect</t>
  </si>
  <si>
    <t>REDEVENTA CL-uri Zona 1</t>
  </si>
  <si>
    <t>TOTAL TAXA DE ADMINISTRARE - LEI</t>
  </si>
  <si>
    <t>ZONA 1 si 2</t>
  </si>
  <si>
    <t xml:space="preserve">Pret unitar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</si>
</sst>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-* #,##0.0000\ _l_e_i_-;\-* #,##0.0000\ _l_e_i_-;_-* &quot;-&quot;??\ _l_e_i_-;_-@_-"/>
    <numFmt numFmtId="168" formatCode="0.0"/>
    <numFmt numFmtId="169" formatCode="_(* #,##0.0000_);_(* \(#,##0.0000\);_(* &quot;-&quot;??_);_(@_)"/>
    <numFmt numFmtId="170" formatCode="_(* #,##0.00000_);_(* \(#,##0.00000\);_(* &quot;-&quot;??_);_(@_)"/>
    <numFmt numFmtId="171" formatCode="_-* #,##0_-;\-* #,##0_-;_-* &quot;-&quot;??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theme="1"/>
      <name val="Arial Narrow"/>
      <family val="2"/>
    </font>
    <font>
      <vertAlign val="superscript"/>
      <sz val="8"/>
      <color theme="1"/>
      <name val="Arial Narrow"/>
      <family val="2"/>
    </font>
    <font>
      <b/>
      <sz val="8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8"/>
      <color indexed="81"/>
      <name val="Tahoma"/>
    </font>
    <font>
      <b/>
      <sz val="8"/>
      <color indexed="81"/>
      <name val="Tahoma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61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78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0" borderId="4" xfId="0" applyFont="1" applyBorder="1"/>
    <xf numFmtId="0" fontId="1" fillId="0" borderId="5" xfId="0" applyFont="1" applyBorder="1"/>
    <xf numFmtId="0" fontId="0" fillId="0" borderId="5" xfId="0" applyBorder="1" applyAlignment="1">
      <alignment wrapText="1"/>
    </xf>
    <xf numFmtId="0" fontId="1" fillId="0" borderId="5" xfId="0" applyFont="1" applyBorder="1" applyAlignment="1">
      <alignment wrapText="1"/>
    </xf>
    <xf numFmtId="0" fontId="0" fillId="0" borderId="5" xfId="0" applyBorder="1"/>
    <xf numFmtId="0" fontId="0" fillId="0" borderId="6" xfId="0" applyBorder="1"/>
    <xf numFmtId="0" fontId="0" fillId="0" borderId="4" xfId="0" applyBorder="1"/>
    <xf numFmtId="166" fontId="0" fillId="0" borderId="5" xfId="1" applyNumberFormat="1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4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7" xfId="0" applyFont="1" applyBorder="1"/>
    <xf numFmtId="0" fontId="1" fillId="0" borderId="8" xfId="0" applyFont="1" applyBorder="1"/>
    <xf numFmtId="0" fontId="0" fillId="0" borderId="8" xfId="0" applyBorder="1" applyAlignment="1">
      <alignment wrapText="1"/>
    </xf>
    <xf numFmtId="0" fontId="1" fillId="0" borderId="8" xfId="0" applyFont="1" applyBorder="1" applyAlignment="1">
      <alignment wrapText="1"/>
    </xf>
    <xf numFmtId="166" fontId="1" fillId="0" borderId="8" xfId="0" applyNumberFormat="1" applyFont="1" applyBorder="1"/>
    <xf numFmtId="0" fontId="1" fillId="0" borderId="3" xfId="0" applyFont="1" applyBorder="1"/>
    <xf numFmtId="0" fontId="1" fillId="0" borderId="6" xfId="0" applyFont="1" applyBorder="1" applyAlignment="1">
      <alignment wrapText="1"/>
    </xf>
    <xf numFmtId="0" fontId="0" fillId="0" borderId="13" xfId="0" applyBorder="1"/>
    <xf numFmtId="0" fontId="1" fillId="0" borderId="14" xfId="0" applyFont="1" applyBorder="1"/>
    <xf numFmtId="0" fontId="0" fillId="0" borderId="14" xfId="0" applyFont="1" applyBorder="1"/>
    <xf numFmtId="0" fontId="0" fillId="0" borderId="15" xfId="0" applyFont="1" applyBorder="1"/>
    <xf numFmtId="0" fontId="1" fillId="0" borderId="17" xfId="0" applyFont="1" applyBorder="1" applyAlignment="1">
      <alignment wrapText="1"/>
    </xf>
    <xf numFmtId="0" fontId="0" fillId="0" borderId="17" xfId="0" applyBorder="1"/>
    <xf numFmtId="0" fontId="0" fillId="0" borderId="18" xfId="0" applyBorder="1"/>
    <xf numFmtId="0" fontId="1" fillId="0" borderId="4" xfId="0" applyFont="1" applyBorder="1" applyAlignment="1">
      <alignment wrapText="1"/>
    </xf>
    <xf numFmtId="0" fontId="1" fillId="0" borderId="2" xfId="0" applyFont="1" applyBorder="1"/>
    <xf numFmtId="166" fontId="1" fillId="0" borderId="6" xfId="1" applyNumberFormat="1" applyFont="1" applyBorder="1"/>
    <xf numFmtId="166" fontId="0" fillId="0" borderId="8" xfId="1" applyNumberFormat="1" applyFont="1" applyBorder="1"/>
    <xf numFmtId="166" fontId="1" fillId="0" borderId="9" xfId="1" applyNumberFormat="1" applyFont="1" applyBorder="1"/>
    <xf numFmtId="0" fontId="1" fillId="0" borderId="1" xfId="0" applyFont="1" applyBorder="1"/>
    <xf numFmtId="0" fontId="1" fillId="0" borderId="6" xfId="0" applyFont="1" applyBorder="1"/>
    <xf numFmtId="0" fontId="0" fillId="0" borderId="7" xfId="0" applyFill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/>
    <xf numFmtId="0" fontId="4" fillId="0" borderId="3" xfId="0" applyFont="1" applyBorder="1"/>
    <xf numFmtId="166" fontId="4" fillId="0" borderId="6" xfId="1" applyNumberFormat="1" applyFont="1" applyBorder="1"/>
    <xf numFmtId="166" fontId="4" fillId="0" borderId="9" xfId="1" applyNumberFormat="1" applyFont="1" applyBorder="1"/>
    <xf numFmtId="0" fontId="0" fillId="0" borderId="7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6" fontId="0" fillId="0" borderId="5" xfId="0" applyNumberForma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0" fontId="0" fillId="0" borderId="20" xfId="0" applyBorder="1"/>
    <xf numFmtId="0" fontId="0" fillId="0" borderId="22" xfId="0" applyBorder="1"/>
    <xf numFmtId="0" fontId="0" fillId="0" borderId="19" xfId="0" applyBorder="1"/>
    <xf numFmtId="0" fontId="0" fillId="0" borderId="20" xfId="0" applyBorder="1" applyAlignment="1">
      <alignment horizontal="center" vertical="center" wrapText="1"/>
    </xf>
    <xf numFmtId="166" fontId="0" fillId="0" borderId="20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66" fontId="0" fillId="0" borderId="8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0" fontId="1" fillId="0" borderId="26" xfId="0" applyFont="1" applyBorder="1" applyAlignment="1"/>
    <xf numFmtId="0" fontId="1" fillId="0" borderId="21" xfId="0" applyFont="1" applyBorder="1" applyAlignment="1">
      <alignment wrapText="1"/>
    </xf>
    <xf numFmtId="0" fontId="1" fillId="0" borderId="21" xfId="0" applyFont="1" applyBorder="1"/>
    <xf numFmtId="0" fontId="0" fillId="0" borderId="9" xfId="0" applyBorder="1" applyAlignment="1">
      <alignment wrapText="1"/>
    </xf>
    <xf numFmtId="0" fontId="1" fillId="0" borderId="20" xfId="0" applyFont="1" applyBorder="1" applyAlignment="1">
      <alignment wrapText="1"/>
    </xf>
    <xf numFmtId="166" fontId="0" fillId="0" borderId="20" xfId="1" applyNumberFormat="1" applyFont="1" applyBorder="1"/>
    <xf numFmtId="166" fontId="1" fillId="0" borderId="21" xfId="0" applyNumberFormat="1" applyFont="1" applyBorder="1"/>
    <xf numFmtId="166" fontId="1" fillId="0" borderId="7" xfId="0" applyNumberFormat="1" applyFont="1" applyBorder="1"/>
    <xf numFmtId="166" fontId="1" fillId="0" borderId="9" xfId="0" applyNumberFormat="1" applyFont="1" applyBorder="1"/>
    <xf numFmtId="0" fontId="5" fillId="0" borderId="9" xfId="0" applyFont="1" applyBorder="1"/>
    <xf numFmtId="0" fontId="0" fillId="0" borderId="5" xfId="0" applyFont="1" applyBorder="1"/>
    <xf numFmtId="0" fontId="0" fillId="0" borderId="6" xfId="0" applyFont="1" applyBorder="1"/>
    <xf numFmtId="165" fontId="0" fillId="0" borderId="0" xfId="1" applyFont="1"/>
    <xf numFmtId="2" fontId="0" fillId="0" borderId="5" xfId="0" applyNumberFormat="1" applyBorder="1"/>
    <xf numFmtId="0" fontId="4" fillId="0" borderId="5" xfId="0" applyFont="1" applyBorder="1"/>
    <xf numFmtId="166" fontId="0" fillId="0" borderId="6" xfId="1" applyNumberFormat="1" applyFont="1" applyBorder="1"/>
    <xf numFmtId="166" fontId="0" fillId="0" borderId="9" xfId="1" applyNumberFormat="1" applyFont="1" applyBorder="1"/>
    <xf numFmtId="0" fontId="0" fillId="0" borderId="23" xfId="0" applyBorder="1"/>
    <xf numFmtId="0" fontId="0" fillId="0" borderId="27" xfId="0" applyBorder="1"/>
    <xf numFmtId="166" fontId="0" fillId="0" borderId="12" xfId="1" applyNumberFormat="1" applyFont="1" applyBorder="1"/>
    <xf numFmtId="0" fontId="1" fillId="0" borderId="29" xfId="0" applyFont="1" applyBorder="1"/>
    <xf numFmtId="0" fontId="0" fillId="0" borderId="30" xfId="0" applyBorder="1"/>
    <xf numFmtId="0" fontId="0" fillId="0" borderId="4" xfId="0" applyBorder="1" applyAlignment="1">
      <alignment wrapText="1"/>
    </xf>
    <xf numFmtId="166" fontId="0" fillId="0" borderId="0" xfId="0" applyNumberFormat="1"/>
    <xf numFmtId="165" fontId="0" fillId="0" borderId="6" xfId="1" applyFont="1" applyBorder="1"/>
    <xf numFmtId="165" fontId="0" fillId="0" borderId="28" xfId="1" applyFont="1" applyBorder="1"/>
    <xf numFmtId="166" fontId="1" fillId="0" borderId="31" xfId="1" applyNumberFormat="1" applyFont="1" applyBorder="1"/>
    <xf numFmtId="0" fontId="1" fillId="0" borderId="1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1" xfId="0" applyBorder="1" applyAlignment="1">
      <alignment wrapText="1"/>
    </xf>
    <xf numFmtId="166" fontId="0" fillId="0" borderId="3" xfId="0" applyNumberFormat="1" applyBorder="1"/>
    <xf numFmtId="166" fontId="0" fillId="0" borderId="6" xfId="0" applyNumberFormat="1" applyBorder="1"/>
    <xf numFmtId="166" fontId="0" fillId="0" borderId="9" xfId="0" applyNumberFormat="1" applyBorder="1"/>
    <xf numFmtId="0" fontId="1" fillId="0" borderId="0" xfId="0" applyFont="1" applyFill="1" applyBorder="1"/>
    <xf numFmtId="165" fontId="0" fillId="0" borderId="0" xfId="0" applyNumberFormat="1"/>
    <xf numFmtId="166" fontId="0" fillId="0" borderId="5" xfId="1" applyNumberFormat="1" applyFont="1" applyFill="1" applyBorder="1"/>
    <xf numFmtId="165" fontId="0" fillId="0" borderId="6" xfId="0" applyNumberFormat="1" applyBorder="1"/>
    <xf numFmtId="165" fontId="0" fillId="0" borderId="9" xfId="0" applyNumberFormat="1" applyBorder="1"/>
    <xf numFmtId="165" fontId="0" fillId="0" borderId="12" xfId="0" applyNumberFormat="1" applyBorder="1"/>
    <xf numFmtId="0" fontId="1" fillId="0" borderId="30" xfId="0" applyFont="1" applyBorder="1"/>
    <xf numFmtId="165" fontId="1" fillId="0" borderId="31" xfId="0" applyNumberFormat="1" applyFont="1" applyBorder="1"/>
    <xf numFmtId="0" fontId="0" fillId="0" borderId="3" xfId="0" applyBorder="1"/>
    <xf numFmtId="166" fontId="0" fillId="0" borderId="6" xfId="1" applyNumberFormat="1" applyFont="1" applyFill="1" applyBorder="1"/>
    <xf numFmtId="166" fontId="1" fillId="0" borderId="31" xfId="1" applyNumberFormat="1" applyFont="1" applyFill="1" applyBorder="1"/>
    <xf numFmtId="166" fontId="0" fillId="0" borderId="12" xfId="1" applyNumberFormat="1" applyFont="1" applyFill="1" applyBorder="1"/>
    <xf numFmtId="166" fontId="0" fillId="0" borderId="9" xfId="1" applyNumberFormat="1" applyFont="1" applyFill="1" applyBorder="1"/>
    <xf numFmtId="166" fontId="0" fillId="0" borderId="5" xfId="0" applyNumberFormat="1" applyBorder="1"/>
    <xf numFmtId="166" fontId="0" fillId="0" borderId="8" xfId="0" applyNumberFormat="1" applyBorder="1"/>
    <xf numFmtId="165" fontId="0" fillId="0" borderId="5" xfId="0" applyNumberFormat="1" applyBorder="1"/>
    <xf numFmtId="165" fontId="0" fillId="0" borderId="8" xfId="0" applyNumberFormat="1" applyBorder="1"/>
    <xf numFmtId="0" fontId="0" fillId="0" borderId="1" xfId="0" applyFill="1" applyBorder="1" applyAlignment="1">
      <alignment wrapText="1"/>
    </xf>
    <xf numFmtId="166" fontId="0" fillId="0" borderId="2" xfId="0" applyNumberFormat="1" applyBorder="1"/>
    <xf numFmtId="0" fontId="0" fillId="0" borderId="4" xfId="0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166" fontId="1" fillId="0" borderId="0" xfId="0" applyNumberFormat="1" applyFont="1"/>
    <xf numFmtId="0" fontId="1" fillId="0" borderId="7" xfId="0" applyFont="1" applyFill="1" applyBorder="1" applyAlignment="1">
      <alignment wrapText="1"/>
    </xf>
    <xf numFmtId="166" fontId="1" fillId="0" borderId="30" xfId="0" applyNumberFormat="1" applyFont="1" applyBorder="1"/>
    <xf numFmtId="166" fontId="1" fillId="0" borderId="31" xfId="0" applyNumberFormat="1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0" fillId="0" borderId="33" xfId="0" applyBorder="1"/>
    <xf numFmtId="164" fontId="0" fillId="0" borderId="33" xfId="0" applyNumberFormat="1" applyBorder="1"/>
    <xf numFmtId="164" fontId="0" fillId="0" borderId="34" xfId="0" applyNumberFormat="1" applyBorder="1"/>
    <xf numFmtId="0" fontId="1" fillId="0" borderId="2" xfId="0" applyFont="1" applyBorder="1" applyAlignment="1">
      <alignment horizontal="center"/>
    </xf>
    <xf numFmtId="0" fontId="2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0" xfId="0" applyBorder="1" applyAlignment="1">
      <alignment wrapText="1"/>
    </xf>
    <xf numFmtId="0" fontId="0" fillId="0" borderId="43" xfId="0" applyBorder="1"/>
    <xf numFmtId="0" fontId="1" fillId="0" borderId="40" xfId="0" applyFont="1" applyBorder="1"/>
    <xf numFmtId="0" fontId="1" fillId="0" borderId="41" xfId="0" applyFont="1" applyBorder="1"/>
    <xf numFmtId="0" fontId="1" fillId="0" borderId="42" xfId="0" applyFont="1" applyBorder="1"/>
    <xf numFmtId="0" fontId="1" fillId="0" borderId="43" xfId="0" applyFont="1" applyBorder="1"/>
    <xf numFmtId="0" fontId="0" fillId="0" borderId="47" xfId="0" applyBorder="1"/>
    <xf numFmtId="0" fontId="1" fillId="0" borderId="3" xfId="0" applyFont="1" applyFill="1" applyBorder="1"/>
    <xf numFmtId="165" fontId="0" fillId="0" borderId="5" xfId="1" applyFont="1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0" fillId="0" borderId="23" xfId="0" applyBorder="1" applyAlignment="1">
      <alignment wrapText="1"/>
    </xf>
    <xf numFmtId="165" fontId="0" fillId="0" borderId="27" xfId="1" applyFont="1" applyBorder="1"/>
    <xf numFmtId="0" fontId="0" fillId="0" borderId="28" xfId="0" applyBorder="1"/>
    <xf numFmtId="165" fontId="0" fillId="0" borderId="11" xfId="0" applyNumberFormat="1" applyBorder="1"/>
    <xf numFmtId="165" fontId="1" fillId="0" borderId="30" xfId="0" applyNumberFormat="1" applyFont="1" applyBorder="1"/>
    <xf numFmtId="0" fontId="1" fillId="0" borderId="7" xfId="0" applyFont="1" applyFill="1" applyBorder="1"/>
    <xf numFmtId="166" fontId="1" fillId="0" borderId="48" xfId="0" applyNumberFormat="1" applyFont="1" applyBorder="1"/>
    <xf numFmtId="9" fontId="0" fillId="0" borderId="0" xfId="2" applyNumberFormat="1" applyFont="1"/>
    <xf numFmtId="1" fontId="0" fillId="0" borderId="6" xfId="0" applyNumberFormat="1" applyBorder="1"/>
    <xf numFmtId="1" fontId="0" fillId="0" borderId="5" xfId="0" applyNumberFormat="1" applyBorder="1"/>
    <xf numFmtId="1" fontId="0" fillId="0" borderId="8" xfId="0" applyNumberFormat="1" applyBorder="1"/>
    <xf numFmtId="1" fontId="0" fillId="0" borderId="9" xfId="0" applyNumberFormat="1" applyBorder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166" fontId="0" fillId="0" borderId="0" xfId="1" applyNumberFormat="1" applyFont="1"/>
    <xf numFmtId="0" fontId="4" fillId="0" borderId="3" xfId="0" applyFont="1" applyBorder="1" applyAlignment="1">
      <alignment wrapText="1"/>
    </xf>
    <xf numFmtId="166" fontId="0" fillId="2" borderId="5" xfId="0" applyNumberFormat="1" applyFill="1" applyBorder="1"/>
    <xf numFmtId="166" fontId="0" fillId="2" borderId="6" xfId="1" applyNumberFormat="1" applyFont="1" applyFill="1" applyBorder="1"/>
    <xf numFmtId="0" fontId="0" fillId="2" borderId="5" xfId="0" applyFill="1" applyBorder="1"/>
    <xf numFmtId="0" fontId="1" fillId="0" borderId="0" xfId="0" applyFont="1" applyFill="1" applyBorder="1" applyAlignment="1">
      <alignment horizontal="center" vertical="center" wrapText="1"/>
    </xf>
    <xf numFmtId="166" fontId="1" fillId="0" borderId="8" xfId="1" applyNumberFormat="1" applyFont="1" applyBorder="1"/>
    <xf numFmtId="0" fontId="10" fillId="0" borderId="52" xfId="0" applyFont="1" applyBorder="1"/>
    <xf numFmtId="0" fontId="10" fillId="0" borderId="53" xfId="0" applyFont="1" applyBorder="1"/>
    <xf numFmtId="0" fontId="10" fillId="0" borderId="53" xfId="0" applyFont="1" applyBorder="1" applyAlignment="1">
      <alignment wrapText="1"/>
    </xf>
    <xf numFmtId="0" fontId="10" fillId="0" borderId="53" xfId="0" applyFont="1" applyBorder="1" applyAlignment="1">
      <alignment horizontal="center" wrapText="1"/>
    </xf>
    <xf numFmtId="0" fontId="10" fillId="0" borderId="53" xfId="0" applyFont="1" applyBorder="1" applyAlignment="1">
      <alignment horizontal="right"/>
    </xf>
    <xf numFmtId="9" fontId="10" fillId="0" borderId="53" xfId="0" applyNumberFormat="1" applyFont="1" applyBorder="1" applyAlignment="1">
      <alignment horizontal="right" wrapText="1"/>
    </xf>
    <xf numFmtId="9" fontId="10" fillId="0" borderId="53" xfId="0" applyNumberFormat="1" applyFont="1" applyBorder="1" applyAlignment="1">
      <alignment horizontal="right"/>
    </xf>
    <xf numFmtId="0" fontId="10" fillId="6" borderId="53" xfId="0" applyFont="1" applyFill="1" applyBorder="1" applyAlignment="1">
      <alignment horizontal="center" wrapText="1"/>
    </xf>
    <xf numFmtId="0" fontId="10" fillId="6" borderId="52" xfId="0" applyFont="1" applyFill="1" applyBorder="1" applyAlignment="1">
      <alignment wrapText="1"/>
    </xf>
    <xf numFmtId="0" fontId="10" fillId="6" borderId="53" xfId="0" applyFont="1" applyFill="1" applyBorder="1" applyAlignment="1">
      <alignment wrapText="1"/>
    </xf>
    <xf numFmtId="0" fontId="10" fillId="6" borderId="52" xfId="0" applyFont="1" applyFill="1" applyBorder="1"/>
    <xf numFmtId="0" fontId="10" fillId="6" borderId="53" xfId="0" applyFont="1" applyFill="1" applyBorder="1"/>
    <xf numFmtId="0" fontId="10" fillId="6" borderId="53" xfId="0" applyFont="1" applyFill="1" applyBorder="1" applyAlignment="1">
      <alignment horizontal="center"/>
    </xf>
    <xf numFmtId="0" fontId="10" fillId="0" borderId="53" xfId="0" applyFont="1" applyBorder="1" applyAlignment="1">
      <alignment horizontal="center"/>
    </xf>
    <xf numFmtId="0" fontId="10" fillId="0" borderId="53" xfId="0" applyFont="1" applyBorder="1" applyAlignment="1">
      <alignment vertical="top" wrapText="1"/>
    </xf>
    <xf numFmtId="0" fontId="10" fillId="7" borderId="53" xfId="0" applyFont="1" applyFill="1" applyBorder="1" applyAlignment="1">
      <alignment horizontal="center" vertical="top"/>
    </xf>
    <xf numFmtId="0" fontId="10" fillId="0" borderId="53" xfId="0" applyFont="1" applyBorder="1" applyAlignment="1">
      <alignment horizontal="center" vertical="top"/>
    </xf>
    <xf numFmtId="0" fontId="10" fillId="0" borderId="53" xfId="0" applyFont="1" applyBorder="1" applyAlignment="1">
      <alignment horizontal="right" vertical="top"/>
    </xf>
    <xf numFmtId="0" fontId="12" fillId="0" borderId="53" xfId="0" applyFont="1" applyBorder="1" applyAlignment="1">
      <alignment horizontal="right"/>
    </xf>
    <xf numFmtId="0" fontId="12" fillId="0" borderId="52" xfId="0" applyFont="1" applyBorder="1" applyAlignment="1">
      <alignment horizontal="right"/>
    </xf>
    <xf numFmtId="0" fontId="10" fillId="0" borderId="52" xfId="0" applyFont="1" applyBorder="1" applyAlignment="1">
      <alignment horizontal="center" vertical="top"/>
    </xf>
    <xf numFmtId="0" fontId="7" fillId="0" borderId="0" xfId="0" applyFont="1"/>
    <xf numFmtId="166" fontId="7" fillId="0" borderId="0" xfId="1" applyNumberFormat="1" applyFont="1"/>
    <xf numFmtId="0" fontId="5" fillId="0" borderId="0" xfId="0" applyFont="1"/>
    <xf numFmtId="0" fontId="1" fillId="0" borderId="4" xfId="0" applyFont="1" applyFill="1" applyBorder="1"/>
    <xf numFmtId="0" fontId="1" fillId="0" borderId="6" xfId="0" applyFont="1" applyFill="1" applyBorder="1"/>
    <xf numFmtId="0" fontId="1" fillId="0" borderId="5" xfId="0" applyFont="1" applyFill="1" applyBorder="1"/>
    <xf numFmtId="166" fontId="0" fillId="0" borderId="2" xfId="1" applyNumberFormat="1" applyFont="1" applyBorder="1"/>
    <xf numFmtId="166" fontId="0" fillId="0" borderId="3" xfId="1" applyNumberFormat="1" applyFont="1" applyBorder="1"/>
    <xf numFmtId="0" fontId="1" fillId="0" borderId="4" xfId="0" applyFont="1" applyFill="1" applyBorder="1" applyAlignment="1">
      <alignment wrapText="1"/>
    </xf>
    <xf numFmtId="9" fontId="0" fillId="0" borderId="0" xfId="2" applyFont="1"/>
    <xf numFmtId="166" fontId="1" fillId="0" borderId="5" xfId="1" applyNumberFormat="1" applyFont="1" applyBorder="1"/>
    <xf numFmtId="166" fontId="1" fillId="0" borderId="2" xfId="1" applyNumberFormat="1" applyFont="1" applyBorder="1"/>
    <xf numFmtId="166" fontId="1" fillId="0" borderId="3" xfId="1" applyNumberFormat="1" applyFont="1" applyBorder="1"/>
    <xf numFmtId="10" fontId="0" fillId="0" borderId="2" xfId="2" applyNumberFormat="1" applyFont="1" applyBorder="1"/>
    <xf numFmtId="10" fontId="0" fillId="0" borderId="3" xfId="2" applyNumberFormat="1" applyFont="1" applyBorder="1"/>
    <xf numFmtId="10" fontId="0" fillId="0" borderId="5" xfId="2" applyNumberFormat="1" applyFont="1" applyBorder="1"/>
    <xf numFmtId="10" fontId="0" fillId="0" borderId="6" xfId="2" applyNumberFormat="1" applyFont="1" applyBorder="1"/>
    <xf numFmtId="9" fontId="0" fillId="0" borderId="5" xfId="2" applyFont="1" applyBorder="1"/>
    <xf numFmtId="9" fontId="0" fillId="0" borderId="6" xfId="2" applyFont="1" applyBorder="1"/>
    <xf numFmtId="9" fontId="0" fillId="0" borderId="8" xfId="2" applyFont="1" applyBorder="1"/>
    <xf numFmtId="9" fontId="0" fillId="0" borderId="9" xfId="2" applyFont="1" applyBorder="1"/>
    <xf numFmtId="10" fontId="0" fillId="0" borderId="0" xfId="0" applyNumberFormat="1"/>
    <xf numFmtId="10" fontId="0" fillId="0" borderId="27" xfId="2" applyNumberFormat="1" applyFont="1" applyBorder="1"/>
    <xf numFmtId="10" fontId="0" fillId="0" borderId="28" xfId="2" applyNumberFormat="1" applyFont="1" applyBorder="1"/>
    <xf numFmtId="0" fontId="0" fillId="0" borderId="29" xfId="0" applyBorder="1" applyAlignment="1">
      <alignment wrapText="1"/>
    </xf>
    <xf numFmtId="10" fontId="0" fillId="0" borderId="30" xfId="0" applyNumberFormat="1" applyBorder="1"/>
    <xf numFmtId="10" fontId="0" fillId="0" borderId="31" xfId="0" applyNumberForma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0" fontId="0" fillId="0" borderId="0" xfId="2" applyNumberFormat="1" applyFont="1"/>
    <xf numFmtId="166" fontId="1" fillId="0" borderId="6" xfId="0" applyNumberFormat="1" applyFont="1" applyBorder="1"/>
    <xf numFmtId="0" fontId="1" fillId="8" borderId="4" xfId="0" applyFont="1" applyFill="1" applyBorder="1"/>
    <xf numFmtId="166" fontId="1" fillId="8" borderId="5" xfId="1" applyNumberFormat="1" applyFont="1" applyFill="1" applyBorder="1"/>
    <xf numFmtId="0" fontId="1" fillId="8" borderId="1" xfId="0" applyFont="1" applyFill="1" applyBorder="1"/>
    <xf numFmtId="0" fontId="1" fillId="8" borderId="2" xfId="0" applyFont="1" applyFill="1" applyBorder="1"/>
    <xf numFmtId="165" fontId="0" fillId="0" borderId="8" xfId="1" applyFont="1" applyBorder="1"/>
    <xf numFmtId="165" fontId="0" fillId="0" borderId="9" xfId="1" applyFont="1" applyBorder="1"/>
    <xf numFmtId="166" fontId="0" fillId="0" borderId="16" xfId="1" applyNumberFormat="1" applyFont="1" applyBorder="1"/>
    <xf numFmtId="166" fontId="0" fillId="0" borderId="17" xfId="1" applyNumberFormat="1" applyFont="1" applyBorder="1"/>
    <xf numFmtId="166" fontId="0" fillId="2" borderId="28" xfId="1" applyNumberFormat="1" applyFont="1" applyFill="1" applyBorder="1"/>
    <xf numFmtId="167" fontId="0" fillId="0" borderId="0" xfId="0" applyNumberFormat="1"/>
    <xf numFmtId="0" fontId="0" fillId="2" borderId="9" xfId="0" applyFill="1" applyBorder="1"/>
    <xf numFmtId="165" fontId="0" fillId="2" borderId="8" xfId="0" applyNumberFormat="1" applyFill="1" applyBorder="1"/>
    <xf numFmtId="166" fontId="0" fillId="2" borderId="5" xfId="1" applyNumberFormat="1" applyFont="1" applyFill="1" applyBorder="1"/>
    <xf numFmtId="166" fontId="0" fillId="0" borderId="5" xfId="0" applyNumberFormat="1" applyFill="1" applyBorder="1"/>
    <xf numFmtId="0" fontId="0" fillId="0" borderId="27" xfId="0" applyFill="1" applyBorder="1"/>
    <xf numFmtId="0" fontId="0" fillId="0" borderId="5" xfId="0" applyFill="1" applyBorder="1"/>
    <xf numFmtId="165" fontId="0" fillId="0" borderId="5" xfId="1" applyNumberFormat="1" applyFont="1" applyBorder="1"/>
    <xf numFmtId="165" fontId="0" fillId="0" borderId="6" xfId="1" applyNumberFormat="1" applyFont="1" applyBorder="1"/>
    <xf numFmtId="0" fontId="15" fillId="0" borderId="60" xfId="0" applyFont="1" applyBorder="1" applyAlignment="1">
      <alignment wrapText="1"/>
    </xf>
    <xf numFmtId="0" fontId="15" fillId="0" borderId="51" xfId="0" applyFont="1" applyBorder="1" applyAlignment="1">
      <alignment wrapText="1"/>
    </xf>
    <xf numFmtId="0" fontId="16" fillId="0" borderId="52" xfId="0" applyFont="1" applyBorder="1" applyAlignment="1">
      <alignment wrapText="1"/>
    </xf>
    <xf numFmtId="0" fontId="16" fillId="0" borderId="53" xfId="0" applyFont="1" applyBorder="1" applyAlignment="1">
      <alignment wrapText="1"/>
    </xf>
    <xf numFmtId="3" fontId="16" fillId="0" borderId="53" xfId="0" applyNumberFormat="1" applyFont="1" applyBorder="1" applyAlignment="1">
      <alignment horizontal="center" wrapText="1"/>
    </xf>
    <xf numFmtId="0" fontId="15" fillId="0" borderId="52" xfId="0" applyFont="1" applyBorder="1" applyAlignment="1">
      <alignment wrapText="1"/>
    </xf>
    <xf numFmtId="0" fontId="15" fillId="0" borderId="53" xfId="0" applyFont="1" applyBorder="1" applyAlignment="1">
      <alignment wrapText="1"/>
    </xf>
    <xf numFmtId="3" fontId="15" fillId="0" borderId="53" xfId="0" applyNumberFormat="1" applyFont="1" applyBorder="1" applyAlignment="1">
      <alignment horizont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166" fontId="1" fillId="0" borderId="40" xfId="1" applyNumberFormat="1" applyFont="1" applyBorder="1" applyAlignment="1">
      <alignment horizontal="center" wrapText="1"/>
    </xf>
    <xf numFmtId="166" fontId="1" fillId="0" borderId="40" xfId="0" applyNumberFormat="1" applyFont="1" applyBorder="1"/>
    <xf numFmtId="0" fontId="1" fillId="3" borderId="3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166" fontId="3" fillId="3" borderId="40" xfId="1" applyNumberFormat="1" applyFont="1" applyFill="1" applyBorder="1" applyAlignment="1">
      <alignment horizontal="center" wrapText="1"/>
    </xf>
    <xf numFmtId="166" fontId="0" fillId="0" borderId="40" xfId="1" applyNumberFormat="1" applyFont="1" applyBorder="1"/>
    <xf numFmtId="2" fontId="0" fillId="0" borderId="40" xfId="0" applyNumberFormat="1" applyBorder="1"/>
    <xf numFmtId="166" fontId="0" fillId="0" borderId="41" xfId="1" applyNumberFormat="1" applyFont="1" applyBorder="1"/>
    <xf numFmtId="166" fontId="3" fillId="0" borderId="40" xfId="1" applyNumberFormat="1" applyFont="1" applyBorder="1" applyAlignment="1">
      <alignment horizontal="center" wrapText="1"/>
    </xf>
    <xf numFmtId="168" fontId="0" fillId="0" borderId="40" xfId="0" applyNumberFormat="1" applyBorder="1"/>
    <xf numFmtId="0" fontId="1" fillId="0" borderId="42" xfId="0" applyFont="1" applyBorder="1" applyAlignment="1">
      <alignment horizontal="center" vertical="center" wrapText="1"/>
    </xf>
    <xf numFmtId="166" fontId="3" fillId="0" borderId="42" xfId="1" applyNumberFormat="1" applyFont="1" applyBorder="1" applyAlignment="1">
      <alignment horizontal="center" wrapText="1"/>
    </xf>
    <xf numFmtId="166" fontId="0" fillId="0" borderId="42" xfId="1" applyNumberFormat="1" applyFont="1" applyBorder="1"/>
    <xf numFmtId="0" fontId="0" fillId="0" borderId="42" xfId="0" applyBorder="1"/>
    <xf numFmtId="166" fontId="0" fillId="0" borderId="43" xfId="1" applyNumberFormat="1" applyFont="1" applyBorder="1"/>
    <xf numFmtId="0" fontId="1" fillId="0" borderId="1" xfId="0" applyFont="1" applyBorder="1" applyAlignment="1">
      <alignment horizontal="center" vertical="center" wrapText="1"/>
    </xf>
    <xf numFmtId="169" fontId="0" fillId="0" borderId="0" xfId="1" applyNumberFormat="1" applyFont="1"/>
    <xf numFmtId="170" fontId="0" fillId="0" borderId="0" xfId="0" applyNumberFormat="1"/>
    <xf numFmtId="0" fontId="2" fillId="0" borderId="7" xfId="0" applyFont="1" applyBorder="1"/>
    <xf numFmtId="166" fontId="2" fillId="0" borderId="8" xfId="0" applyNumberFormat="1" applyFont="1" applyBorder="1"/>
    <xf numFmtId="166" fontId="2" fillId="0" borderId="9" xfId="0" applyNumberFormat="1" applyFont="1" applyBorder="1"/>
    <xf numFmtId="0" fontId="1" fillId="0" borderId="16" xfId="0" applyFont="1" applyBorder="1"/>
    <xf numFmtId="0" fontId="1" fillId="0" borderId="16" xfId="0" applyFont="1" applyBorder="1" applyAlignment="1">
      <alignment wrapText="1"/>
    </xf>
    <xf numFmtId="0" fontId="1" fillId="0" borderId="18" xfId="0" applyFont="1" applyFill="1" applyBorder="1"/>
    <xf numFmtId="0" fontId="2" fillId="0" borderId="18" xfId="0" applyFont="1" applyBorder="1"/>
    <xf numFmtId="0" fontId="1" fillId="0" borderId="18" xfId="0" applyFont="1" applyBorder="1"/>
    <xf numFmtId="0" fontId="0" fillId="0" borderId="16" xfId="0" applyBorder="1"/>
    <xf numFmtId="166" fontId="0" fillId="0" borderId="17" xfId="0" applyNumberFormat="1" applyBorder="1"/>
    <xf numFmtId="0" fontId="1" fillId="2" borderId="1" xfId="0" applyFont="1" applyFill="1" applyBorder="1"/>
    <xf numFmtId="0" fontId="1" fillId="2" borderId="16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2" borderId="4" xfId="0" applyFill="1" applyBorder="1"/>
    <xf numFmtId="166" fontId="0" fillId="2" borderId="17" xfId="0" applyNumberFormat="1" applyFont="1" applyFill="1" applyBorder="1"/>
    <xf numFmtId="171" fontId="0" fillId="2" borderId="0" xfId="1" applyNumberFormat="1" applyFont="1" applyFill="1" applyBorder="1"/>
    <xf numFmtId="166" fontId="0" fillId="2" borderId="0" xfId="1" applyNumberFormat="1" applyFont="1" applyFill="1" applyBorder="1"/>
    <xf numFmtId="0" fontId="1" fillId="2" borderId="7" xfId="0" applyFont="1" applyFill="1" applyBorder="1"/>
    <xf numFmtId="0" fontId="1" fillId="2" borderId="59" xfId="0" applyFont="1" applyFill="1" applyBorder="1"/>
    <xf numFmtId="166" fontId="1" fillId="2" borderId="59" xfId="1" applyNumberFormat="1" applyFont="1" applyFill="1" applyBorder="1"/>
    <xf numFmtId="166" fontId="1" fillId="2" borderId="53" xfId="1" applyNumberFormat="1" applyFont="1" applyFill="1" applyBorder="1"/>
    <xf numFmtId="169" fontId="4" fillId="9" borderId="0" xfId="1" applyNumberFormat="1" applyFont="1" applyFill="1"/>
    <xf numFmtId="0" fontId="1" fillId="2" borderId="1" xfId="0" applyFont="1" applyFill="1" applyBorder="1" applyAlignment="1">
      <alignment wrapText="1"/>
    </xf>
    <xf numFmtId="0" fontId="1" fillId="2" borderId="16" xfId="0" applyFont="1" applyFill="1" applyBorder="1" applyAlignment="1">
      <alignment wrapText="1"/>
    </xf>
    <xf numFmtId="171" fontId="0" fillId="2" borderId="5" xfId="0" applyNumberFormat="1" applyFill="1" applyBorder="1"/>
    <xf numFmtId="0" fontId="2" fillId="2" borderId="7" xfId="0" applyFont="1" applyFill="1" applyBorder="1"/>
    <xf numFmtId="0" fontId="2" fillId="2" borderId="18" xfId="0" applyFont="1" applyFill="1" applyBorder="1"/>
    <xf numFmtId="166" fontId="2" fillId="2" borderId="8" xfId="0" applyNumberFormat="1" applyFont="1" applyFill="1" applyBorder="1"/>
    <xf numFmtId="166" fontId="2" fillId="2" borderId="9" xfId="0" applyNumberFormat="1" applyFont="1" applyFill="1" applyBorder="1"/>
    <xf numFmtId="0" fontId="0" fillId="2" borderId="1" xfId="0" applyFill="1" applyBorder="1" applyAlignment="1">
      <alignment wrapText="1"/>
    </xf>
    <xf numFmtId="0" fontId="0" fillId="2" borderId="16" xfId="0" applyFill="1" applyBorder="1" applyAlignment="1">
      <alignment wrapText="1"/>
    </xf>
    <xf numFmtId="166" fontId="0" fillId="2" borderId="17" xfId="0" applyNumberFormat="1" applyFill="1" applyBorder="1"/>
    <xf numFmtId="0" fontId="1" fillId="2" borderId="18" xfId="0" applyFont="1" applyFill="1" applyBorder="1"/>
    <xf numFmtId="166" fontId="1" fillId="2" borderId="8" xfId="0" applyNumberFormat="1" applyFont="1" applyFill="1" applyBorder="1"/>
    <xf numFmtId="166" fontId="1" fillId="2" borderId="9" xfId="0" applyNumberFormat="1" applyFont="1" applyFill="1" applyBorder="1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" fillId="0" borderId="36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6" fontId="0" fillId="0" borderId="23" xfId="0" applyNumberFormat="1" applyBorder="1" applyAlignment="1">
      <alignment horizontal="center" vertical="center"/>
    </xf>
    <xf numFmtId="166" fontId="0" fillId="0" borderId="24" xfId="0" applyNumberFormat="1" applyBorder="1" applyAlignment="1">
      <alignment horizontal="center" vertical="center"/>
    </xf>
    <xf numFmtId="166" fontId="0" fillId="0" borderId="25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4" borderId="49" xfId="0" applyFont="1" applyFill="1" applyBorder="1"/>
    <xf numFmtId="0" fontId="10" fillId="4" borderId="50" xfId="0" applyFont="1" applyFill="1" applyBorder="1"/>
    <xf numFmtId="0" fontId="10" fillId="4" borderId="51" xfId="0" applyFont="1" applyFill="1" applyBorder="1"/>
    <xf numFmtId="0" fontId="10" fillId="0" borderId="49" xfId="0" applyFont="1" applyBorder="1"/>
    <xf numFmtId="0" fontId="10" fillId="0" borderId="51" xfId="0" applyFont="1" applyBorder="1"/>
    <xf numFmtId="0" fontId="10" fillId="5" borderId="49" xfId="0" applyFont="1" applyFill="1" applyBorder="1" applyAlignment="1">
      <alignment horizontal="center"/>
    </xf>
    <xf numFmtId="0" fontId="10" fillId="5" borderId="50" xfId="0" applyFont="1" applyFill="1" applyBorder="1" applyAlignment="1">
      <alignment horizontal="center"/>
    </xf>
    <xf numFmtId="0" fontId="10" fillId="5" borderId="51" xfId="0" applyFont="1" applyFill="1" applyBorder="1" applyAlignment="1">
      <alignment horizontal="center"/>
    </xf>
    <xf numFmtId="0" fontId="10" fillId="0" borderId="50" xfId="0" applyFont="1" applyBorder="1"/>
    <xf numFmtId="0" fontId="10" fillId="6" borderId="49" xfId="0" applyFont="1" applyFill="1" applyBorder="1" applyAlignment="1">
      <alignment horizontal="center" wrapText="1"/>
    </xf>
    <xf numFmtId="0" fontId="10" fillId="6" borderId="50" xfId="0" applyFont="1" applyFill="1" applyBorder="1" applyAlignment="1">
      <alignment horizontal="center" wrapText="1"/>
    </xf>
    <xf numFmtId="0" fontId="10" fillId="6" borderId="51" xfId="0" applyFont="1" applyFill="1" applyBorder="1" applyAlignment="1">
      <alignment horizontal="center" wrapText="1"/>
    </xf>
    <xf numFmtId="0" fontId="10" fillId="6" borderId="54" xfId="0" applyFont="1" applyFill="1" applyBorder="1" applyAlignment="1">
      <alignment horizontal="center" wrapText="1"/>
    </xf>
    <xf numFmtId="0" fontId="10" fillId="6" borderId="52" xfId="0" applyFont="1" applyFill="1" applyBorder="1" applyAlignment="1">
      <alignment horizontal="center" wrapText="1"/>
    </xf>
    <xf numFmtId="0" fontId="10" fillId="6" borderId="49" xfId="0" applyFont="1" applyFill="1" applyBorder="1" applyAlignment="1">
      <alignment wrapText="1"/>
    </xf>
    <xf numFmtId="0" fontId="10" fillId="6" borderId="51" xfId="0" applyFont="1" applyFill="1" applyBorder="1" applyAlignment="1">
      <alignment wrapText="1"/>
    </xf>
    <xf numFmtId="0" fontId="10" fillId="6" borderId="55" xfId="0" applyFont="1" applyFill="1" applyBorder="1" applyAlignment="1">
      <alignment wrapText="1"/>
    </xf>
    <xf numFmtId="0" fontId="10" fillId="6" borderId="56" xfId="0" applyFont="1" applyFill="1" applyBorder="1" applyAlignment="1">
      <alignment wrapText="1"/>
    </xf>
    <xf numFmtId="0" fontId="10" fillId="6" borderId="57" xfId="0" applyFont="1" applyFill="1" applyBorder="1" applyAlignment="1">
      <alignment wrapText="1"/>
    </xf>
    <xf numFmtId="0" fontId="10" fillId="6" borderId="53" xfId="0" applyFont="1" applyFill="1" applyBorder="1" applyAlignment="1">
      <alignment wrapText="1"/>
    </xf>
    <xf numFmtId="0" fontId="10" fillId="6" borderId="49" xfId="0" applyFont="1" applyFill="1" applyBorder="1" applyAlignment="1">
      <alignment horizontal="center"/>
    </xf>
    <xf numFmtId="0" fontId="10" fillId="6" borderId="51" xfId="0" applyFont="1" applyFill="1" applyBorder="1" applyAlignment="1">
      <alignment horizontal="center"/>
    </xf>
    <xf numFmtId="0" fontId="12" fillId="0" borderId="49" xfId="0" applyFont="1" applyBorder="1" applyAlignment="1">
      <alignment horizontal="right"/>
    </xf>
    <xf numFmtId="0" fontId="12" fillId="0" borderId="50" xfId="0" applyFont="1" applyBorder="1" applyAlignment="1">
      <alignment horizontal="right"/>
    </xf>
    <xf numFmtId="0" fontId="12" fillId="0" borderId="51" xfId="0" applyFont="1" applyBorder="1" applyAlignment="1">
      <alignment horizontal="right"/>
    </xf>
    <xf numFmtId="0" fontId="10" fillId="0" borderId="54" xfId="0" applyFont="1" applyBorder="1" applyAlignment="1">
      <alignment horizontal="center"/>
    </xf>
    <xf numFmtId="0" fontId="10" fillId="0" borderId="58" xfId="0" applyFont="1" applyBorder="1" applyAlignment="1">
      <alignment horizontal="center"/>
    </xf>
    <xf numFmtId="0" fontId="10" fillId="0" borderId="52" xfId="0" applyFont="1" applyBorder="1" applyAlignment="1">
      <alignment horizontal="center"/>
    </xf>
    <xf numFmtId="0" fontId="0" fillId="0" borderId="39" xfId="0" applyBorder="1" applyAlignment="1">
      <alignment horizontal="left"/>
    </xf>
    <xf numFmtId="0" fontId="0" fillId="0" borderId="40" xfId="0" applyBorder="1" applyAlignment="1">
      <alignment horizontal="left"/>
    </xf>
    <xf numFmtId="0" fontId="0" fillId="0" borderId="40" xfId="0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5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3" fontId="0" fillId="2" borderId="0" xfId="1" applyNumberFormat="1" applyFont="1" applyFill="1" applyBorder="1"/>
    <xf numFmtId="43" fontId="0" fillId="0" borderId="5" xfId="1" applyNumberFormat="1" applyFont="1" applyBorder="1"/>
    <xf numFmtId="43" fontId="0" fillId="0" borderId="6" xfId="0" applyNumberFormat="1" applyBorder="1"/>
    <xf numFmtId="43" fontId="0" fillId="0" borderId="5" xfId="0" applyNumberFormat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476250</xdr:colOff>
      <xdr:row>86</xdr:row>
      <xdr:rowOff>152400</xdr:rowOff>
    </xdr:from>
    <xdr:to>
      <xdr:col>16</xdr:col>
      <xdr:colOff>200025</xdr:colOff>
      <xdr:row>106</xdr:row>
      <xdr:rowOff>123825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91450" y="19973925"/>
          <a:ext cx="8143875" cy="42481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27</xdr:row>
      <xdr:rowOff>0</xdr:rowOff>
    </xdr:from>
    <xdr:to>
      <xdr:col>11</xdr:col>
      <xdr:colOff>390525</xdr:colOff>
      <xdr:row>40</xdr:row>
      <xdr:rowOff>142875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5591175"/>
          <a:ext cx="4343400" cy="395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16</xdr:row>
      <xdr:rowOff>57150</xdr:rowOff>
    </xdr:from>
    <xdr:to>
      <xdr:col>12</xdr:col>
      <xdr:colOff>247650</xdr:colOff>
      <xdr:row>25</xdr:row>
      <xdr:rowOff>190500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496175" y="3724275"/>
          <a:ext cx="4362450" cy="204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tena.ROMAIR\Local%20Settings\Temporary%20Internet%20Files\Content.Outlook\QB9V8XMA\Anexa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tena.ROMAIR\Desktop\Arges%2009.09.2013\Financial%20model_SWM_Arges_v2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ona 1"/>
      <sheetName val="zona 2"/>
      <sheetName val="zona 8"/>
    </sheetNames>
    <sheetDataSet>
      <sheetData sheetId="0" refreshError="1">
        <row r="6">
          <cell r="F6">
            <v>2</v>
          </cell>
        </row>
        <row r="16">
          <cell r="F16">
            <v>2</v>
          </cell>
          <cell r="G16">
            <v>5</v>
          </cell>
        </row>
        <row r="17">
          <cell r="F17">
            <v>2</v>
          </cell>
          <cell r="G17">
            <v>5</v>
          </cell>
        </row>
        <row r="25">
          <cell r="F25">
            <v>2</v>
          </cell>
          <cell r="G25">
            <v>9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Input_2"/>
      <sheetName val="Demand"/>
      <sheetName val="O&amp;M"/>
      <sheetName val="Investment"/>
      <sheetName val="Revenues"/>
      <sheetName val="Calculation"/>
      <sheetName val="Sensitivity"/>
      <sheetName val="Output-E"/>
      <sheetName val="Output-H"/>
      <sheetName val="Project Financing Plan"/>
      <sheetName val="Output"/>
      <sheetName val="Equiv EUR"/>
      <sheetName val="EconomicBenefits"/>
      <sheetName val="Charts"/>
    </sheetNames>
    <sheetDataSet>
      <sheetData sheetId="0"/>
      <sheetData sheetId="1"/>
      <sheetData sheetId="2"/>
      <sheetData sheetId="3"/>
      <sheetData sheetId="4"/>
      <sheetData sheetId="5">
        <row r="363">
          <cell r="J363">
            <v>4090.7622854699939</v>
          </cell>
          <cell r="M363">
            <v>4874.7567735658649</v>
          </cell>
          <cell r="Q363">
            <v>4546.8037513030467</v>
          </cell>
          <cell r="V363">
            <v>4276.9694685657541</v>
          </cell>
          <cell r="AA363">
            <v>3917.2662155400158</v>
          </cell>
          <cell r="AF363">
            <v>3679.9162753123628</v>
          </cell>
          <cell r="AJ363">
            <v>3550.1818808823482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9"/>
  <sheetViews>
    <sheetView workbookViewId="0">
      <pane xSplit="1" ySplit="5" topLeftCell="F81" activePane="bottomRight" state="frozen"/>
      <selection pane="topRight" activeCell="B1" sqref="B1"/>
      <selection pane="bottomLeft" activeCell="A6" sqref="A6"/>
      <selection pane="bottomRight" activeCell="P96" sqref="P96"/>
    </sheetView>
  </sheetViews>
  <sheetFormatPr defaultRowHeight="15" x14ac:dyDescent="0.25"/>
  <cols>
    <col min="1" max="1" width="7.85546875" customWidth="1"/>
    <col min="2" max="2" width="32.7109375" customWidth="1"/>
    <col min="3" max="3" width="17" customWidth="1"/>
    <col min="4" max="4" width="6" customWidth="1"/>
    <col min="5" max="5" width="20.28515625" customWidth="1"/>
    <col min="6" max="7" width="22" customWidth="1"/>
    <col min="8" max="8" width="28" customWidth="1"/>
    <col min="9" max="9" width="14.28515625" customWidth="1"/>
    <col min="10" max="10" width="16" customWidth="1"/>
    <col min="12" max="12" width="9.5703125" bestFit="1" customWidth="1"/>
    <col min="14" max="14" width="9.5703125" bestFit="1" customWidth="1"/>
  </cols>
  <sheetData>
    <row r="1" spans="1:15" ht="15.75" thickBot="1" x14ac:dyDescent="0.3">
      <c r="A1" s="310" t="s">
        <v>19</v>
      </c>
      <c r="B1" s="310"/>
      <c r="C1" s="310"/>
      <c r="D1" s="310"/>
      <c r="E1" s="310"/>
    </row>
    <row r="2" spans="1:15" x14ac:dyDescent="0.25">
      <c r="A2" s="311" t="s">
        <v>20</v>
      </c>
      <c r="B2" s="313" t="s">
        <v>21</v>
      </c>
      <c r="C2" s="313" t="s">
        <v>22</v>
      </c>
      <c r="D2" s="313" t="s">
        <v>23</v>
      </c>
      <c r="E2" s="250" t="s">
        <v>24</v>
      </c>
      <c r="F2" s="134"/>
      <c r="G2" s="134"/>
      <c r="H2" s="134"/>
      <c r="I2" s="134"/>
      <c r="J2" s="134"/>
      <c r="K2" s="134"/>
      <c r="L2" s="134"/>
      <c r="M2" s="134"/>
      <c r="N2" s="134"/>
      <c r="O2" s="135"/>
    </row>
    <row r="3" spans="1:15" ht="45" x14ac:dyDescent="0.25">
      <c r="A3" s="312"/>
      <c r="B3" s="314"/>
      <c r="C3" s="314"/>
      <c r="D3" s="314"/>
      <c r="E3" s="251" t="s">
        <v>411</v>
      </c>
      <c r="F3" s="251" t="s">
        <v>412</v>
      </c>
      <c r="G3" s="251" t="s">
        <v>617</v>
      </c>
      <c r="H3" s="251" t="s">
        <v>616</v>
      </c>
      <c r="I3" s="252" t="s">
        <v>474</v>
      </c>
      <c r="J3" s="252" t="s">
        <v>629</v>
      </c>
      <c r="K3" s="252" t="s">
        <v>630</v>
      </c>
      <c r="L3" s="252" t="s">
        <v>631</v>
      </c>
      <c r="M3" s="252" t="s">
        <v>632</v>
      </c>
      <c r="N3" s="252" t="s">
        <v>633</v>
      </c>
      <c r="O3" s="253" t="s">
        <v>634</v>
      </c>
    </row>
    <row r="4" spans="1:15" x14ac:dyDescent="0.25">
      <c r="A4" s="312"/>
      <c r="B4" s="314"/>
      <c r="C4" s="314"/>
      <c r="D4" s="314"/>
      <c r="E4" s="251" t="s">
        <v>25</v>
      </c>
      <c r="F4" s="251" t="s">
        <v>25</v>
      </c>
      <c r="G4" s="251" t="s">
        <v>25</v>
      </c>
      <c r="H4" s="137"/>
      <c r="I4" s="137"/>
      <c r="J4" s="137"/>
      <c r="K4" s="137"/>
      <c r="L4" s="137"/>
      <c r="M4" s="137"/>
      <c r="N4" s="137"/>
      <c r="O4" s="138"/>
    </row>
    <row r="5" spans="1:15" x14ac:dyDescent="0.25">
      <c r="A5" s="254" t="s">
        <v>26</v>
      </c>
      <c r="B5" s="251" t="s">
        <v>27</v>
      </c>
      <c r="C5" s="251" t="s">
        <v>28</v>
      </c>
      <c r="D5" s="251" t="s">
        <v>28</v>
      </c>
      <c r="E5" s="255">
        <v>636643</v>
      </c>
      <c r="F5" s="256">
        <f>SUM(F6:F107)</f>
        <v>612431</v>
      </c>
      <c r="G5" s="256"/>
      <c r="H5" s="137"/>
      <c r="I5" s="137"/>
      <c r="J5" s="137"/>
      <c r="K5" s="137"/>
      <c r="L5" s="137"/>
      <c r="M5" s="137"/>
      <c r="N5" s="137"/>
      <c r="O5" s="138"/>
    </row>
    <row r="6" spans="1:15" x14ac:dyDescent="0.25">
      <c r="A6" s="257">
        <v>1</v>
      </c>
      <c r="B6" s="258" t="s">
        <v>29</v>
      </c>
      <c r="C6" s="258" t="s">
        <v>28</v>
      </c>
      <c r="D6" s="258" t="s">
        <v>28</v>
      </c>
      <c r="E6" s="259">
        <v>166446</v>
      </c>
      <c r="F6" s="259">
        <v>155383</v>
      </c>
      <c r="G6" s="259"/>
      <c r="H6" s="260">
        <v>59044</v>
      </c>
      <c r="I6" s="261">
        <f t="shared" ref="I6:I37" si="0">ROUND(F6/H6,2)</f>
        <v>2.63</v>
      </c>
      <c r="J6" s="260"/>
      <c r="K6" s="260"/>
      <c r="L6" s="260"/>
      <c r="M6" s="260"/>
      <c r="N6" s="260"/>
      <c r="O6" s="262"/>
    </row>
    <row r="7" spans="1:15" x14ac:dyDescent="0.25">
      <c r="A7" s="257">
        <v>2</v>
      </c>
      <c r="B7" s="258" t="s">
        <v>30</v>
      </c>
      <c r="C7" s="258" t="s">
        <v>28</v>
      </c>
      <c r="D7" s="258" t="s">
        <v>28</v>
      </c>
      <c r="E7" s="259">
        <v>35479</v>
      </c>
      <c r="F7" s="259">
        <v>31767</v>
      </c>
      <c r="G7" s="259"/>
      <c r="H7" s="260">
        <v>12264</v>
      </c>
      <c r="I7" s="137">
        <f t="shared" si="0"/>
        <v>2.59</v>
      </c>
      <c r="J7" s="260"/>
      <c r="K7" s="260"/>
      <c r="L7" s="260"/>
      <c r="M7" s="260"/>
      <c r="N7" s="260"/>
      <c r="O7" s="262"/>
    </row>
    <row r="8" spans="1:15" x14ac:dyDescent="0.25">
      <c r="A8" s="257">
        <v>3</v>
      </c>
      <c r="B8" s="258" t="s">
        <v>31</v>
      </c>
      <c r="C8" s="258" t="s">
        <v>28</v>
      </c>
      <c r="D8" s="258" t="s">
        <v>28</v>
      </c>
      <c r="E8" s="259">
        <v>32246</v>
      </c>
      <c r="F8" s="259">
        <v>27359</v>
      </c>
      <c r="G8" s="259">
        <v>25409</v>
      </c>
      <c r="H8" s="260">
        <v>10425</v>
      </c>
      <c r="I8" s="137">
        <f t="shared" si="0"/>
        <v>2.62</v>
      </c>
      <c r="J8" s="260">
        <v>1440</v>
      </c>
      <c r="K8" s="260">
        <v>23</v>
      </c>
      <c r="L8" s="260">
        <v>4449</v>
      </c>
      <c r="M8" s="260">
        <v>202</v>
      </c>
      <c r="N8" s="260">
        <v>13638</v>
      </c>
      <c r="O8" s="262">
        <v>20</v>
      </c>
    </row>
    <row r="9" spans="1:15" x14ac:dyDescent="0.25">
      <c r="A9" s="257">
        <v>4</v>
      </c>
      <c r="B9" s="258" t="s">
        <v>32</v>
      </c>
      <c r="C9" s="258" t="s">
        <v>28</v>
      </c>
      <c r="D9" s="258" t="s">
        <v>28</v>
      </c>
      <c r="E9" s="259">
        <v>10515</v>
      </c>
      <c r="F9" s="259">
        <v>10375</v>
      </c>
      <c r="G9" s="259">
        <v>9890</v>
      </c>
      <c r="H9" s="260">
        <v>3681</v>
      </c>
      <c r="I9" s="137">
        <f t="shared" si="0"/>
        <v>2.82</v>
      </c>
      <c r="J9" s="260">
        <v>84</v>
      </c>
      <c r="K9" s="260">
        <v>10</v>
      </c>
      <c r="L9" s="260">
        <v>3005</v>
      </c>
      <c r="M9" s="260">
        <v>29</v>
      </c>
      <c r="N9" s="260">
        <v>6722</v>
      </c>
      <c r="O9" s="262">
        <v>100</v>
      </c>
    </row>
    <row r="10" spans="1:15" x14ac:dyDescent="0.25">
      <c r="A10" s="257">
        <v>5</v>
      </c>
      <c r="B10" s="258" t="s">
        <v>33</v>
      </c>
      <c r="C10" s="258" t="s">
        <v>28</v>
      </c>
      <c r="D10" s="258" t="s">
        <v>28</v>
      </c>
      <c r="E10" s="259">
        <v>33549</v>
      </c>
      <c r="F10" s="259">
        <v>31998</v>
      </c>
      <c r="G10" s="259"/>
      <c r="H10" s="260">
        <v>11164</v>
      </c>
      <c r="I10" s="137">
        <f t="shared" si="0"/>
        <v>2.87</v>
      </c>
      <c r="J10" s="260"/>
      <c r="K10" s="260"/>
      <c r="L10" s="260"/>
      <c r="M10" s="260"/>
      <c r="N10" s="260"/>
      <c r="O10" s="262"/>
    </row>
    <row r="11" spans="1:15" x14ac:dyDescent="0.25">
      <c r="A11" s="257">
        <v>6</v>
      </c>
      <c r="B11" s="258" t="s">
        <v>34</v>
      </c>
      <c r="C11" s="258" t="s">
        <v>28</v>
      </c>
      <c r="D11" s="258" t="s">
        <v>28</v>
      </c>
      <c r="E11" s="259">
        <v>14616</v>
      </c>
      <c r="F11" s="259">
        <v>14541</v>
      </c>
      <c r="G11" s="259"/>
      <c r="H11" s="260">
        <v>4797</v>
      </c>
      <c r="I11" s="137">
        <f t="shared" si="0"/>
        <v>3.03</v>
      </c>
      <c r="J11" s="260"/>
      <c r="K11" s="260"/>
      <c r="L11" s="260"/>
      <c r="M11" s="260"/>
      <c r="N11" s="260"/>
      <c r="O11" s="262"/>
    </row>
    <row r="12" spans="1:15" x14ac:dyDescent="0.25">
      <c r="A12" s="257">
        <v>7</v>
      </c>
      <c r="B12" s="258" t="s">
        <v>35</v>
      </c>
      <c r="C12" s="258" t="s">
        <v>28</v>
      </c>
      <c r="D12" s="258" t="s">
        <v>28</v>
      </c>
      <c r="E12" s="259">
        <v>10439</v>
      </c>
      <c r="F12" s="259">
        <v>10219</v>
      </c>
      <c r="G12" s="259"/>
      <c r="H12" s="260">
        <v>3506</v>
      </c>
      <c r="I12" s="137">
        <f t="shared" si="0"/>
        <v>2.91</v>
      </c>
      <c r="J12" s="260"/>
      <c r="K12" s="260"/>
      <c r="L12" s="260"/>
      <c r="M12" s="260"/>
      <c r="N12" s="260"/>
      <c r="O12" s="262"/>
    </row>
    <row r="13" spans="1:15" x14ac:dyDescent="0.25">
      <c r="A13" s="254">
        <v>8</v>
      </c>
      <c r="B13" s="251" t="s">
        <v>36</v>
      </c>
      <c r="C13" s="251" t="s">
        <v>28</v>
      </c>
      <c r="D13" s="251" t="s">
        <v>28</v>
      </c>
      <c r="E13" s="263">
        <v>5925</v>
      </c>
      <c r="F13" s="260">
        <v>5456</v>
      </c>
      <c r="G13" s="260">
        <v>5681</v>
      </c>
      <c r="H13" s="260">
        <v>1740</v>
      </c>
      <c r="I13" s="137">
        <f t="shared" si="0"/>
        <v>3.14</v>
      </c>
      <c r="J13" s="260">
        <v>30</v>
      </c>
      <c r="K13" s="260">
        <v>14</v>
      </c>
      <c r="L13" s="260">
        <v>1911</v>
      </c>
      <c r="M13" s="260"/>
      <c r="N13" s="260">
        <v>5681</v>
      </c>
      <c r="O13" s="262"/>
    </row>
    <row r="14" spans="1:15" x14ac:dyDescent="0.25">
      <c r="A14" s="254">
        <v>9</v>
      </c>
      <c r="B14" s="251" t="s">
        <v>37</v>
      </c>
      <c r="C14" s="251" t="s">
        <v>28</v>
      </c>
      <c r="D14" s="251" t="s">
        <v>28</v>
      </c>
      <c r="E14" s="263">
        <v>1434</v>
      </c>
      <c r="F14" s="260">
        <v>1578</v>
      </c>
      <c r="G14" s="260"/>
      <c r="H14" s="260">
        <v>578</v>
      </c>
      <c r="I14" s="137">
        <f t="shared" si="0"/>
        <v>2.73</v>
      </c>
      <c r="J14" s="260"/>
      <c r="K14" s="260"/>
      <c r="L14" s="260"/>
      <c r="M14" s="260"/>
      <c r="N14" s="260"/>
      <c r="O14" s="262"/>
    </row>
    <row r="15" spans="1:15" x14ac:dyDescent="0.25">
      <c r="A15" s="254">
        <v>10</v>
      </c>
      <c r="B15" s="251" t="s">
        <v>38</v>
      </c>
      <c r="C15" s="251" t="s">
        <v>28</v>
      </c>
      <c r="D15" s="251" t="s">
        <v>28</v>
      </c>
      <c r="E15" s="263">
        <v>3914</v>
      </c>
      <c r="F15" s="260">
        <v>3842</v>
      </c>
      <c r="G15" s="260"/>
      <c r="H15" s="260">
        <v>1487</v>
      </c>
      <c r="I15" s="137">
        <f t="shared" si="0"/>
        <v>2.58</v>
      </c>
      <c r="J15" s="260"/>
      <c r="K15" s="260"/>
      <c r="L15" s="260"/>
      <c r="M15" s="260"/>
      <c r="N15" s="260"/>
      <c r="O15" s="262"/>
    </row>
    <row r="16" spans="1:15" x14ac:dyDescent="0.25">
      <c r="A16" s="254">
        <v>11</v>
      </c>
      <c r="B16" s="251" t="s">
        <v>39</v>
      </c>
      <c r="C16" s="251" t="s">
        <v>28</v>
      </c>
      <c r="D16" s="251" t="s">
        <v>28</v>
      </c>
      <c r="E16" s="263">
        <v>3333</v>
      </c>
      <c r="F16" s="260">
        <v>3299</v>
      </c>
      <c r="G16" s="260">
        <v>2200</v>
      </c>
      <c r="H16" s="260">
        <v>1133</v>
      </c>
      <c r="I16" s="137">
        <f t="shared" si="0"/>
        <v>2.91</v>
      </c>
      <c r="J16" s="260">
        <v>14</v>
      </c>
      <c r="K16" s="260">
        <v>5</v>
      </c>
      <c r="L16" s="260">
        <v>793</v>
      </c>
      <c r="M16" s="260">
        <v>3</v>
      </c>
      <c r="N16" s="260">
        <v>2080</v>
      </c>
      <c r="O16" s="262">
        <v>289</v>
      </c>
    </row>
    <row r="17" spans="1:15" x14ac:dyDescent="0.25">
      <c r="A17" s="254">
        <v>12</v>
      </c>
      <c r="B17" s="251" t="s">
        <v>40</v>
      </c>
      <c r="C17" s="251" t="s">
        <v>28</v>
      </c>
      <c r="D17" s="251" t="s">
        <v>28</v>
      </c>
      <c r="E17" s="263">
        <v>2532</v>
      </c>
      <c r="F17" s="260">
        <v>2405</v>
      </c>
      <c r="G17" s="260"/>
      <c r="H17" s="260">
        <v>912</v>
      </c>
      <c r="I17" s="137">
        <f t="shared" si="0"/>
        <v>2.64</v>
      </c>
      <c r="J17" s="260"/>
      <c r="K17" s="260"/>
      <c r="L17" s="260"/>
      <c r="M17" s="260"/>
      <c r="N17" s="260"/>
      <c r="O17" s="262"/>
    </row>
    <row r="18" spans="1:15" x14ac:dyDescent="0.25">
      <c r="A18" s="254">
        <v>13</v>
      </c>
      <c r="B18" s="251" t="s">
        <v>41</v>
      </c>
      <c r="C18" s="251" t="s">
        <v>28</v>
      </c>
      <c r="D18" s="251" t="s">
        <v>28</v>
      </c>
      <c r="E18" s="263">
        <v>2935</v>
      </c>
      <c r="F18" s="260">
        <v>2820</v>
      </c>
      <c r="G18" s="260"/>
      <c r="H18" s="260">
        <v>979</v>
      </c>
      <c r="I18" s="137">
        <f t="shared" si="0"/>
        <v>2.88</v>
      </c>
      <c r="J18" s="260"/>
      <c r="K18" s="260"/>
      <c r="L18" s="260"/>
      <c r="M18" s="260"/>
      <c r="N18" s="260"/>
      <c r="O18" s="262"/>
    </row>
    <row r="19" spans="1:15" x14ac:dyDescent="0.25">
      <c r="A19" s="254">
        <v>14</v>
      </c>
      <c r="B19" s="251" t="s">
        <v>42</v>
      </c>
      <c r="C19" s="251" t="s">
        <v>28</v>
      </c>
      <c r="D19" s="251" t="s">
        <v>28</v>
      </c>
      <c r="E19" s="263">
        <v>6147</v>
      </c>
      <c r="F19" s="260">
        <v>5826</v>
      </c>
      <c r="G19" s="260"/>
      <c r="H19" s="260">
        <v>1934</v>
      </c>
      <c r="I19" s="137">
        <f t="shared" si="0"/>
        <v>3.01</v>
      </c>
      <c r="J19" s="260"/>
      <c r="K19" s="260"/>
      <c r="L19" s="260"/>
      <c r="M19" s="260"/>
      <c r="N19" s="260"/>
      <c r="O19" s="262"/>
    </row>
    <row r="20" spans="1:15" x14ac:dyDescent="0.25">
      <c r="A20" s="254">
        <v>15</v>
      </c>
      <c r="B20" s="251" t="s">
        <v>43</v>
      </c>
      <c r="C20" s="251" t="s">
        <v>28</v>
      </c>
      <c r="D20" s="251" t="s">
        <v>28</v>
      </c>
      <c r="E20" s="263">
        <v>4158</v>
      </c>
      <c r="F20" s="260">
        <v>4105</v>
      </c>
      <c r="G20" s="260"/>
      <c r="H20" s="260">
        <v>1473</v>
      </c>
      <c r="I20" s="137">
        <f t="shared" si="0"/>
        <v>2.79</v>
      </c>
      <c r="J20" s="260"/>
      <c r="K20" s="260"/>
      <c r="L20" s="260"/>
      <c r="M20" s="260"/>
      <c r="N20" s="260"/>
      <c r="O20" s="262"/>
    </row>
    <row r="21" spans="1:15" x14ac:dyDescent="0.25">
      <c r="A21" s="254">
        <v>16</v>
      </c>
      <c r="B21" s="251" t="s">
        <v>44</v>
      </c>
      <c r="C21" s="251" t="s">
        <v>28</v>
      </c>
      <c r="D21" s="251" t="s">
        <v>28</v>
      </c>
      <c r="E21" s="263">
        <v>5196</v>
      </c>
      <c r="F21" s="260">
        <v>5142</v>
      </c>
      <c r="G21" s="260"/>
      <c r="H21" s="260">
        <v>1947</v>
      </c>
      <c r="I21" s="137">
        <f t="shared" si="0"/>
        <v>2.64</v>
      </c>
      <c r="J21" s="260"/>
      <c r="K21" s="260"/>
      <c r="L21" s="260"/>
      <c r="M21" s="260"/>
      <c r="N21" s="260"/>
      <c r="O21" s="262"/>
    </row>
    <row r="22" spans="1:15" x14ac:dyDescent="0.25">
      <c r="A22" s="254">
        <v>17</v>
      </c>
      <c r="B22" s="251" t="s">
        <v>45</v>
      </c>
      <c r="C22" s="251" t="s">
        <v>28</v>
      </c>
      <c r="D22" s="251" t="s">
        <v>28</v>
      </c>
      <c r="E22" s="263">
        <v>10029</v>
      </c>
      <c r="F22" s="260">
        <v>10218</v>
      </c>
      <c r="G22" s="260"/>
      <c r="H22" s="260">
        <v>3400</v>
      </c>
      <c r="I22" s="137">
        <f t="shared" si="0"/>
        <v>3.01</v>
      </c>
      <c r="J22" s="260"/>
      <c r="K22" s="260"/>
      <c r="L22" s="260"/>
      <c r="M22" s="260"/>
      <c r="N22" s="260"/>
      <c r="O22" s="262"/>
    </row>
    <row r="23" spans="1:15" x14ac:dyDescent="0.25">
      <c r="A23" s="254">
        <v>18</v>
      </c>
      <c r="B23" s="251" t="s">
        <v>46</v>
      </c>
      <c r="C23" s="251" t="s">
        <v>28</v>
      </c>
      <c r="D23" s="251" t="s">
        <v>28</v>
      </c>
      <c r="E23" s="263">
        <v>1848</v>
      </c>
      <c r="F23" s="260">
        <v>1941</v>
      </c>
      <c r="G23" s="260"/>
      <c r="H23" s="260">
        <v>675</v>
      </c>
      <c r="I23" s="137">
        <f t="shared" si="0"/>
        <v>2.88</v>
      </c>
      <c r="J23" s="260"/>
      <c r="K23" s="260"/>
      <c r="L23" s="260"/>
      <c r="M23" s="260"/>
      <c r="N23" s="260"/>
      <c r="O23" s="262"/>
    </row>
    <row r="24" spans="1:15" x14ac:dyDescent="0.25">
      <c r="A24" s="254">
        <v>19</v>
      </c>
      <c r="B24" s="251" t="s">
        <v>47</v>
      </c>
      <c r="C24" s="251" t="s">
        <v>28</v>
      </c>
      <c r="D24" s="251" t="s">
        <v>28</v>
      </c>
      <c r="E24" s="263">
        <v>3492</v>
      </c>
      <c r="F24" s="260">
        <v>3372</v>
      </c>
      <c r="G24" s="260"/>
      <c r="H24" s="260">
        <v>1218</v>
      </c>
      <c r="I24" s="137">
        <f t="shared" si="0"/>
        <v>2.77</v>
      </c>
      <c r="J24" s="260"/>
      <c r="K24" s="260"/>
      <c r="L24" s="260"/>
      <c r="M24" s="260"/>
      <c r="N24" s="260"/>
      <c r="O24" s="262"/>
    </row>
    <row r="25" spans="1:15" x14ac:dyDescent="0.25">
      <c r="A25" s="254">
        <v>20</v>
      </c>
      <c r="B25" s="251" t="s">
        <v>48</v>
      </c>
      <c r="C25" s="251" t="s">
        <v>28</v>
      </c>
      <c r="D25" s="251" t="s">
        <v>28</v>
      </c>
      <c r="E25" s="263">
        <v>4474</v>
      </c>
      <c r="F25" s="260">
        <v>4636</v>
      </c>
      <c r="G25" s="260"/>
      <c r="H25" s="260">
        <v>1631</v>
      </c>
      <c r="I25" s="137">
        <f t="shared" si="0"/>
        <v>2.84</v>
      </c>
      <c r="J25" s="260"/>
      <c r="K25" s="260"/>
      <c r="L25" s="260"/>
      <c r="M25" s="260"/>
      <c r="N25" s="260"/>
      <c r="O25" s="262"/>
    </row>
    <row r="26" spans="1:15" x14ac:dyDescent="0.25">
      <c r="A26" s="254">
        <v>21</v>
      </c>
      <c r="B26" s="251" t="s">
        <v>49</v>
      </c>
      <c r="C26" s="251" t="s">
        <v>28</v>
      </c>
      <c r="D26" s="251" t="s">
        <v>28</v>
      </c>
      <c r="E26" s="263">
        <v>2523</v>
      </c>
      <c r="F26" s="260">
        <v>2495</v>
      </c>
      <c r="G26" s="260"/>
      <c r="H26" s="260">
        <v>959</v>
      </c>
      <c r="I26" s="137">
        <f t="shared" si="0"/>
        <v>2.6</v>
      </c>
      <c r="J26" s="260"/>
      <c r="K26" s="260"/>
      <c r="L26" s="260"/>
      <c r="M26" s="260"/>
      <c r="N26" s="260"/>
      <c r="O26" s="262"/>
    </row>
    <row r="27" spans="1:15" x14ac:dyDescent="0.25">
      <c r="A27" s="254">
        <v>22</v>
      </c>
      <c r="B27" s="251" t="s">
        <v>50</v>
      </c>
      <c r="C27" s="251" t="s">
        <v>28</v>
      </c>
      <c r="D27" s="251" t="s">
        <v>28</v>
      </c>
      <c r="E27" s="263">
        <v>1140</v>
      </c>
      <c r="F27" s="260">
        <v>1207</v>
      </c>
      <c r="G27" s="260"/>
      <c r="H27" s="260">
        <v>499</v>
      </c>
      <c r="I27" s="137">
        <f t="shared" si="0"/>
        <v>2.42</v>
      </c>
      <c r="J27" s="260"/>
      <c r="K27" s="260"/>
      <c r="L27" s="260"/>
      <c r="M27" s="260"/>
      <c r="N27" s="260"/>
      <c r="O27" s="262"/>
    </row>
    <row r="28" spans="1:15" x14ac:dyDescent="0.25">
      <c r="A28" s="254">
        <v>23</v>
      </c>
      <c r="B28" s="251" t="s">
        <v>51</v>
      </c>
      <c r="C28" s="251" t="s">
        <v>28</v>
      </c>
      <c r="D28" s="251" t="s">
        <v>28</v>
      </c>
      <c r="E28" s="263">
        <v>6830</v>
      </c>
      <c r="F28" s="260">
        <v>7130</v>
      </c>
      <c r="G28" s="260"/>
      <c r="H28" s="260">
        <v>2381</v>
      </c>
      <c r="I28" s="137">
        <f t="shared" si="0"/>
        <v>2.99</v>
      </c>
      <c r="J28" s="260"/>
      <c r="K28" s="260"/>
      <c r="L28" s="260"/>
      <c r="M28" s="260"/>
      <c r="N28" s="260"/>
      <c r="O28" s="262"/>
    </row>
    <row r="29" spans="1:15" x14ac:dyDescent="0.25">
      <c r="A29" s="254">
        <v>24</v>
      </c>
      <c r="B29" s="251" t="s">
        <v>52</v>
      </c>
      <c r="C29" s="251" t="s">
        <v>28</v>
      </c>
      <c r="D29" s="251" t="s">
        <v>28</v>
      </c>
      <c r="E29" s="263">
        <v>1842</v>
      </c>
      <c r="F29" s="260">
        <v>1867</v>
      </c>
      <c r="G29" s="260"/>
      <c r="H29" s="260">
        <v>776</v>
      </c>
      <c r="I29" s="137">
        <f t="shared" si="0"/>
        <v>2.41</v>
      </c>
      <c r="J29" s="260"/>
      <c r="K29" s="260"/>
      <c r="L29" s="260"/>
      <c r="M29" s="260"/>
      <c r="N29" s="260"/>
      <c r="O29" s="262"/>
    </row>
    <row r="30" spans="1:15" x14ac:dyDescent="0.25">
      <c r="A30" s="254">
        <v>25</v>
      </c>
      <c r="B30" s="251" t="s">
        <v>53</v>
      </c>
      <c r="C30" s="251" t="s">
        <v>28</v>
      </c>
      <c r="D30" s="251" t="s">
        <v>28</v>
      </c>
      <c r="E30" s="263">
        <v>4029</v>
      </c>
      <c r="F30" s="260">
        <v>4004</v>
      </c>
      <c r="G30" s="260"/>
      <c r="H30" s="260">
        <v>1449</v>
      </c>
      <c r="I30" s="137">
        <f t="shared" si="0"/>
        <v>2.76</v>
      </c>
      <c r="J30" s="260"/>
      <c r="K30" s="260"/>
      <c r="L30" s="260"/>
      <c r="M30" s="260"/>
      <c r="N30" s="260"/>
      <c r="O30" s="262"/>
    </row>
    <row r="31" spans="1:15" x14ac:dyDescent="0.25">
      <c r="A31" s="254">
        <v>26</v>
      </c>
      <c r="B31" s="251" t="s">
        <v>54</v>
      </c>
      <c r="C31" s="251" t="s">
        <v>28</v>
      </c>
      <c r="D31" s="251" t="s">
        <v>28</v>
      </c>
      <c r="E31" s="263">
        <v>2981</v>
      </c>
      <c r="F31" s="260">
        <v>2862</v>
      </c>
      <c r="G31" s="260"/>
      <c r="H31" s="260">
        <v>1006</v>
      </c>
      <c r="I31" s="137">
        <f t="shared" si="0"/>
        <v>2.84</v>
      </c>
      <c r="J31" s="260"/>
      <c r="K31" s="260"/>
      <c r="L31" s="260"/>
      <c r="M31" s="260"/>
      <c r="N31" s="260"/>
      <c r="O31" s="262"/>
    </row>
    <row r="32" spans="1:15" x14ac:dyDescent="0.25">
      <c r="A32" s="254">
        <v>27</v>
      </c>
      <c r="B32" s="251" t="s">
        <v>55</v>
      </c>
      <c r="C32" s="251" t="s">
        <v>28</v>
      </c>
      <c r="D32" s="251" t="s">
        <v>28</v>
      </c>
      <c r="E32" s="263">
        <v>3243</v>
      </c>
      <c r="F32" s="260">
        <v>2997</v>
      </c>
      <c r="G32" s="260"/>
      <c r="H32" s="260">
        <v>1024</v>
      </c>
      <c r="I32" s="137">
        <f t="shared" si="0"/>
        <v>2.93</v>
      </c>
      <c r="J32" s="260"/>
      <c r="K32" s="260"/>
      <c r="L32" s="260"/>
      <c r="M32" s="260"/>
      <c r="N32" s="260"/>
      <c r="O32" s="262"/>
    </row>
    <row r="33" spans="1:15" x14ac:dyDescent="0.25">
      <c r="A33" s="254">
        <v>28</v>
      </c>
      <c r="B33" s="251" t="s">
        <v>56</v>
      </c>
      <c r="C33" s="251" t="s">
        <v>28</v>
      </c>
      <c r="D33" s="251" t="s">
        <v>28</v>
      </c>
      <c r="E33" s="263">
        <v>6005</v>
      </c>
      <c r="F33" s="260">
        <v>5975</v>
      </c>
      <c r="G33" s="260"/>
      <c r="H33" s="260">
        <v>2094</v>
      </c>
      <c r="I33" s="137">
        <f t="shared" si="0"/>
        <v>2.85</v>
      </c>
      <c r="J33" s="260"/>
      <c r="K33" s="260"/>
      <c r="L33" s="260"/>
      <c r="M33" s="260"/>
      <c r="N33" s="260"/>
      <c r="O33" s="262"/>
    </row>
    <row r="34" spans="1:15" x14ac:dyDescent="0.25">
      <c r="A34" s="254">
        <v>29</v>
      </c>
      <c r="B34" s="251" t="s">
        <v>57</v>
      </c>
      <c r="C34" s="251" t="s">
        <v>28</v>
      </c>
      <c r="D34" s="251" t="s">
        <v>28</v>
      </c>
      <c r="E34" s="263">
        <v>2512</v>
      </c>
      <c r="F34" s="260">
        <v>2562</v>
      </c>
      <c r="G34" s="260"/>
      <c r="H34" s="260">
        <v>1068</v>
      </c>
      <c r="I34" s="137">
        <f t="shared" si="0"/>
        <v>2.4</v>
      </c>
      <c r="J34" s="260"/>
      <c r="K34" s="260"/>
      <c r="L34" s="260"/>
      <c r="M34" s="260"/>
      <c r="N34" s="260"/>
      <c r="O34" s="262"/>
    </row>
    <row r="35" spans="1:15" x14ac:dyDescent="0.25">
      <c r="A35" s="254">
        <v>30</v>
      </c>
      <c r="B35" s="251" t="s">
        <v>58</v>
      </c>
      <c r="C35" s="251" t="s">
        <v>28</v>
      </c>
      <c r="D35" s="251" t="s">
        <v>28</v>
      </c>
      <c r="E35" s="263">
        <v>11269</v>
      </c>
      <c r="F35" s="260">
        <v>10872</v>
      </c>
      <c r="G35" s="260"/>
      <c r="H35" s="260">
        <v>3461</v>
      </c>
      <c r="I35" s="137">
        <f t="shared" si="0"/>
        <v>3.14</v>
      </c>
      <c r="J35" s="260"/>
      <c r="K35" s="260"/>
      <c r="L35" s="260"/>
      <c r="M35" s="260"/>
      <c r="N35" s="260"/>
      <c r="O35" s="262"/>
    </row>
    <row r="36" spans="1:15" x14ac:dyDescent="0.25">
      <c r="A36" s="254">
        <v>31</v>
      </c>
      <c r="B36" s="251" t="s">
        <v>59</v>
      </c>
      <c r="C36" s="251" t="s">
        <v>28</v>
      </c>
      <c r="D36" s="251" t="s">
        <v>28</v>
      </c>
      <c r="E36" s="263">
        <v>3913</v>
      </c>
      <c r="F36" s="260">
        <v>4006</v>
      </c>
      <c r="G36" s="260"/>
      <c r="H36" s="260">
        <v>1334</v>
      </c>
      <c r="I36" s="137">
        <f t="shared" si="0"/>
        <v>3</v>
      </c>
      <c r="J36" s="260"/>
      <c r="K36" s="260"/>
      <c r="L36" s="260"/>
      <c r="M36" s="260"/>
      <c r="N36" s="260"/>
      <c r="O36" s="262"/>
    </row>
    <row r="37" spans="1:15" x14ac:dyDescent="0.25">
      <c r="A37" s="254">
        <v>32</v>
      </c>
      <c r="B37" s="251" t="s">
        <v>60</v>
      </c>
      <c r="C37" s="251" t="s">
        <v>28</v>
      </c>
      <c r="D37" s="251" t="s">
        <v>28</v>
      </c>
      <c r="E37" s="263">
        <v>2264</v>
      </c>
      <c r="F37" s="260">
        <v>2289</v>
      </c>
      <c r="G37" s="260">
        <v>2264</v>
      </c>
      <c r="H37" s="260">
        <v>849</v>
      </c>
      <c r="I37" s="137">
        <f t="shared" si="0"/>
        <v>2.7</v>
      </c>
      <c r="J37" s="260">
        <v>13</v>
      </c>
      <c r="K37" s="260">
        <v>12</v>
      </c>
      <c r="L37" s="260">
        <v>1167</v>
      </c>
      <c r="M37" s="260"/>
      <c r="N37" s="260">
        <v>2264</v>
      </c>
      <c r="O37" s="262">
        <v>0</v>
      </c>
    </row>
    <row r="38" spans="1:15" x14ac:dyDescent="0.25">
      <c r="A38" s="254">
        <v>33</v>
      </c>
      <c r="B38" s="251" t="s">
        <v>61</v>
      </c>
      <c r="C38" s="251" t="s">
        <v>28</v>
      </c>
      <c r="D38" s="251" t="s">
        <v>28</v>
      </c>
      <c r="E38" s="263">
        <v>3044</v>
      </c>
      <c r="F38" s="260">
        <v>3057</v>
      </c>
      <c r="G38" s="260"/>
      <c r="H38" s="260">
        <v>1026</v>
      </c>
      <c r="I38" s="137">
        <f t="shared" ref="I38:I69" si="1">ROUND(F38/H38,2)</f>
        <v>2.98</v>
      </c>
      <c r="J38" s="260"/>
      <c r="K38" s="260"/>
      <c r="L38" s="260"/>
      <c r="M38" s="260"/>
      <c r="N38" s="260"/>
      <c r="O38" s="262"/>
    </row>
    <row r="39" spans="1:15" x14ac:dyDescent="0.25">
      <c r="A39" s="254">
        <v>34</v>
      </c>
      <c r="B39" s="251" t="s">
        <v>62</v>
      </c>
      <c r="C39" s="251" t="s">
        <v>28</v>
      </c>
      <c r="D39" s="251" t="s">
        <v>28</v>
      </c>
      <c r="E39" s="263">
        <v>2110</v>
      </c>
      <c r="F39" s="260">
        <v>2107</v>
      </c>
      <c r="G39" s="260"/>
      <c r="H39" s="260">
        <v>779</v>
      </c>
      <c r="I39" s="137">
        <f t="shared" si="1"/>
        <v>2.7</v>
      </c>
      <c r="J39" s="260"/>
      <c r="K39" s="260"/>
      <c r="L39" s="260"/>
      <c r="M39" s="260"/>
      <c r="N39" s="260"/>
      <c r="O39" s="262"/>
    </row>
    <row r="40" spans="1:15" x14ac:dyDescent="0.25">
      <c r="A40" s="254">
        <v>35</v>
      </c>
      <c r="B40" s="251" t="s">
        <v>63</v>
      </c>
      <c r="C40" s="251" t="s">
        <v>28</v>
      </c>
      <c r="D40" s="251" t="s">
        <v>28</v>
      </c>
      <c r="E40" s="263">
        <v>2531</v>
      </c>
      <c r="F40" s="260">
        <v>2326</v>
      </c>
      <c r="G40" s="260">
        <v>2530</v>
      </c>
      <c r="H40" s="260">
        <v>869</v>
      </c>
      <c r="I40" s="137">
        <f t="shared" si="1"/>
        <v>2.68</v>
      </c>
      <c r="J40" s="260">
        <v>28</v>
      </c>
      <c r="K40" s="260">
        <v>6</v>
      </c>
      <c r="L40" s="260">
        <v>900</v>
      </c>
      <c r="M40" s="260">
        <v>6</v>
      </c>
      <c r="N40" s="260">
        <v>2430</v>
      </c>
      <c r="O40" s="262">
        <v>0</v>
      </c>
    </row>
    <row r="41" spans="1:15" x14ac:dyDescent="0.25">
      <c r="A41" s="254">
        <v>36</v>
      </c>
      <c r="B41" s="251" t="s">
        <v>64</v>
      </c>
      <c r="C41" s="251" t="s">
        <v>28</v>
      </c>
      <c r="D41" s="251" t="s">
        <v>28</v>
      </c>
      <c r="E41" s="263">
        <v>1100</v>
      </c>
      <c r="F41" s="260">
        <v>1172</v>
      </c>
      <c r="G41" s="260"/>
      <c r="H41" s="260">
        <v>501</v>
      </c>
      <c r="I41" s="137">
        <f t="shared" si="1"/>
        <v>2.34</v>
      </c>
      <c r="J41" s="260"/>
      <c r="K41" s="260"/>
      <c r="L41" s="260"/>
      <c r="M41" s="260"/>
      <c r="N41" s="260"/>
      <c r="O41" s="262"/>
    </row>
    <row r="42" spans="1:15" x14ac:dyDescent="0.25">
      <c r="A42" s="254">
        <v>37</v>
      </c>
      <c r="B42" s="251" t="s">
        <v>65</v>
      </c>
      <c r="C42" s="251" t="s">
        <v>28</v>
      </c>
      <c r="D42" s="251" t="s">
        <v>28</v>
      </c>
      <c r="E42" s="263">
        <v>2241</v>
      </c>
      <c r="F42" s="260">
        <v>2420</v>
      </c>
      <c r="G42" s="260"/>
      <c r="H42" s="260">
        <v>929</v>
      </c>
      <c r="I42" s="137">
        <f t="shared" si="1"/>
        <v>2.6</v>
      </c>
      <c r="J42" s="260"/>
      <c r="K42" s="260"/>
      <c r="L42" s="260"/>
      <c r="M42" s="260"/>
      <c r="N42" s="260"/>
      <c r="O42" s="262"/>
    </row>
    <row r="43" spans="1:15" x14ac:dyDescent="0.25">
      <c r="A43" s="254">
        <v>38</v>
      </c>
      <c r="B43" s="251" t="s">
        <v>66</v>
      </c>
      <c r="C43" s="251" t="s">
        <v>28</v>
      </c>
      <c r="D43" s="251" t="s">
        <v>28</v>
      </c>
      <c r="E43" s="263">
        <v>5752</v>
      </c>
      <c r="F43" s="260">
        <v>5384</v>
      </c>
      <c r="G43" s="260">
        <v>5400</v>
      </c>
      <c r="H43" s="260">
        <v>1784</v>
      </c>
      <c r="I43" s="137">
        <f t="shared" si="1"/>
        <v>3.02</v>
      </c>
      <c r="J43" s="260">
        <v>25</v>
      </c>
      <c r="K43" s="260">
        <v>14</v>
      </c>
      <c r="L43" s="260">
        <v>2268</v>
      </c>
      <c r="M43" s="260"/>
      <c r="N43" s="260">
        <v>5400</v>
      </c>
      <c r="O43" s="262">
        <v>9</v>
      </c>
    </row>
    <row r="44" spans="1:15" x14ac:dyDescent="0.25">
      <c r="A44" s="254">
        <v>39</v>
      </c>
      <c r="B44" s="251" t="s">
        <v>67</v>
      </c>
      <c r="C44" s="251" t="s">
        <v>28</v>
      </c>
      <c r="D44" s="251" t="s">
        <v>28</v>
      </c>
      <c r="E44" s="263">
        <v>4151</v>
      </c>
      <c r="F44" s="260">
        <v>3784</v>
      </c>
      <c r="G44" s="260">
        <v>3800</v>
      </c>
      <c r="H44" s="260">
        <v>1546</v>
      </c>
      <c r="I44" s="137">
        <f t="shared" si="1"/>
        <v>2.4500000000000002</v>
      </c>
      <c r="J44" s="260">
        <v>25</v>
      </c>
      <c r="K44" s="260">
        <v>23</v>
      </c>
      <c r="L44" s="260">
        <v>1790</v>
      </c>
      <c r="M44" s="260"/>
      <c r="N44" s="260">
        <v>3800</v>
      </c>
      <c r="O44" s="262">
        <v>10</v>
      </c>
    </row>
    <row r="45" spans="1:15" x14ac:dyDescent="0.25">
      <c r="A45" s="254">
        <v>40</v>
      </c>
      <c r="B45" s="251" t="s">
        <v>68</v>
      </c>
      <c r="C45" s="251" t="s">
        <v>28</v>
      </c>
      <c r="D45" s="251" t="s">
        <v>28</v>
      </c>
      <c r="E45" s="263">
        <v>5442</v>
      </c>
      <c r="F45" s="260">
        <v>5358</v>
      </c>
      <c r="G45" s="260"/>
      <c r="H45" s="260">
        <v>1751</v>
      </c>
      <c r="I45" s="137">
        <f t="shared" si="1"/>
        <v>3.06</v>
      </c>
      <c r="J45" s="260"/>
      <c r="K45" s="260"/>
      <c r="L45" s="260"/>
      <c r="M45" s="260"/>
      <c r="N45" s="260"/>
      <c r="O45" s="262"/>
    </row>
    <row r="46" spans="1:15" x14ac:dyDescent="0.25">
      <c r="A46" s="254">
        <v>41</v>
      </c>
      <c r="B46" s="251" t="s">
        <v>69</v>
      </c>
      <c r="C46" s="251" t="s">
        <v>28</v>
      </c>
      <c r="D46" s="251" t="s">
        <v>28</v>
      </c>
      <c r="E46" s="263">
        <v>1957</v>
      </c>
      <c r="F46" s="260">
        <v>2148</v>
      </c>
      <c r="G46" s="260"/>
      <c r="H46" s="260">
        <v>818</v>
      </c>
      <c r="I46" s="137">
        <f t="shared" si="1"/>
        <v>2.63</v>
      </c>
      <c r="J46" s="260"/>
      <c r="K46" s="260"/>
      <c r="L46" s="260"/>
      <c r="M46" s="260"/>
      <c r="N46" s="260"/>
      <c r="O46" s="262"/>
    </row>
    <row r="47" spans="1:15" x14ac:dyDescent="0.25">
      <c r="A47" s="254">
        <v>42</v>
      </c>
      <c r="B47" s="251" t="s">
        <v>70</v>
      </c>
      <c r="C47" s="251" t="s">
        <v>28</v>
      </c>
      <c r="D47" s="251" t="s">
        <v>28</v>
      </c>
      <c r="E47" s="263">
        <v>2118</v>
      </c>
      <c r="F47" s="260">
        <v>2108</v>
      </c>
      <c r="G47" s="260"/>
      <c r="H47" s="260">
        <v>803</v>
      </c>
      <c r="I47" s="137">
        <f t="shared" si="1"/>
        <v>2.63</v>
      </c>
      <c r="J47" s="260"/>
      <c r="K47" s="260"/>
      <c r="L47" s="260"/>
      <c r="M47" s="260"/>
      <c r="N47" s="260"/>
      <c r="O47" s="262"/>
    </row>
    <row r="48" spans="1:15" x14ac:dyDescent="0.25">
      <c r="A48" s="254">
        <v>43</v>
      </c>
      <c r="B48" s="251" t="s">
        <v>71</v>
      </c>
      <c r="C48" s="251" t="s">
        <v>28</v>
      </c>
      <c r="D48" s="251" t="s">
        <v>28</v>
      </c>
      <c r="E48" s="263">
        <v>896</v>
      </c>
      <c r="F48" s="260">
        <v>943</v>
      </c>
      <c r="G48" s="260"/>
      <c r="H48" s="260">
        <v>384</v>
      </c>
      <c r="I48" s="137">
        <f t="shared" si="1"/>
        <v>2.46</v>
      </c>
      <c r="J48" s="260"/>
      <c r="K48" s="260"/>
      <c r="L48" s="260"/>
      <c r="M48" s="260"/>
      <c r="N48" s="260"/>
      <c r="O48" s="262"/>
    </row>
    <row r="49" spans="1:15" x14ac:dyDescent="0.25">
      <c r="A49" s="254">
        <v>44</v>
      </c>
      <c r="B49" s="251" t="s">
        <v>72</v>
      </c>
      <c r="C49" s="251" t="s">
        <v>28</v>
      </c>
      <c r="D49" s="251" t="s">
        <v>28</v>
      </c>
      <c r="E49" s="263">
        <v>3660</v>
      </c>
      <c r="F49" s="260">
        <v>3513</v>
      </c>
      <c r="G49" s="260"/>
      <c r="H49" s="260">
        <v>1220</v>
      </c>
      <c r="I49" s="137">
        <f t="shared" si="1"/>
        <v>2.88</v>
      </c>
      <c r="J49" s="260"/>
      <c r="K49" s="260"/>
      <c r="L49" s="260"/>
      <c r="M49" s="260"/>
      <c r="N49" s="260"/>
      <c r="O49" s="262"/>
    </row>
    <row r="50" spans="1:15" x14ac:dyDescent="0.25">
      <c r="A50" s="254">
        <v>45</v>
      </c>
      <c r="B50" s="251" t="s">
        <v>73</v>
      </c>
      <c r="C50" s="251" t="s">
        <v>28</v>
      </c>
      <c r="D50" s="251" t="s">
        <v>28</v>
      </c>
      <c r="E50" s="263">
        <v>3044</v>
      </c>
      <c r="F50" s="260">
        <v>3111</v>
      </c>
      <c r="G50" s="260"/>
      <c r="H50" s="260">
        <v>972</v>
      </c>
      <c r="I50" s="137">
        <f t="shared" si="1"/>
        <v>3.2</v>
      </c>
      <c r="J50" s="260"/>
      <c r="K50" s="260"/>
      <c r="L50" s="260"/>
      <c r="M50" s="260"/>
      <c r="N50" s="260"/>
      <c r="O50" s="262"/>
    </row>
    <row r="51" spans="1:15" x14ac:dyDescent="0.25">
      <c r="A51" s="254">
        <v>46</v>
      </c>
      <c r="B51" s="251" t="s">
        <v>74</v>
      </c>
      <c r="C51" s="251" t="s">
        <v>28</v>
      </c>
      <c r="D51" s="251" t="s">
        <v>28</v>
      </c>
      <c r="E51" s="263">
        <v>1795</v>
      </c>
      <c r="F51" s="260">
        <v>1808</v>
      </c>
      <c r="G51" s="260"/>
      <c r="H51" s="260">
        <v>717</v>
      </c>
      <c r="I51" s="137">
        <f t="shared" si="1"/>
        <v>2.52</v>
      </c>
      <c r="J51" s="260"/>
      <c r="K51" s="260"/>
      <c r="L51" s="260"/>
      <c r="M51" s="260"/>
      <c r="N51" s="260"/>
      <c r="O51" s="262"/>
    </row>
    <row r="52" spans="1:15" x14ac:dyDescent="0.25">
      <c r="A52" s="254">
        <v>47</v>
      </c>
      <c r="B52" s="251" t="s">
        <v>75</v>
      </c>
      <c r="C52" s="251" t="s">
        <v>28</v>
      </c>
      <c r="D52" s="251" t="s">
        <v>28</v>
      </c>
      <c r="E52" s="263">
        <v>3268</v>
      </c>
      <c r="F52" s="260">
        <v>3201</v>
      </c>
      <c r="G52" s="260">
        <v>2548</v>
      </c>
      <c r="H52" s="260">
        <v>1122</v>
      </c>
      <c r="I52" s="137">
        <f t="shared" si="1"/>
        <v>2.85</v>
      </c>
      <c r="J52" s="260">
        <v>197</v>
      </c>
      <c r="K52" s="260">
        <v>12</v>
      </c>
      <c r="L52" s="260">
        <v>1523</v>
      </c>
      <c r="M52" s="260">
        <v>2</v>
      </c>
      <c r="N52" s="260">
        <v>2532</v>
      </c>
      <c r="O52" s="262">
        <v>249</v>
      </c>
    </row>
    <row r="53" spans="1:15" x14ac:dyDescent="0.25">
      <c r="A53" s="254">
        <v>48</v>
      </c>
      <c r="B53" s="251" t="s">
        <v>76</v>
      </c>
      <c r="C53" s="251" t="s">
        <v>28</v>
      </c>
      <c r="D53" s="251" t="s">
        <v>28</v>
      </c>
      <c r="E53" s="263">
        <v>1912</v>
      </c>
      <c r="F53" s="260">
        <v>2026</v>
      </c>
      <c r="G53" s="260"/>
      <c r="H53" s="260">
        <v>731</v>
      </c>
      <c r="I53" s="137">
        <f t="shared" si="1"/>
        <v>2.77</v>
      </c>
      <c r="J53" s="260"/>
      <c r="K53" s="260"/>
      <c r="L53" s="260"/>
      <c r="M53" s="260"/>
      <c r="N53" s="260"/>
      <c r="O53" s="262"/>
    </row>
    <row r="54" spans="1:15" x14ac:dyDescent="0.25">
      <c r="A54" s="254">
        <v>49</v>
      </c>
      <c r="B54" s="251" t="s">
        <v>77</v>
      </c>
      <c r="C54" s="251" t="s">
        <v>28</v>
      </c>
      <c r="D54" s="251" t="s">
        <v>28</v>
      </c>
      <c r="E54" s="263">
        <v>2575</v>
      </c>
      <c r="F54" s="260">
        <v>2613</v>
      </c>
      <c r="G54" s="260"/>
      <c r="H54" s="260">
        <v>929</v>
      </c>
      <c r="I54" s="137">
        <f t="shared" si="1"/>
        <v>2.81</v>
      </c>
      <c r="J54" s="260"/>
      <c r="K54" s="260"/>
      <c r="L54" s="260"/>
      <c r="M54" s="260"/>
      <c r="N54" s="260"/>
      <c r="O54" s="262"/>
    </row>
    <row r="55" spans="1:15" x14ac:dyDescent="0.25">
      <c r="A55" s="254">
        <v>50</v>
      </c>
      <c r="B55" s="251" t="s">
        <v>78</v>
      </c>
      <c r="C55" s="251" t="s">
        <v>28</v>
      </c>
      <c r="D55" s="251" t="s">
        <v>28</v>
      </c>
      <c r="E55" s="263">
        <v>3077</v>
      </c>
      <c r="F55" s="260">
        <v>3037</v>
      </c>
      <c r="G55" s="260"/>
      <c r="H55" s="260">
        <v>1169</v>
      </c>
      <c r="I55" s="137">
        <f t="shared" si="1"/>
        <v>2.6</v>
      </c>
      <c r="J55" s="260"/>
      <c r="K55" s="260"/>
      <c r="L55" s="260"/>
      <c r="M55" s="260"/>
      <c r="N55" s="260"/>
      <c r="O55" s="262"/>
    </row>
    <row r="56" spans="1:15" x14ac:dyDescent="0.25">
      <c r="A56" s="254">
        <v>51</v>
      </c>
      <c r="B56" s="251" t="s">
        <v>79</v>
      </c>
      <c r="C56" s="251" t="s">
        <v>28</v>
      </c>
      <c r="D56" s="251" t="s">
        <v>28</v>
      </c>
      <c r="E56" s="263">
        <v>2378</v>
      </c>
      <c r="F56" s="260">
        <v>2480</v>
      </c>
      <c r="G56" s="260"/>
      <c r="H56" s="260">
        <v>1076</v>
      </c>
      <c r="I56" s="137">
        <f t="shared" si="1"/>
        <v>2.2999999999999998</v>
      </c>
      <c r="J56" s="260"/>
      <c r="K56" s="260"/>
      <c r="L56" s="260"/>
      <c r="M56" s="260"/>
      <c r="N56" s="260"/>
      <c r="O56" s="262"/>
    </row>
    <row r="57" spans="1:15" x14ac:dyDescent="0.25">
      <c r="A57" s="254">
        <v>52</v>
      </c>
      <c r="B57" s="251" t="s">
        <v>80</v>
      </c>
      <c r="C57" s="251" t="s">
        <v>28</v>
      </c>
      <c r="D57" s="251" t="s">
        <v>28</v>
      </c>
      <c r="E57" s="263">
        <v>2013</v>
      </c>
      <c r="F57" s="260">
        <v>2165</v>
      </c>
      <c r="G57" s="260"/>
      <c r="H57" s="260">
        <v>881</v>
      </c>
      <c r="I57" s="137">
        <f t="shared" si="1"/>
        <v>2.46</v>
      </c>
      <c r="J57" s="260"/>
      <c r="K57" s="260"/>
      <c r="L57" s="260"/>
      <c r="M57" s="260"/>
      <c r="N57" s="260"/>
      <c r="O57" s="262"/>
    </row>
    <row r="58" spans="1:15" x14ac:dyDescent="0.25">
      <c r="A58" s="254">
        <v>53</v>
      </c>
      <c r="B58" s="251" t="s">
        <v>81</v>
      </c>
      <c r="C58" s="251" t="s">
        <v>28</v>
      </c>
      <c r="D58" s="251" t="s">
        <v>28</v>
      </c>
      <c r="E58" s="263">
        <v>2356</v>
      </c>
      <c r="F58" s="260">
        <v>2292</v>
      </c>
      <c r="G58" s="260"/>
      <c r="H58" s="260">
        <v>868</v>
      </c>
      <c r="I58" s="137">
        <f t="shared" si="1"/>
        <v>2.64</v>
      </c>
      <c r="J58" s="260"/>
      <c r="K58" s="260"/>
      <c r="L58" s="260"/>
      <c r="M58" s="260"/>
      <c r="N58" s="260"/>
      <c r="O58" s="262"/>
    </row>
    <row r="59" spans="1:15" x14ac:dyDescent="0.25">
      <c r="A59" s="254">
        <v>54</v>
      </c>
      <c r="B59" s="251" t="s">
        <v>82</v>
      </c>
      <c r="C59" s="251" t="s">
        <v>28</v>
      </c>
      <c r="D59" s="251" t="s">
        <v>28</v>
      </c>
      <c r="E59" s="263">
        <v>5808</v>
      </c>
      <c r="F59" s="260">
        <v>5994</v>
      </c>
      <c r="G59" s="260"/>
      <c r="H59" s="260">
        <v>2059</v>
      </c>
      <c r="I59" s="137">
        <f t="shared" si="1"/>
        <v>2.91</v>
      </c>
      <c r="J59" s="260"/>
      <c r="K59" s="260"/>
      <c r="L59" s="260"/>
      <c r="M59" s="260"/>
      <c r="N59" s="260"/>
      <c r="O59" s="262"/>
    </row>
    <row r="60" spans="1:15" x14ac:dyDescent="0.25">
      <c r="A60" s="254">
        <v>55</v>
      </c>
      <c r="B60" s="251" t="s">
        <v>83</v>
      </c>
      <c r="C60" s="251" t="s">
        <v>28</v>
      </c>
      <c r="D60" s="251" t="s">
        <v>28</v>
      </c>
      <c r="E60" s="263">
        <v>4698</v>
      </c>
      <c r="F60" s="260">
        <v>4632</v>
      </c>
      <c r="G60" s="260"/>
      <c r="H60" s="260">
        <v>1561</v>
      </c>
      <c r="I60" s="137">
        <f t="shared" si="1"/>
        <v>2.97</v>
      </c>
      <c r="J60" s="260"/>
      <c r="K60" s="260"/>
      <c r="L60" s="260"/>
      <c r="M60" s="260"/>
      <c r="N60" s="260"/>
      <c r="O60" s="262"/>
    </row>
    <row r="61" spans="1:15" x14ac:dyDescent="0.25">
      <c r="A61" s="254">
        <v>56</v>
      </c>
      <c r="B61" s="251" t="s">
        <v>84</v>
      </c>
      <c r="C61" s="251" t="s">
        <v>28</v>
      </c>
      <c r="D61" s="251" t="s">
        <v>28</v>
      </c>
      <c r="E61" s="263">
        <v>2884</v>
      </c>
      <c r="F61" s="260">
        <v>2954</v>
      </c>
      <c r="G61" s="260"/>
      <c r="H61" s="260">
        <v>1276</v>
      </c>
      <c r="I61" s="137">
        <f t="shared" si="1"/>
        <v>2.3199999999999998</v>
      </c>
      <c r="J61" s="260"/>
      <c r="K61" s="260"/>
      <c r="L61" s="260"/>
      <c r="M61" s="260"/>
      <c r="N61" s="260"/>
      <c r="O61" s="262"/>
    </row>
    <row r="62" spans="1:15" x14ac:dyDescent="0.25">
      <c r="A62" s="254">
        <v>57</v>
      </c>
      <c r="B62" s="251" t="s">
        <v>85</v>
      </c>
      <c r="C62" s="251" t="s">
        <v>28</v>
      </c>
      <c r="D62" s="251" t="s">
        <v>28</v>
      </c>
      <c r="E62" s="263">
        <v>4506</v>
      </c>
      <c r="F62" s="260">
        <v>4825</v>
      </c>
      <c r="G62" s="260"/>
      <c r="H62" s="260">
        <v>1689</v>
      </c>
      <c r="I62" s="137">
        <f t="shared" si="1"/>
        <v>2.86</v>
      </c>
      <c r="J62" s="260"/>
      <c r="K62" s="260"/>
      <c r="L62" s="260"/>
      <c r="M62" s="260"/>
      <c r="N62" s="260"/>
      <c r="O62" s="262"/>
    </row>
    <row r="63" spans="1:15" x14ac:dyDescent="0.25">
      <c r="A63" s="254">
        <v>58</v>
      </c>
      <c r="B63" s="251" t="s">
        <v>86</v>
      </c>
      <c r="C63" s="251" t="s">
        <v>28</v>
      </c>
      <c r="D63" s="251" t="s">
        <v>28</v>
      </c>
      <c r="E63" s="263">
        <v>5326</v>
      </c>
      <c r="F63" s="260">
        <v>5193</v>
      </c>
      <c r="G63" s="260"/>
      <c r="H63" s="260">
        <v>1741</v>
      </c>
      <c r="I63" s="137">
        <f t="shared" si="1"/>
        <v>2.98</v>
      </c>
      <c r="J63" s="260"/>
      <c r="K63" s="260"/>
      <c r="L63" s="260"/>
      <c r="M63" s="260"/>
      <c r="N63" s="260"/>
      <c r="O63" s="262"/>
    </row>
    <row r="64" spans="1:15" x14ac:dyDescent="0.25">
      <c r="A64" s="254">
        <v>59</v>
      </c>
      <c r="B64" s="251" t="s">
        <v>87</v>
      </c>
      <c r="C64" s="251" t="s">
        <v>28</v>
      </c>
      <c r="D64" s="251" t="s">
        <v>28</v>
      </c>
      <c r="E64" s="263">
        <v>5007</v>
      </c>
      <c r="F64" s="260">
        <v>4569</v>
      </c>
      <c r="G64" s="260"/>
      <c r="H64" s="260">
        <v>1356</v>
      </c>
      <c r="I64" s="137">
        <f t="shared" si="1"/>
        <v>3.37</v>
      </c>
      <c r="J64" s="260"/>
      <c r="K64" s="260"/>
      <c r="L64" s="260"/>
      <c r="M64" s="260"/>
      <c r="N64" s="260"/>
      <c r="O64" s="262"/>
    </row>
    <row r="65" spans="1:15" x14ac:dyDescent="0.25">
      <c r="A65" s="254">
        <v>60</v>
      </c>
      <c r="B65" s="251" t="s">
        <v>88</v>
      </c>
      <c r="C65" s="251" t="s">
        <v>28</v>
      </c>
      <c r="D65" s="251" t="s">
        <v>28</v>
      </c>
      <c r="E65" s="263">
        <v>4588</v>
      </c>
      <c r="F65" s="260">
        <v>4388</v>
      </c>
      <c r="G65" s="260"/>
      <c r="H65" s="260">
        <v>1488</v>
      </c>
      <c r="I65" s="137">
        <f t="shared" si="1"/>
        <v>2.95</v>
      </c>
      <c r="J65" s="260"/>
      <c r="K65" s="260"/>
      <c r="L65" s="260"/>
      <c r="M65" s="260"/>
      <c r="N65" s="260"/>
      <c r="O65" s="262"/>
    </row>
    <row r="66" spans="1:15" x14ac:dyDescent="0.25">
      <c r="A66" s="254">
        <v>61</v>
      </c>
      <c r="B66" s="251" t="s">
        <v>89</v>
      </c>
      <c r="C66" s="251" t="s">
        <v>28</v>
      </c>
      <c r="D66" s="251" t="s">
        <v>28</v>
      </c>
      <c r="E66" s="263">
        <v>6054</v>
      </c>
      <c r="F66" s="260">
        <v>5909</v>
      </c>
      <c r="G66" s="260"/>
      <c r="H66" s="260">
        <v>1972</v>
      </c>
      <c r="I66" s="264">
        <f>ROUND(F66/H66,2)</f>
        <v>3</v>
      </c>
      <c r="J66" s="260"/>
      <c r="K66" s="260"/>
      <c r="L66" s="260"/>
      <c r="M66" s="260"/>
      <c r="N66" s="260"/>
      <c r="O66" s="262"/>
    </row>
    <row r="67" spans="1:15" x14ac:dyDescent="0.25">
      <c r="A67" s="254">
        <v>62</v>
      </c>
      <c r="B67" s="251" t="s">
        <v>90</v>
      </c>
      <c r="C67" s="251" t="s">
        <v>28</v>
      </c>
      <c r="D67" s="251" t="s">
        <v>28</v>
      </c>
      <c r="E67" s="263">
        <v>1628</v>
      </c>
      <c r="F67" s="260">
        <v>1624</v>
      </c>
      <c r="G67" s="260"/>
      <c r="H67" s="260">
        <v>605</v>
      </c>
      <c r="I67" s="137">
        <f t="shared" si="1"/>
        <v>2.68</v>
      </c>
      <c r="J67" s="260"/>
      <c r="K67" s="260"/>
      <c r="L67" s="260"/>
      <c r="M67" s="260"/>
      <c r="N67" s="260"/>
      <c r="O67" s="262"/>
    </row>
    <row r="68" spans="1:15" x14ac:dyDescent="0.25">
      <c r="A68" s="254">
        <v>63</v>
      </c>
      <c r="B68" s="251" t="s">
        <v>91</v>
      </c>
      <c r="C68" s="251" t="s">
        <v>28</v>
      </c>
      <c r="D68" s="251" t="s">
        <v>28</v>
      </c>
      <c r="E68" s="263">
        <v>2469</v>
      </c>
      <c r="F68" s="260">
        <v>2544</v>
      </c>
      <c r="G68" s="260"/>
      <c r="H68" s="260">
        <v>962</v>
      </c>
      <c r="I68" s="137">
        <f t="shared" si="1"/>
        <v>2.64</v>
      </c>
      <c r="J68" s="260"/>
      <c r="K68" s="260"/>
      <c r="L68" s="260"/>
      <c r="M68" s="260"/>
      <c r="N68" s="260"/>
      <c r="O68" s="262"/>
    </row>
    <row r="69" spans="1:15" x14ac:dyDescent="0.25">
      <c r="A69" s="254">
        <v>64</v>
      </c>
      <c r="B69" s="251" t="s">
        <v>92</v>
      </c>
      <c r="C69" s="251" t="s">
        <v>28</v>
      </c>
      <c r="D69" s="251" t="s">
        <v>28</v>
      </c>
      <c r="E69" s="263">
        <v>1849</v>
      </c>
      <c r="F69" s="260">
        <v>2105</v>
      </c>
      <c r="G69" s="260"/>
      <c r="H69" s="260">
        <v>819</v>
      </c>
      <c r="I69" s="137">
        <f t="shared" si="1"/>
        <v>2.57</v>
      </c>
      <c r="J69" s="260"/>
      <c r="K69" s="260"/>
      <c r="L69" s="260"/>
      <c r="M69" s="260"/>
      <c r="N69" s="260"/>
      <c r="O69" s="262"/>
    </row>
    <row r="70" spans="1:15" x14ac:dyDescent="0.25">
      <c r="A70" s="254">
        <v>65</v>
      </c>
      <c r="B70" s="251" t="s">
        <v>93</v>
      </c>
      <c r="C70" s="251" t="s">
        <v>28</v>
      </c>
      <c r="D70" s="251" t="s">
        <v>28</v>
      </c>
      <c r="E70" s="263">
        <v>5157</v>
      </c>
      <c r="F70" s="260">
        <v>5693</v>
      </c>
      <c r="G70" s="260"/>
      <c r="H70" s="260">
        <v>1998</v>
      </c>
      <c r="I70" s="137">
        <f t="shared" ref="I70:I101" si="2">ROUND(F70/H70,2)</f>
        <v>2.85</v>
      </c>
      <c r="J70" s="260"/>
      <c r="K70" s="260"/>
      <c r="L70" s="260"/>
      <c r="M70" s="260"/>
      <c r="N70" s="260"/>
      <c r="O70" s="262"/>
    </row>
    <row r="71" spans="1:15" x14ac:dyDescent="0.25">
      <c r="A71" s="254">
        <v>66</v>
      </c>
      <c r="B71" s="251" t="s">
        <v>94</v>
      </c>
      <c r="C71" s="251" t="s">
        <v>28</v>
      </c>
      <c r="D71" s="251" t="s">
        <v>28</v>
      </c>
      <c r="E71" s="263">
        <v>2333</v>
      </c>
      <c r="F71" s="260">
        <v>2242</v>
      </c>
      <c r="G71" s="260"/>
      <c r="H71" s="260">
        <v>947</v>
      </c>
      <c r="I71" s="137">
        <f t="shared" si="2"/>
        <v>2.37</v>
      </c>
      <c r="J71" s="260"/>
      <c r="K71" s="260"/>
      <c r="L71" s="260"/>
      <c r="M71" s="260"/>
      <c r="N71" s="260"/>
      <c r="O71" s="262"/>
    </row>
    <row r="72" spans="1:15" x14ac:dyDescent="0.25">
      <c r="A72" s="254">
        <v>67</v>
      </c>
      <c r="B72" s="251" t="s">
        <v>95</v>
      </c>
      <c r="C72" s="251" t="s">
        <v>28</v>
      </c>
      <c r="D72" s="251" t="s">
        <v>28</v>
      </c>
      <c r="E72" s="263">
        <v>3972</v>
      </c>
      <c r="F72" s="260">
        <v>3870</v>
      </c>
      <c r="G72" s="260">
        <v>3797</v>
      </c>
      <c r="H72" s="260">
        <v>1479</v>
      </c>
      <c r="I72" s="137">
        <f t="shared" si="2"/>
        <v>2.62</v>
      </c>
      <c r="J72" s="260">
        <v>53</v>
      </c>
      <c r="K72" s="260">
        <v>14</v>
      </c>
      <c r="L72" s="260">
        <v>1479</v>
      </c>
      <c r="M72" s="260"/>
      <c r="N72" s="260">
        <v>3797</v>
      </c>
      <c r="O72" s="262">
        <v>569</v>
      </c>
    </row>
    <row r="73" spans="1:15" x14ac:dyDescent="0.25">
      <c r="A73" s="254">
        <v>68</v>
      </c>
      <c r="B73" s="251" t="s">
        <v>96</v>
      </c>
      <c r="C73" s="251" t="s">
        <v>28</v>
      </c>
      <c r="D73" s="251" t="s">
        <v>28</v>
      </c>
      <c r="E73" s="263">
        <v>2406</v>
      </c>
      <c r="F73" s="260">
        <v>2387</v>
      </c>
      <c r="G73" s="260"/>
      <c r="H73" s="260">
        <v>1025</v>
      </c>
      <c r="I73" s="137">
        <f t="shared" si="2"/>
        <v>2.33</v>
      </c>
      <c r="J73" s="260"/>
      <c r="K73" s="260"/>
      <c r="L73" s="260"/>
      <c r="M73" s="260"/>
      <c r="N73" s="260"/>
      <c r="O73" s="262"/>
    </row>
    <row r="74" spans="1:15" x14ac:dyDescent="0.25">
      <c r="A74" s="254">
        <v>69</v>
      </c>
      <c r="B74" s="251" t="s">
        <v>97</v>
      </c>
      <c r="C74" s="251" t="s">
        <v>28</v>
      </c>
      <c r="D74" s="251" t="s">
        <v>28</v>
      </c>
      <c r="E74" s="263">
        <v>1453</v>
      </c>
      <c r="F74" s="260">
        <v>1442</v>
      </c>
      <c r="G74" s="260">
        <v>1426</v>
      </c>
      <c r="H74" s="260">
        <v>608</v>
      </c>
      <c r="I74" s="137">
        <f t="shared" si="2"/>
        <v>2.37</v>
      </c>
      <c r="J74" s="260">
        <v>8</v>
      </c>
      <c r="K74" s="260">
        <v>6</v>
      </c>
      <c r="L74" s="260">
        <v>624</v>
      </c>
      <c r="M74" s="260"/>
      <c r="N74" s="260">
        <v>1426</v>
      </c>
      <c r="O74" s="262">
        <v>16</v>
      </c>
    </row>
    <row r="75" spans="1:15" x14ac:dyDescent="0.25">
      <c r="A75" s="254">
        <v>70</v>
      </c>
      <c r="B75" s="251" t="s">
        <v>98</v>
      </c>
      <c r="C75" s="251" t="s">
        <v>28</v>
      </c>
      <c r="D75" s="251" t="s">
        <v>28</v>
      </c>
      <c r="E75" s="263">
        <v>2894</v>
      </c>
      <c r="F75" s="260">
        <v>2948</v>
      </c>
      <c r="G75" s="260"/>
      <c r="H75" s="260">
        <v>1024</v>
      </c>
      <c r="I75" s="137">
        <f t="shared" si="2"/>
        <v>2.88</v>
      </c>
      <c r="J75" s="260"/>
      <c r="K75" s="260"/>
      <c r="L75" s="260"/>
      <c r="M75" s="260"/>
      <c r="N75" s="260"/>
      <c r="O75" s="262"/>
    </row>
    <row r="76" spans="1:15" x14ac:dyDescent="0.25">
      <c r="A76" s="254">
        <v>71</v>
      </c>
      <c r="B76" s="251" t="s">
        <v>99</v>
      </c>
      <c r="C76" s="251" t="s">
        <v>28</v>
      </c>
      <c r="D76" s="251" t="s">
        <v>28</v>
      </c>
      <c r="E76" s="263">
        <v>5824</v>
      </c>
      <c r="F76" s="260">
        <v>5702</v>
      </c>
      <c r="G76" s="260"/>
      <c r="H76" s="260">
        <v>2026</v>
      </c>
      <c r="I76" s="137">
        <f t="shared" si="2"/>
        <v>2.81</v>
      </c>
      <c r="J76" s="260"/>
      <c r="K76" s="260"/>
      <c r="L76" s="260"/>
      <c r="M76" s="260"/>
      <c r="N76" s="260"/>
      <c r="O76" s="262"/>
    </row>
    <row r="77" spans="1:15" x14ac:dyDescent="0.25">
      <c r="A77" s="254">
        <v>72</v>
      </c>
      <c r="B77" s="251" t="s">
        <v>100</v>
      </c>
      <c r="C77" s="251" t="s">
        <v>28</v>
      </c>
      <c r="D77" s="251" t="s">
        <v>28</v>
      </c>
      <c r="E77" s="263">
        <v>6912</v>
      </c>
      <c r="F77" s="260">
        <v>6642</v>
      </c>
      <c r="G77" s="260"/>
      <c r="H77" s="260">
        <v>2153</v>
      </c>
      <c r="I77" s="137">
        <f t="shared" si="2"/>
        <v>3.08</v>
      </c>
      <c r="J77" s="260"/>
      <c r="K77" s="260"/>
      <c r="L77" s="260"/>
      <c r="M77" s="260"/>
      <c r="N77" s="260"/>
      <c r="O77" s="262"/>
    </row>
    <row r="78" spans="1:15" x14ac:dyDescent="0.25">
      <c r="A78" s="254">
        <v>73</v>
      </c>
      <c r="B78" s="251" t="s">
        <v>101</v>
      </c>
      <c r="C78" s="251" t="s">
        <v>28</v>
      </c>
      <c r="D78" s="251" t="s">
        <v>28</v>
      </c>
      <c r="E78" s="263">
        <v>1141</v>
      </c>
      <c r="F78" s="260">
        <v>1117</v>
      </c>
      <c r="G78" s="260">
        <v>1070</v>
      </c>
      <c r="H78" s="260">
        <v>436</v>
      </c>
      <c r="I78" s="137">
        <f t="shared" si="2"/>
        <v>2.56</v>
      </c>
      <c r="J78" s="260">
        <v>9</v>
      </c>
      <c r="K78" s="260">
        <v>4</v>
      </c>
      <c r="L78" s="260">
        <v>475</v>
      </c>
      <c r="M78" s="260">
        <v>0</v>
      </c>
      <c r="N78" s="260">
        <v>1070</v>
      </c>
      <c r="O78" s="262">
        <v>0</v>
      </c>
    </row>
    <row r="79" spans="1:15" x14ac:dyDescent="0.25">
      <c r="A79" s="254">
        <v>74</v>
      </c>
      <c r="B79" s="251" t="s">
        <v>102</v>
      </c>
      <c r="C79" s="251" t="s">
        <v>28</v>
      </c>
      <c r="D79" s="251" t="s">
        <v>28</v>
      </c>
      <c r="E79" s="263">
        <v>3435</v>
      </c>
      <c r="F79" s="260">
        <v>3299</v>
      </c>
      <c r="G79" s="260"/>
      <c r="H79" s="260">
        <v>1163</v>
      </c>
      <c r="I79" s="137">
        <f t="shared" si="2"/>
        <v>2.84</v>
      </c>
      <c r="J79" s="260"/>
      <c r="K79" s="260"/>
      <c r="L79" s="260"/>
      <c r="M79" s="260"/>
      <c r="N79" s="260"/>
      <c r="O79" s="262"/>
    </row>
    <row r="80" spans="1:15" x14ac:dyDescent="0.25">
      <c r="A80" s="254">
        <v>75</v>
      </c>
      <c r="B80" s="251" t="s">
        <v>103</v>
      </c>
      <c r="C80" s="251" t="s">
        <v>28</v>
      </c>
      <c r="D80" s="251" t="s">
        <v>28</v>
      </c>
      <c r="E80" s="263">
        <v>2044</v>
      </c>
      <c r="F80" s="260">
        <v>2191</v>
      </c>
      <c r="G80" s="260"/>
      <c r="H80" s="260">
        <v>922</v>
      </c>
      <c r="I80" s="137">
        <f t="shared" si="2"/>
        <v>2.38</v>
      </c>
      <c r="J80" s="260"/>
      <c r="K80" s="260"/>
      <c r="L80" s="260"/>
      <c r="M80" s="260"/>
      <c r="N80" s="260"/>
      <c r="O80" s="262"/>
    </row>
    <row r="81" spans="1:15" x14ac:dyDescent="0.25">
      <c r="A81" s="254">
        <v>76</v>
      </c>
      <c r="B81" s="251" t="s">
        <v>104</v>
      </c>
      <c r="C81" s="251" t="s">
        <v>28</v>
      </c>
      <c r="D81" s="251" t="s">
        <v>28</v>
      </c>
      <c r="E81" s="263">
        <v>3510</v>
      </c>
      <c r="F81" s="260">
        <v>3549</v>
      </c>
      <c r="G81" s="260"/>
      <c r="H81" s="260">
        <v>1151</v>
      </c>
      <c r="I81" s="137">
        <f t="shared" si="2"/>
        <v>3.08</v>
      </c>
      <c r="J81" s="260"/>
      <c r="K81" s="260"/>
      <c r="L81" s="260"/>
      <c r="M81" s="260"/>
      <c r="N81" s="260"/>
      <c r="O81" s="262"/>
    </row>
    <row r="82" spans="1:15" x14ac:dyDescent="0.25">
      <c r="A82" s="254">
        <v>77</v>
      </c>
      <c r="B82" s="251" t="s">
        <v>105</v>
      </c>
      <c r="C82" s="251" t="s">
        <v>28</v>
      </c>
      <c r="D82" s="251" t="s">
        <v>28</v>
      </c>
      <c r="E82" s="263">
        <v>1436</v>
      </c>
      <c r="F82" s="260">
        <v>1271</v>
      </c>
      <c r="G82" s="260"/>
      <c r="H82" s="260">
        <v>539</v>
      </c>
      <c r="I82" s="137">
        <f t="shared" si="2"/>
        <v>2.36</v>
      </c>
      <c r="J82" s="260"/>
      <c r="K82" s="260"/>
      <c r="L82" s="260"/>
      <c r="M82" s="260"/>
      <c r="N82" s="260"/>
      <c r="O82" s="262"/>
    </row>
    <row r="83" spans="1:15" x14ac:dyDescent="0.25">
      <c r="A83" s="254">
        <v>78</v>
      </c>
      <c r="B83" s="251" t="s">
        <v>106</v>
      </c>
      <c r="C83" s="251" t="s">
        <v>28</v>
      </c>
      <c r="D83" s="251" t="s">
        <v>28</v>
      </c>
      <c r="E83" s="263">
        <v>3181</v>
      </c>
      <c r="F83" s="260">
        <v>3166</v>
      </c>
      <c r="G83" s="260"/>
      <c r="H83" s="260">
        <v>1189</v>
      </c>
      <c r="I83" s="137">
        <f t="shared" si="2"/>
        <v>2.66</v>
      </c>
      <c r="J83" s="260"/>
      <c r="K83" s="260"/>
      <c r="L83" s="260"/>
      <c r="M83" s="260"/>
      <c r="N83" s="260"/>
      <c r="O83" s="262"/>
    </row>
    <row r="84" spans="1:15" x14ac:dyDescent="0.25">
      <c r="A84" s="254">
        <v>79</v>
      </c>
      <c r="B84" s="251" t="s">
        <v>107</v>
      </c>
      <c r="C84" s="251" t="s">
        <v>28</v>
      </c>
      <c r="D84" s="251" t="s">
        <v>28</v>
      </c>
      <c r="E84" s="263">
        <v>2932</v>
      </c>
      <c r="F84" s="260">
        <v>2992</v>
      </c>
      <c r="G84" s="260"/>
      <c r="H84" s="260">
        <v>1271</v>
      </c>
      <c r="I84" s="137">
        <f t="shared" si="2"/>
        <v>2.35</v>
      </c>
      <c r="J84" s="260"/>
      <c r="K84" s="260"/>
      <c r="L84" s="260"/>
      <c r="M84" s="260"/>
      <c r="N84" s="260"/>
      <c r="O84" s="262"/>
    </row>
    <row r="85" spans="1:15" x14ac:dyDescent="0.25">
      <c r="A85" s="254">
        <v>80</v>
      </c>
      <c r="B85" s="251" t="s">
        <v>108</v>
      </c>
      <c r="C85" s="251" t="s">
        <v>28</v>
      </c>
      <c r="D85" s="251" t="s">
        <v>28</v>
      </c>
      <c r="E85" s="263">
        <v>2525</v>
      </c>
      <c r="F85" s="260">
        <v>2673</v>
      </c>
      <c r="G85" s="260">
        <v>2690</v>
      </c>
      <c r="H85" s="260">
        <v>1155</v>
      </c>
      <c r="I85" s="137">
        <f t="shared" si="2"/>
        <v>2.31</v>
      </c>
      <c r="J85" s="260">
        <v>25</v>
      </c>
      <c r="K85" s="260">
        <v>22</v>
      </c>
      <c r="L85" s="260">
        <v>1600</v>
      </c>
      <c r="M85" s="260"/>
      <c r="N85" s="260"/>
      <c r="O85" s="262"/>
    </row>
    <row r="86" spans="1:15" x14ac:dyDescent="0.25">
      <c r="A86" s="254">
        <v>81</v>
      </c>
      <c r="B86" s="251" t="s">
        <v>109</v>
      </c>
      <c r="C86" s="251" t="s">
        <v>28</v>
      </c>
      <c r="D86" s="251" t="s">
        <v>28</v>
      </c>
      <c r="E86" s="263">
        <v>5995</v>
      </c>
      <c r="F86" s="260">
        <v>5752</v>
      </c>
      <c r="G86" s="260"/>
      <c r="H86" s="260">
        <v>1997</v>
      </c>
      <c r="I86" s="137">
        <f t="shared" si="2"/>
        <v>2.88</v>
      </c>
      <c r="J86" s="260"/>
      <c r="K86" s="260"/>
      <c r="L86" s="260"/>
      <c r="M86" s="260"/>
      <c r="N86" s="260"/>
      <c r="O86" s="262"/>
    </row>
    <row r="87" spans="1:15" x14ac:dyDescent="0.25">
      <c r="A87" s="254">
        <v>82</v>
      </c>
      <c r="B87" s="251" t="s">
        <v>110</v>
      </c>
      <c r="C87" s="251" t="s">
        <v>28</v>
      </c>
      <c r="D87" s="251" t="s">
        <v>28</v>
      </c>
      <c r="E87" s="263">
        <v>2245</v>
      </c>
      <c r="F87" s="260">
        <v>2220</v>
      </c>
      <c r="G87" s="260"/>
      <c r="H87" s="260">
        <v>806</v>
      </c>
      <c r="I87" s="137">
        <f t="shared" si="2"/>
        <v>2.75</v>
      </c>
      <c r="J87" s="260"/>
      <c r="K87" s="260"/>
      <c r="L87" s="260"/>
      <c r="M87" s="260"/>
      <c r="N87" s="260"/>
      <c r="O87" s="262"/>
    </row>
    <row r="88" spans="1:15" x14ac:dyDescent="0.25">
      <c r="A88" s="254">
        <v>83</v>
      </c>
      <c r="B88" s="251" t="s">
        <v>111</v>
      </c>
      <c r="C88" s="251" t="s">
        <v>28</v>
      </c>
      <c r="D88" s="251" t="s">
        <v>28</v>
      </c>
      <c r="E88" s="263">
        <v>1773</v>
      </c>
      <c r="F88" s="260">
        <v>1782</v>
      </c>
      <c r="G88" s="260"/>
      <c r="H88" s="260">
        <v>750</v>
      </c>
      <c r="I88" s="137">
        <f t="shared" si="2"/>
        <v>2.38</v>
      </c>
      <c r="J88" s="260"/>
      <c r="K88" s="260"/>
      <c r="L88" s="260"/>
      <c r="M88" s="260"/>
      <c r="N88" s="260"/>
      <c r="O88" s="262"/>
    </row>
    <row r="89" spans="1:15" x14ac:dyDescent="0.25">
      <c r="A89" s="254">
        <v>84</v>
      </c>
      <c r="B89" s="251" t="s">
        <v>112</v>
      </c>
      <c r="C89" s="251" t="s">
        <v>28</v>
      </c>
      <c r="D89" s="251" t="s">
        <v>28</v>
      </c>
      <c r="E89" s="263">
        <v>5066</v>
      </c>
      <c r="F89" s="260">
        <v>4679</v>
      </c>
      <c r="G89" s="260"/>
      <c r="H89" s="260">
        <v>1540</v>
      </c>
      <c r="I89" s="137">
        <f t="shared" si="2"/>
        <v>3.04</v>
      </c>
      <c r="J89" s="260"/>
      <c r="K89" s="260"/>
      <c r="L89" s="260"/>
      <c r="M89" s="260"/>
      <c r="N89" s="260"/>
      <c r="O89" s="262"/>
    </row>
    <row r="90" spans="1:15" x14ac:dyDescent="0.25">
      <c r="A90" s="254">
        <v>85</v>
      </c>
      <c r="B90" s="251" t="s">
        <v>113</v>
      </c>
      <c r="C90" s="251" t="s">
        <v>28</v>
      </c>
      <c r="D90" s="251" t="s">
        <v>28</v>
      </c>
      <c r="E90" s="263">
        <v>4738</v>
      </c>
      <c r="F90" s="260">
        <v>4619</v>
      </c>
      <c r="G90" s="260"/>
      <c r="H90" s="260">
        <v>1343</v>
      </c>
      <c r="I90" s="137">
        <f t="shared" si="2"/>
        <v>3.44</v>
      </c>
      <c r="J90" s="260"/>
      <c r="K90" s="260"/>
      <c r="L90" s="260"/>
      <c r="M90" s="260"/>
      <c r="N90" s="260"/>
      <c r="O90" s="262"/>
    </row>
    <row r="91" spans="1:15" x14ac:dyDescent="0.25">
      <c r="A91" s="254">
        <v>86</v>
      </c>
      <c r="B91" s="251" t="s">
        <v>114</v>
      </c>
      <c r="C91" s="251" t="s">
        <v>28</v>
      </c>
      <c r="D91" s="251" t="s">
        <v>28</v>
      </c>
      <c r="E91" s="263">
        <v>4937</v>
      </c>
      <c r="F91" s="260">
        <v>4868</v>
      </c>
      <c r="G91" s="260"/>
      <c r="H91" s="260">
        <v>1730</v>
      </c>
      <c r="I91" s="137">
        <f t="shared" si="2"/>
        <v>2.81</v>
      </c>
      <c r="J91" s="260"/>
      <c r="K91" s="260"/>
      <c r="L91" s="260"/>
      <c r="M91" s="260"/>
      <c r="N91" s="260"/>
      <c r="O91" s="262"/>
    </row>
    <row r="92" spans="1:15" x14ac:dyDescent="0.25">
      <c r="A92" s="254">
        <v>87</v>
      </c>
      <c r="B92" s="251" t="s">
        <v>115</v>
      </c>
      <c r="C92" s="251" t="s">
        <v>28</v>
      </c>
      <c r="D92" s="251" t="s">
        <v>28</v>
      </c>
      <c r="E92" s="263">
        <v>2422</v>
      </c>
      <c r="F92" s="260">
        <v>2443</v>
      </c>
      <c r="G92" s="260"/>
      <c r="H92" s="260">
        <v>857</v>
      </c>
      <c r="I92" s="137">
        <f t="shared" si="2"/>
        <v>2.85</v>
      </c>
      <c r="J92" s="260"/>
      <c r="K92" s="260"/>
      <c r="L92" s="260"/>
      <c r="M92" s="260"/>
      <c r="N92" s="260"/>
      <c r="O92" s="262"/>
    </row>
    <row r="93" spans="1:15" x14ac:dyDescent="0.25">
      <c r="A93" s="254">
        <v>88</v>
      </c>
      <c r="B93" s="251" t="s">
        <v>116</v>
      </c>
      <c r="C93" s="251" t="s">
        <v>28</v>
      </c>
      <c r="D93" s="251" t="s">
        <v>28</v>
      </c>
      <c r="E93" s="263">
        <v>4482</v>
      </c>
      <c r="F93" s="260">
        <v>4379</v>
      </c>
      <c r="G93" s="260"/>
      <c r="H93" s="260">
        <v>1582</v>
      </c>
      <c r="I93" s="137">
        <f t="shared" si="2"/>
        <v>2.77</v>
      </c>
      <c r="J93" s="260"/>
      <c r="K93" s="260"/>
      <c r="L93" s="260"/>
      <c r="M93" s="260"/>
      <c r="N93" s="260"/>
      <c r="O93" s="262"/>
    </row>
    <row r="94" spans="1:15" x14ac:dyDescent="0.25">
      <c r="A94" s="254">
        <v>89</v>
      </c>
      <c r="B94" s="251" t="s">
        <v>117</v>
      </c>
      <c r="C94" s="251" t="s">
        <v>28</v>
      </c>
      <c r="D94" s="251" t="s">
        <v>28</v>
      </c>
      <c r="E94" s="263">
        <v>3477</v>
      </c>
      <c r="F94" s="260">
        <v>3382</v>
      </c>
      <c r="G94" s="260">
        <v>3833</v>
      </c>
      <c r="H94" s="260">
        <v>1445</v>
      </c>
      <c r="I94" s="137">
        <f t="shared" si="2"/>
        <v>2.34</v>
      </c>
      <c r="J94" s="260">
        <v>25</v>
      </c>
      <c r="K94" s="260">
        <v>15</v>
      </c>
      <c r="L94" s="260">
        <v>1729</v>
      </c>
      <c r="M94" s="260">
        <v>4</v>
      </c>
      <c r="N94" s="260">
        <v>3720</v>
      </c>
      <c r="O94" s="262">
        <v>0</v>
      </c>
    </row>
    <row r="95" spans="1:15" x14ac:dyDescent="0.25">
      <c r="A95" s="254">
        <v>90</v>
      </c>
      <c r="B95" s="251" t="s">
        <v>118</v>
      </c>
      <c r="C95" s="251" t="s">
        <v>28</v>
      </c>
      <c r="D95" s="251" t="s">
        <v>28</v>
      </c>
      <c r="E95" s="263">
        <v>2507</v>
      </c>
      <c r="F95" s="260">
        <v>2561</v>
      </c>
      <c r="G95" s="260">
        <v>2420</v>
      </c>
      <c r="H95" s="260">
        <v>871</v>
      </c>
      <c r="I95" s="137">
        <f t="shared" si="2"/>
        <v>2.94</v>
      </c>
      <c r="J95" s="260">
        <v>20</v>
      </c>
      <c r="K95" s="260">
        <v>10</v>
      </c>
      <c r="L95" s="260">
        <v>1215</v>
      </c>
      <c r="M95" s="260"/>
      <c r="N95" s="260">
        <v>2615</v>
      </c>
      <c r="O95" s="262"/>
    </row>
    <row r="96" spans="1:15" x14ac:dyDescent="0.25">
      <c r="A96" s="254">
        <v>91</v>
      </c>
      <c r="B96" s="251" t="s">
        <v>119</v>
      </c>
      <c r="C96" s="251" t="s">
        <v>28</v>
      </c>
      <c r="D96" s="251" t="s">
        <v>28</v>
      </c>
      <c r="E96" s="263">
        <v>3099</v>
      </c>
      <c r="F96" s="260">
        <v>3467</v>
      </c>
      <c r="G96" s="260">
        <v>3409</v>
      </c>
      <c r="H96" s="260">
        <v>1389</v>
      </c>
      <c r="I96" s="137">
        <f t="shared" si="2"/>
        <v>2.5</v>
      </c>
      <c r="J96" s="260">
        <v>40</v>
      </c>
      <c r="K96" s="260">
        <v>9</v>
      </c>
      <c r="L96" s="260">
        <v>1927</v>
      </c>
      <c r="M96" s="260"/>
      <c r="N96" s="260">
        <v>3409</v>
      </c>
      <c r="O96" s="262">
        <v>1</v>
      </c>
    </row>
    <row r="97" spans="1:15" x14ac:dyDescent="0.25">
      <c r="A97" s="254">
        <v>92</v>
      </c>
      <c r="B97" s="251" t="s">
        <v>120</v>
      </c>
      <c r="C97" s="251" t="s">
        <v>28</v>
      </c>
      <c r="D97" s="251" t="s">
        <v>28</v>
      </c>
      <c r="E97" s="263">
        <v>1438</v>
      </c>
      <c r="F97" s="260">
        <v>1594</v>
      </c>
      <c r="G97" s="260"/>
      <c r="H97" s="260">
        <v>734</v>
      </c>
      <c r="I97" s="137">
        <f t="shared" si="2"/>
        <v>2.17</v>
      </c>
      <c r="J97" s="260"/>
      <c r="K97" s="260"/>
      <c r="L97" s="260"/>
      <c r="M97" s="260"/>
      <c r="N97" s="260"/>
      <c r="O97" s="262"/>
    </row>
    <row r="98" spans="1:15" x14ac:dyDescent="0.25">
      <c r="A98" s="254">
        <v>93</v>
      </c>
      <c r="B98" s="251" t="s">
        <v>121</v>
      </c>
      <c r="C98" s="251" t="s">
        <v>28</v>
      </c>
      <c r="D98" s="251" t="s">
        <v>28</v>
      </c>
      <c r="E98" s="263">
        <v>3489</v>
      </c>
      <c r="F98" s="260">
        <v>3444</v>
      </c>
      <c r="G98" s="260"/>
      <c r="H98" s="260">
        <v>1135</v>
      </c>
      <c r="I98" s="137">
        <f t="shared" si="2"/>
        <v>3.03</v>
      </c>
      <c r="J98" s="260"/>
      <c r="K98" s="260"/>
      <c r="L98" s="260"/>
      <c r="M98" s="260"/>
      <c r="N98" s="260"/>
      <c r="O98" s="262"/>
    </row>
    <row r="99" spans="1:15" x14ac:dyDescent="0.25">
      <c r="A99" s="254">
        <v>94</v>
      </c>
      <c r="B99" s="251" t="s">
        <v>122</v>
      </c>
      <c r="C99" s="251" t="s">
        <v>28</v>
      </c>
      <c r="D99" s="251" t="s">
        <v>28</v>
      </c>
      <c r="E99" s="263">
        <v>5115</v>
      </c>
      <c r="F99" s="260">
        <v>4937</v>
      </c>
      <c r="G99" s="260"/>
      <c r="H99" s="260">
        <v>1362</v>
      </c>
      <c r="I99" s="137">
        <f t="shared" si="2"/>
        <v>3.62</v>
      </c>
      <c r="J99" s="260"/>
      <c r="K99" s="260"/>
      <c r="L99" s="260"/>
      <c r="M99" s="260"/>
      <c r="N99" s="260"/>
      <c r="O99" s="262"/>
    </row>
    <row r="100" spans="1:15" x14ac:dyDescent="0.25">
      <c r="A100" s="254">
        <v>95</v>
      </c>
      <c r="B100" s="251" t="s">
        <v>123</v>
      </c>
      <c r="C100" s="251" t="s">
        <v>28</v>
      </c>
      <c r="D100" s="251" t="s">
        <v>28</v>
      </c>
      <c r="E100" s="263">
        <v>2052</v>
      </c>
      <c r="F100" s="260">
        <v>2174</v>
      </c>
      <c r="G100" s="260"/>
      <c r="H100" s="260">
        <v>960</v>
      </c>
      <c r="I100" s="137">
        <f t="shared" si="2"/>
        <v>2.2599999999999998</v>
      </c>
      <c r="J100" s="260"/>
      <c r="K100" s="260"/>
      <c r="L100" s="260"/>
      <c r="M100" s="260"/>
      <c r="N100" s="260"/>
      <c r="O100" s="262"/>
    </row>
    <row r="101" spans="1:15" x14ac:dyDescent="0.25">
      <c r="A101" s="254">
        <v>96</v>
      </c>
      <c r="B101" s="251" t="s">
        <v>124</v>
      </c>
      <c r="C101" s="251" t="s">
        <v>28</v>
      </c>
      <c r="D101" s="251" t="s">
        <v>28</v>
      </c>
      <c r="E101" s="263">
        <v>3199</v>
      </c>
      <c r="F101" s="260">
        <v>3187</v>
      </c>
      <c r="G101" s="260"/>
      <c r="H101" s="260">
        <v>1511</v>
      </c>
      <c r="I101" s="137">
        <f t="shared" si="2"/>
        <v>2.11</v>
      </c>
      <c r="J101" s="260"/>
      <c r="K101" s="260"/>
      <c r="L101" s="260"/>
      <c r="M101" s="260"/>
      <c r="N101" s="260"/>
      <c r="O101" s="262"/>
    </row>
    <row r="102" spans="1:15" x14ac:dyDescent="0.25">
      <c r="A102" s="254">
        <v>97</v>
      </c>
      <c r="B102" s="251" t="s">
        <v>125</v>
      </c>
      <c r="C102" s="251" t="s">
        <v>28</v>
      </c>
      <c r="D102" s="251" t="s">
        <v>28</v>
      </c>
      <c r="E102" s="263">
        <v>2978</v>
      </c>
      <c r="F102" s="260">
        <v>2802</v>
      </c>
      <c r="G102" s="260"/>
      <c r="H102" s="260">
        <v>983</v>
      </c>
      <c r="I102" s="137">
        <f t="shared" ref="I102:I107" si="3">ROUND(F102/H102,2)</f>
        <v>2.85</v>
      </c>
      <c r="J102" s="260"/>
      <c r="K102" s="260"/>
      <c r="L102" s="260"/>
      <c r="M102" s="260"/>
      <c r="N102" s="260"/>
      <c r="O102" s="262"/>
    </row>
    <row r="103" spans="1:15" x14ac:dyDescent="0.25">
      <c r="A103" s="254">
        <v>98</v>
      </c>
      <c r="B103" s="251" t="s">
        <v>126</v>
      </c>
      <c r="C103" s="251" t="s">
        <v>28</v>
      </c>
      <c r="D103" s="251" t="s">
        <v>28</v>
      </c>
      <c r="E103" s="263">
        <v>2773</v>
      </c>
      <c r="F103" s="260">
        <v>2533</v>
      </c>
      <c r="G103" s="260">
        <v>2478</v>
      </c>
      <c r="H103" s="260">
        <v>899</v>
      </c>
      <c r="I103" s="137">
        <f t="shared" si="3"/>
        <v>2.82</v>
      </c>
      <c r="J103" s="260">
        <v>68</v>
      </c>
      <c r="K103" s="260">
        <v>12</v>
      </c>
      <c r="L103" s="260">
        <v>1104</v>
      </c>
      <c r="M103" s="260"/>
      <c r="N103" s="260">
        <v>2478</v>
      </c>
      <c r="O103" s="262">
        <v>45</v>
      </c>
    </row>
    <row r="104" spans="1:15" x14ac:dyDescent="0.25">
      <c r="A104" s="254">
        <v>99</v>
      </c>
      <c r="B104" s="251" t="s">
        <v>127</v>
      </c>
      <c r="C104" s="251" t="s">
        <v>28</v>
      </c>
      <c r="D104" s="251" t="s">
        <v>28</v>
      </c>
      <c r="E104" s="263">
        <v>4356</v>
      </c>
      <c r="F104" s="260">
        <v>4066</v>
      </c>
      <c r="G104" s="260"/>
      <c r="H104" s="260">
        <v>1326</v>
      </c>
      <c r="I104" s="137">
        <f t="shared" si="3"/>
        <v>3.07</v>
      </c>
      <c r="J104" s="260"/>
      <c r="K104" s="260"/>
      <c r="L104" s="260"/>
      <c r="M104" s="260"/>
      <c r="N104" s="260"/>
      <c r="O104" s="262"/>
    </row>
    <row r="105" spans="1:15" x14ac:dyDescent="0.25">
      <c r="A105" s="254">
        <v>100</v>
      </c>
      <c r="B105" s="251" t="s">
        <v>128</v>
      </c>
      <c r="C105" s="251" t="s">
        <v>28</v>
      </c>
      <c r="D105" s="251" t="s">
        <v>28</v>
      </c>
      <c r="E105" s="263">
        <v>3800</v>
      </c>
      <c r="F105" s="260">
        <v>4041</v>
      </c>
      <c r="G105" s="260"/>
      <c r="H105" s="260">
        <v>1563</v>
      </c>
      <c r="I105" s="137">
        <f t="shared" si="3"/>
        <v>2.59</v>
      </c>
      <c r="J105" s="260"/>
      <c r="K105" s="260"/>
      <c r="L105" s="260"/>
      <c r="M105" s="260"/>
      <c r="N105" s="260"/>
      <c r="O105" s="262"/>
    </row>
    <row r="106" spans="1:15" x14ac:dyDescent="0.25">
      <c r="A106" s="254">
        <v>101</v>
      </c>
      <c r="B106" s="251" t="s">
        <v>129</v>
      </c>
      <c r="C106" s="251" t="s">
        <v>28</v>
      </c>
      <c r="D106" s="251" t="s">
        <v>28</v>
      </c>
      <c r="E106" s="263">
        <v>3163</v>
      </c>
      <c r="F106" s="260">
        <v>3092</v>
      </c>
      <c r="G106" s="260"/>
      <c r="H106" s="260">
        <v>1076</v>
      </c>
      <c r="I106" s="137">
        <f t="shared" si="3"/>
        <v>2.87</v>
      </c>
      <c r="J106" s="260"/>
      <c r="K106" s="260"/>
      <c r="L106" s="260"/>
      <c r="M106" s="260"/>
      <c r="N106" s="260"/>
      <c r="O106" s="262"/>
    </row>
    <row r="107" spans="1:15" ht="15.75" thickBot="1" x14ac:dyDescent="0.3">
      <c r="A107" s="254">
        <v>102</v>
      </c>
      <c r="B107" s="265" t="s">
        <v>130</v>
      </c>
      <c r="C107" s="265" t="s">
        <v>28</v>
      </c>
      <c r="D107" s="265" t="s">
        <v>28</v>
      </c>
      <c r="E107" s="266">
        <v>2889</v>
      </c>
      <c r="F107" s="267">
        <v>2887</v>
      </c>
      <c r="G107" s="267"/>
      <c r="H107" s="267">
        <v>1013</v>
      </c>
      <c r="I107" s="268">
        <f t="shared" si="3"/>
        <v>2.85</v>
      </c>
      <c r="J107" s="267"/>
      <c r="K107" s="267"/>
      <c r="L107" s="267"/>
      <c r="M107" s="267"/>
      <c r="N107" s="267"/>
      <c r="O107" s="269"/>
    </row>
    <row r="108" spans="1:15" ht="15" customHeight="1" x14ac:dyDescent="0.25">
      <c r="A108" s="309" t="s">
        <v>131</v>
      </c>
      <c r="B108" s="309"/>
      <c r="C108" s="309"/>
      <c r="D108" s="309"/>
      <c r="E108" s="309"/>
      <c r="F108" s="309"/>
      <c r="G108" s="309"/>
      <c r="H108" s="309"/>
    </row>
    <row r="109" spans="1:15" x14ac:dyDescent="0.25">
      <c r="B109" s="170" t="s">
        <v>413</v>
      </c>
    </row>
  </sheetData>
  <mergeCells count="6">
    <mergeCell ref="A108:H108"/>
    <mergeCell ref="A1:E1"/>
    <mergeCell ref="A2:A4"/>
    <mergeCell ref="B2:B4"/>
    <mergeCell ref="C2:C4"/>
    <mergeCell ref="D2:D4"/>
  </mergeCells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03"/>
  <sheetViews>
    <sheetView workbookViewId="0">
      <selection activeCell="N19" sqref="N19"/>
    </sheetView>
  </sheetViews>
  <sheetFormatPr defaultRowHeight="15" x14ac:dyDescent="0.25"/>
  <cols>
    <col min="3" max="3" width="10.7109375" bestFit="1" customWidth="1"/>
    <col min="4" max="11" width="9.7109375" bestFit="1" customWidth="1"/>
    <col min="12" max="12" width="10.5703125" bestFit="1" customWidth="1"/>
  </cols>
  <sheetData>
    <row r="2" spans="2:12" ht="15.75" thickBot="1" x14ac:dyDescent="0.3">
      <c r="B2" s="1" t="s">
        <v>199</v>
      </c>
    </row>
    <row r="3" spans="2:12" x14ac:dyDescent="0.25">
      <c r="B3" s="38" t="s">
        <v>182</v>
      </c>
      <c r="C3" s="34" t="s">
        <v>190</v>
      </c>
      <c r="D3" s="34" t="s">
        <v>191</v>
      </c>
      <c r="E3" s="34" t="s">
        <v>192</v>
      </c>
      <c r="F3" s="34" t="s">
        <v>193</v>
      </c>
      <c r="G3" s="34" t="s">
        <v>194</v>
      </c>
      <c r="H3" s="34" t="s">
        <v>195</v>
      </c>
      <c r="I3" s="34" t="s">
        <v>196</v>
      </c>
      <c r="J3" s="34" t="s">
        <v>197</v>
      </c>
      <c r="K3" s="24" t="s">
        <v>198</v>
      </c>
    </row>
    <row r="4" spans="2:12" x14ac:dyDescent="0.25">
      <c r="B4" s="10">
        <v>2010</v>
      </c>
      <c r="C4" s="8">
        <v>18003</v>
      </c>
      <c r="D4" s="8">
        <v>3090</v>
      </c>
      <c r="E4" s="8">
        <v>2854</v>
      </c>
      <c r="F4" s="8">
        <v>1780</v>
      </c>
      <c r="G4" s="8">
        <v>3797</v>
      </c>
      <c r="H4" s="8">
        <v>1571</v>
      </c>
      <c r="I4" s="8">
        <v>5321</v>
      </c>
      <c r="J4" s="8">
        <v>2868</v>
      </c>
      <c r="K4" s="9">
        <v>5881</v>
      </c>
      <c r="L4">
        <f>SUM(C4:K4)</f>
        <v>45165</v>
      </c>
    </row>
    <row r="5" spans="2:12" x14ac:dyDescent="0.25">
      <c r="B5" s="10">
        <v>2011</v>
      </c>
      <c r="C5" s="8">
        <v>19712</v>
      </c>
      <c r="D5" s="8">
        <v>3660</v>
      </c>
      <c r="E5" s="8">
        <v>3381</v>
      </c>
      <c r="F5" s="8">
        <v>2109</v>
      </c>
      <c r="G5" s="8">
        <v>4497</v>
      </c>
      <c r="H5" s="8">
        <v>1861</v>
      </c>
      <c r="I5" s="8">
        <v>6245</v>
      </c>
      <c r="J5" s="8">
        <v>3392</v>
      </c>
      <c r="K5" s="9">
        <v>6954</v>
      </c>
      <c r="L5">
        <f t="shared" ref="L5:L33" si="0">SUM(C5:K5)</f>
        <v>51811</v>
      </c>
    </row>
    <row r="6" spans="2:12" x14ac:dyDescent="0.25">
      <c r="B6" s="10">
        <v>2012</v>
      </c>
      <c r="C6" s="8">
        <v>20353</v>
      </c>
      <c r="D6" s="8">
        <v>3864</v>
      </c>
      <c r="E6" s="8">
        <v>3569</v>
      </c>
      <c r="F6" s="8">
        <v>2227</v>
      </c>
      <c r="G6" s="8">
        <v>4748</v>
      </c>
      <c r="H6" s="8">
        <v>1965</v>
      </c>
      <c r="I6" s="8">
        <v>6577</v>
      </c>
      <c r="J6" s="8">
        <v>3579</v>
      </c>
      <c r="K6" s="9">
        <v>7339</v>
      </c>
      <c r="L6">
        <f t="shared" si="0"/>
        <v>54221</v>
      </c>
    </row>
    <row r="7" spans="2:12" x14ac:dyDescent="0.25">
      <c r="B7" s="10">
        <v>2013</v>
      </c>
      <c r="C7" s="8">
        <v>20454</v>
      </c>
      <c r="D7" s="8">
        <v>3883</v>
      </c>
      <c r="E7" s="8">
        <v>3587</v>
      </c>
      <c r="F7" s="8">
        <v>2238</v>
      </c>
      <c r="G7" s="8">
        <v>4772</v>
      </c>
      <c r="H7" s="8">
        <v>1974</v>
      </c>
      <c r="I7" s="8">
        <v>6610</v>
      </c>
      <c r="J7" s="8">
        <v>3597</v>
      </c>
      <c r="K7" s="9">
        <v>7375</v>
      </c>
      <c r="L7">
        <f t="shared" si="0"/>
        <v>54490</v>
      </c>
    </row>
    <row r="8" spans="2:12" x14ac:dyDescent="0.25">
      <c r="B8" s="10">
        <v>2014</v>
      </c>
      <c r="C8" s="8">
        <v>20163</v>
      </c>
      <c r="D8" s="8">
        <v>4048</v>
      </c>
      <c r="E8" s="8">
        <v>3739</v>
      </c>
      <c r="F8" s="8">
        <v>2333</v>
      </c>
      <c r="G8" s="8">
        <v>4974</v>
      </c>
      <c r="H8" s="8">
        <v>2058</v>
      </c>
      <c r="I8" s="8">
        <v>6595</v>
      </c>
      <c r="J8" s="8">
        <v>3615</v>
      </c>
      <c r="K8" s="9">
        <v>7412</v>
      </c>
      <c r="L8">
        <f t="shared" si="0"/>
        <v>54937</v>
      </c>
    </row>
    <row r="9" spans="2:12" x14ac:dyDescent="0.25">
      <c r="B9" s="10">
        <v>2015</v>
      </c>
      <c r="C9" s="8">
        <v>19795</v>
      </c>
      <c r="D9" s="8">
        <v>4210</v>
      </c>
      <c r="E9" s="8">
        <v>3889</v>
      </c>
      <c r="F9" s="8">
        <v>2426</v>
      </c>
      <c r="G9" s="8">
        <v>5174</v>
      </c>
      <c r="H9" s="8">
        <v>2141</v>
      </c>
      <c r="I9" s="8">
        <v>6565</v>
      </c>
      <c r="J9" s="8">
        <v>3622</v>
      </c>
      <c r="K9" s="9">
        <v>7434</v>
      </c>
      <c r="L9">
        <f t="shared" si="0"/>
        <v>55256</v>
      </c>
    </row>
    <row r="10" spans="2:12" x14ac:dyDescent="0.25">
      <c r="B10" s="10">
        <v>2016</v>
      </c>
      <c r="C10" s="8">
        <v>19499</v>
      </c>
      <c r="D10" s="8">
        <v>4348</v>
      </c>
      <c r="E10" s="8">
        <v>4016</v>
      </c>
      <c r="F10" s="8">
        <v>2506</v>
      </c>
      <c r="G10" s="8">
        <v>5343</v>
      </c>
      <c r="H10" s="8">
        <v>2211</v>
      </c>
      <c r="I10" s="8">
        <v>6535</v>
      </c>
      <c r="J10" s="8">
        <v>3630</v>
      </c>
      <c r="K10" s="9">
        <v>7456</v>
      </c>
      <c r="L10">
        <f t="shared" si="0"/>
        <v>55544</v>
      </c>
    </row>
    <row r="11" spans="2:12" x14ac:dyDescent="0.25">
      <c r="B11" s="10">
        <v>2017</v>
      </c>
      <c r="C11" s="8">
        <v>19191</v>
      </c>
      <c r="D11" s="8">
        <v>4491</v>
      </c>
      <c r="E11" s="8">
        <v>4148</v>
      </c>
      <c r="F11" s="8">
        <v>2588</v>
      </c>
      <c r="G11" s="8">
        <v>5518</v>
      </c>
      <c r="H11" s="8">
        <v>2283</v>
      </c>
      <c r="I11" s="8">
        <v>6505</v>
      </c>
      <c r="J11" s="8">
        <v>3637</v>
      </c>
      <c r="K11" s="9">
        <v>7478</v>
      </c>
      <c r="L11">
        <f t="shared" si="0"/>
        <v>55839</v>
      </c>
    </row>
    <row r="12" spans="2:12" x14ac:dyDescent="0.25">
      <c r="B12" s="10">
        <v>2018</v>
      </c>
      <c r="C12" s="8">
        <v>18870</v>
      </c>
      <c r="D12" s="8">
        <v>4638</v>
      </c>
      <c r="E12" s="8">
        <v>4284</v>
      </c>
      <c r="F12" s="8">
        <v>2673</v>
      </c>
      <c r="G12" s="8">
        <v>5700</v>
      </c>
      <c r="H12" s="8">
        <v>2368</v>
      </c>
      <c r="I12" s="8">
        <v>6476</v>
      </c>
      <c r="J12" s="8">
        <v>3644</v>
      </c>
      <c r="K12" s="9">
        <v>7501</v>
      </c>
      <c r="L12">
        <f t="shared" si="0"/>
        <v>56154</v>
      </c>
    </row>
    <row r="13" spans="2:12" x14ac:dyDescent="0.25">
      <c r="B13" s="10">
        <v>2019</v>
      </c>
      <c r="C13" s="8">
        <v>18536</v>
      </c>
      <c r="D13" s="8">
        <v>4791</v>
      </c>
      <c r="E13" s="8">
        <v>4426</v>
      </c>
      <c r="F13" s="8">
        <v>2761</v>
      </c>
      <c r="G13" s="8">
        <v>5888</v>
      </c>
      <c r="H13" s="8">
        <v>2436</v>
      </c>
      <c r="I13" s="8">
        <v>6447</v>
      </c>
      <c r="J13" s="8">
        <v>3652</v>
      </c>
      <c r="K13" s="9">
        <v>7523</v>
      </c>
      <c r="L13">
        <f t="shared" si="0"/>
        <v>56460</v>
      </c>
    </row>
    <row r="14" spans="2:12" x14ac:dyDescent="0.25">
      <c r="B14" s="10">
        <v>2020</v>
      </c>
      <c r="C14" s="8">
        <v>18187</v>
      </c>
      <c r="D14" s="8">
        <v>4950</v>
      </c>
      <c r="E14" s="8">
        <v>4572</v>
      </c>
      <c r="F14" s="8">
        <v>2853</v>
      </c>
      <c r="G14" s="8">
        <v>6083</v>
      </c>
      <c r="H14" s="8">
        <v>2517</v>
      </c>
      <c r="I14" s="8">
        <v>6418</v>
      </c>
      <c r="J14" s="8">
        <v>3659</v>
      </c>
      <c r="K14" s="9">
        <v>7545</v>
      </c>
      <c r="L14">
        <f t="shared" si="0"/>
        <v>56784</v>
      </c>
    </row>
    <row r="15" spans="2:12" x14ac:dyDescent="0.25">
      <c r="B15" s="10">
        <v>2021</v>
      </c>
      <c r="C15" s="8">
        <v>17984</v>
      </c>
      <c r="D15" s="8">
        <v>5057</v>
      </c>
      <c r="E15" s="8">
        <v>4672</v>
      </c>
      <c r="F15" s="8">
        <v>2914</v>
      </c>
      <c r="G15" s="8">
        <v>6215</v>
      </c>
      <c r="H15" s="8">
        <v>2572</v>
      </c>
      <c r="I15" s="8">
        <v>6389</v>
      </c>
      <c r="J15" s="8">
        <v>3666</v>
      </c>
      <c r="K15" s="9">
        <v>7568</v>
      </c>
      <c r="L15">
        <f t="shared" si="0"/>
        <v>57037</v>
      </c>
    </row>
    <row r="16" spans="2:12" x14ac:dyDescent="0.25">
      <c r="B16" s="10">
        <v>2022</v>
      </c>
      <c r="C16" s="8">
        <v>17775</v>
      </c>
      <c r="D16" s="8">
        <v>5167</v>
      </c>
      <c r="E16" s="8">
        <v>4773</v>
      </c>
      <c r="F16" s="8">
        <v>2978</v>
      </c>
      <c r="G16" s="8">
        <v>6350</v>
      </c>
      <c r="H16" s="8">
        <v>2628</v>
      </c>
      <c r="I16" s="8">
        <v>6361</v>
      </c>
      <c r="J16" s="8">
        <v>3674</v>
      </c>
      <c r="K16" s="9">
        <v>7590</v>
      </c>
      <c r="L16">
        <f t="shared" si="0"/>
        <v>57296</v>
      </c>
    </row>
    <row r="17" spans="2:12" x14ac:dyDescent="0.25">
      <c r="B17" s="10">
        <v>2023</v>
      </c>
      <c r="C17" s="8">
        <v>17559</v>
      </c>
      <c r="D17" s="8">
        <v>5280</v>
      </c>
      <c r="E17" s="8">
        <v>4877</v>
      </c>
      <c r="F17" s="8">
        <v>3043</v>
      </c>
      <c r="G17" s="8">
        <v>6488</v>
      </c>
      <c r="H17" s="8">
        <v>2685</v>
      </c>
      <c r="I17" s="8">
        <v>6333</v>
      </c>
      <c r="J17" s="8">
        <v>3681</v>
      </c>
      <c r="K17" s="9">
        <v>7613</v>
      </c>
      <c r="L17">
        <f t="shared" si="0"/>
        <v>57559</v>
      </c>
    </row>
    <row r="18" spans="2:12" x14ac:dyDescent="0.25">
      <c r="B18" s="10">
        <v>2024</v>
      </c>
      <c r="C18" s="8">
        <v>17337</v>
      </c>
      <c r="D18" s="8">
        <v>5395</v>
      </c>
      <c r="E18" s="8">
        <v>4984</v>
      </c>
      <c r="F18" s="8">
        <v>3109</v>
      </c>
      <c r="G18" s="8">
        <v>6630</v>
      </c>
      <c r="H18" s="8">
        <v>2743</v>
      </c>
      <c r="I18" s="8">
        <v>6305</v>
      </c>
      <c r="J18" s="8">
        <v>3689</v>
      </c>
      <c r="K18" s="9">
        <v>7636</v>
      </c>
      <c r="L18">
        <f t="shared" si="0"/>
        <v>57828</v>
      </c>
    </row>
    <row r="19" spans="2:12" x14ac:dyDescent="0.25">
      <c r="B19" s="10">
        <v>2025</v>
      </c>
      <c r="C19" s="8">
        <v>17108</v>
      </c>
      <c r="D19" s="8">
        <v>5513</v>
      </c>
      <c r="E19" s="8">
        <v>5093</v>
      </c>
      <c r="F19" s="8">
        <v>3177</v>
      </c>
      <c r="G19" s="8">
        <v>6775</v>
      </c>
      <c r="H19" s="8">
        <v>2803</v>
      </c>
      <c r="I19" s="8">
        <v>6277</v>
      </c>
      <c r="J19" s="8">
        <v>3696</v>
      </c>
      <c r="K19" s="9">
        <v>7659</v>
      </c>
      <c r="L19">
        <f t="shared" si="0"/>
        <v>58101</v>
      </c>
    </row>
    <row r="20" spans="2:12" x14ac:dyDescent="0.25">
      <c r="B20" s="10">
        <v>2026</v>
      </c>
      <c r="C20" s="8">
        <v>16872</v>
      </c>
      <c r="D20" s="8">
        <v>5634</v>
      </c>
      <c r="E20" s="8">
        <v>5205</v>
      </c>
      <c r="F20" s="8">
        <v>3247</v>
      </c>
      <c r="G20" s="8">
        <v>6924</v>
      </c>
      <c r="H20" s="8">
        <v>2865</v>
      </c>
      <c r="I20" s="8">
        <v>6250</v>
      </c>
      <c r="J20" s="8">
        <v>3703</v>
      </c>
      <c r="K20" s="9">
        <v>7681</v>
      </c>
      <c r="L20">
        <f t="shared" si="0"/>
        <v>58381</v>
      </c>
    </row>
    <row r="21" spans="2:12" x14ac:dyDescent="0.25">
      <c r="B21" s="10">
        <v>2027</v>
      </c>
      <c r="C21" s="8">
        <v>16580</v>
      </c>
      <c r="D21" s="8">
        <v>5741</v>
      </c>
      <c r="E21" s="8">
        <v>5303</v>
      </c>
      <c r="F21" s="8">
        <v>3308</v>
      </c>
      <c r="G21" s="8">
        <v>7055</v>
      </c>
      <c r="H21" s="8">
        <v>2919</v>
      </c>
      <c r="I21" s="8">
        <v>6204</v>
      </c>
      <c r="J21" s="8">
        <v>3700</v>
      </c>
      <c r="K21" s="9">
        <v>7681</v>
      </c>
      <c r="L21">
        <f t="shared" si="0"/>
        <v>58491</v>
      </c>
    </row>
    <row r="22" spans="2:12" x14ac:dyDescent="0.25">
      <c r="B22" s="10">
        <v>2028</v>
      </c>
      <c r="C22" s="8">
        <v>16282</v>
      </c>
      <c r="D22" s="8">
        <v>5850</v>
      </c>
      <c r="E22" s="8">
        <v>5404</v>
      </c>
      <c r="F22" s="8">
        <v>3371</v>
      </c>
      <c r="G22" s="8">
        <v>7188</v>
      </c>
      <c r="H22" s="8">
        <v>2974</v>
      </c>
      <c r="I22" s="8">
        <v>6158</v>
      </c>
      <c r="J22" s="8">
        <v>3696</v>
      </c>
      <c r="K22" s="9">
        <v>7681</v>
      </c>
      <c r="L22">
        <f>SUM(C22:K22)</f>
        <v>58604</v>
      </c>
    </row>
    <row r="23" spans="2:12" x14ac:dyDescent="0.25">
      <c r="B23" s="10">
        <v>2029</v>
      </c>
      <c r="C23" s="8">
        <v>15978</v>
      </c>
      <c r="D23" s="8">
        <v>5961</v>
      </c>
      <c r="E23" s="8">
        <v>5506</v>
      </c>
      <c r="F23" s="8">
        <v>3435</v>
      </c>
      <c r="G23" s="8">
        <v>7325</v>
      </c>
      <c r="H23" s="8">
        <v>3031</v>
      </c>
      <c r="I23" s="8">
        <v>6114</v>
      </c>
      <c r="J23" s="8">
        <v>3693</v>
      </c>
      <c r="K23" s="9">
        <v>7681</v>
      </c>
      <c r="L23">
        <f t="shared" si="0"/>
        <v>58724</v>
      </c>
    </row>
    <row r="24" spans="2:12" x14ac:dyDescent="0.25">
      <c r="B24" s="10">
        <v>2030</v>
      </c>
      <c r="C24" s="8">
        <v>15669</v>
      </c>
      <c r="D24" s="8">
        <v>6075</v>
      </c>
      <c r="E24" s="8">
        <v>5611</v>
      </c>
      <c r="F24" s="8">
        <v>3501</v>
      </c>
      <c r="G24" s="8">
        <v>7465</v>
      </c>
      <c r="H24" s="8">
        <v>3089</v>
      </c>
      <c r="I24" s="8">
        <v>6069</v>
      </c>
      <c r="J24" s="8">
        <v>3689</v>
      </c>
      <c r="K24" s="9">
        <v>7681</v>
      </c>
      <c r="L24">
        <f t="shared" si="0"/>
        <v>58849</v>
      </c>
    </row>
    <row r="25" spans="2:12" x14ac:dyDescent="0.25">
      <c r="B25" s="10">
        <v>2031</v>
      </c>
      <c r="C25" s="8">
        <v>15484</v>
      </c>
      <c r="D25" s="8">
        <v>6143</v>
      </c>
      <c r="E25" s="8">
        <v>5675</v>
      </c>
      <c r="F25" s="8">
        <v>3540</v>
      </c>
      <c r="G25" s="8">
        <v>7549</v>
      </c>
      <c r="H25" s="8">
        <v>3124</v>
      </c>
      <c r="I25" s="8">
        <v>6025</v>
      </c>
      <c r="J25" s="8">
        <v>3685</v>
      </c>
      <c r="K25" s="9">
        <v>7681</v>
      </c>
      <c r="L25">
        <f t="shared" si="0"/>
        <v>58906</v>
      </c>
    </row>
    <row r="26" spans="2:12" x14ac:dyDescent="0.25">
      <c r="B26" s="10">
        <v>2032</v>
      </c>
      <c r="C26" s="8">
        <v>15296</v>
      </c>
      <c r="D26" s="8">
        <v>6213</v>
      </c>
      <c r="E26" s="8">
        <v>5739</v>
      </c>
      <c r="F26" s="8">
        <v>3580</v>
      </c>
      <c r="G26" s="8">
        <v>7634</v>
      </c>
      <c r="H26" s="8">
        <v>3159</v>
      </c>
      <c r="I26" s="8">
        <v>5981</v>
      </c>
      <c r="J26" s="8">
        <v>3682</v>
      </c>
      <c r="K26" s="9">
        <v>7681</v>
      </c>
      <c r="L26">
        <f t="shared" si="0"/>
        <v>58965</v>
      </c>
    </row>
    <row r="27" spans="2:12" x14ac:dyDescent="0.25">
      <c r="B27" s="10">
        <v>2033</v>
      </c>
      <c r="C27" s="8">
        <v>15106</v>
      </c>
      <c r="D27" s="8">
        <v>6283</v>
      </c>
      <c r="E27" s="8">
        <v>5804</v>
      </c>
      <c r="F27" s="8">
        <v>3621</v>
      </c>
      <c r="G27" s="8">
        <v>7721</v>
      </c>
      <c r="H27" s="8">
        <v>3195</v>
      </c>
      <c r="I27" s="8">
        <v>5938</v>
      </c>
      <c r="J27" s="8">
        <v>3678</v>
      </c>
      <c r="K27" s="9">
        <v>7681</v>
      </c>
      <c r="L27">
        <f t="shared" si="0"/>
        <v>59027</v>
      </c>
    </row>
    <row r="28" spans="2:12" x14ac:dyDescent="0.25">
      <c r="B28" s="10">
        <v>2034</v>
      </c>
      <c r="C28" s="8">
        <v>14914</v>
      </c>
      <c r="D28" s="8">
        <v>6354</v>
      </c>
      <c r="E28" s="8">
        <v>5869</v>
      </c>
      <c r="F28" s="8">
        <v>3662</v>
      </c>
      <c r="G28" s="8">
        <v>7808</v>
      </c>
      <c r="H28" s="8">
        <v>3231</v>
      </c>
      <c r="I28" s="8">
        <v>5896</v>
      </c>
      <c r="J28" s="8">
        <v>3675</v>
      </c>
      <c r="K28" s="9">
        <v>7681</v>
      </c>
      <c r="L28">
        <f t="shared" si="0"/>
        <v>59090</v>
      </c>
    </row>
    <row r="29" spans="2:12" x14ac:dyDescent="0.25">
      <c r="B29" s="10">
        <v>2035</v>
      </c>
      <c r="C29" s="8">
        <v>14720</v>
      </c>
      <c r="D29" s="8">
        <v>6426</v>
      </c>
      <c r="E29" s="8">
        <v>5936</v>
      </c>
      <c r="F29" s="8">
        <v>3703</v>
      </c>
      <c r="G29" s="8">
        <v>7897</v>
      </c>
      <c r="H29" s="8">
        <v>3268</v>
      </c>
      <c r="I29" s="8">
        <v>5853</v>
      </c>
      <c r="J29" s="8">
        <v>3671</v>
      </c>
      <c r="K29" s="9">
        <v>7681</v>
      </c>
      <c r="L29">
        <f t="shared" si="0"/>
        <v>59155</v>
      </c>
    </row>
    <row r="30" spans="2:12" x14ac:dyDescent="0.25">
      <c r="B30" s="10">
        <v>2036</v>
      </c>
      <c r="C30" s="8">
        <v>14592</v>
      </c>
      <c r="D30" s="8">
        <v>6474</v>
      </c>
      <c r="E30" s="8">
        <v>5980</v>
      </c>
      <c r="F30" s="8">
        <v>3731</v>
      </c>
      <c r="G30" s="8">
        <v>7955</v>
      </c>
      <c r="H30" s="8">
        <v>3292</v>
      </c>
      <c r="I30" s="8">
        <v>5811</v>
      </c>
      <c r="J30" s="8">
        <v>3667</v>
      </c>
      <c r="K30" s="9">
        <v>7681</v>
      </c>
      <c r="L30">
        <f t="shared" si="0"/>
        <v>59183</v>
      </c>
    </row>
    <row r="31" spans="2:12" x14ac:dyDescent="0.25">
      <c r="B31" s="10">
        <v>2037</v>
      </c>
      <c r="C31" s="8">
        <v>14462</v>
      </c>
      <c r="D31" s="8">
        <v>6522</v>
      </c>
      <c r="E31" s="8">
        <v>6025</v>
      </c>
      <c r="F31" s="8">
        <v>3759</v>
      </c>
      <c r="G31" s="8">
        <v>8015</v>
      </c>
      <c r="H31" s="8">
        <v>3316</v>
      </c>
      <c r="I31" s="8">
        <v>5770</v>
      </c>
      <c r="J31" s="8">
        <v>3664</v>
      </c>
      <c r="K31" s="9">
        <v>7681</v>
      </c>
      <c r="L31">
        <f t="shared" si="0"/>
        <v>59214</v>
      </c>
    </row>
    <row r="32" spans="2:12" x14ac:dyDescent="0.25">
      <c r="B32" s="10">
        <v>2038</v>
      </c>
      <c r="C32" s="8">
        <v>14332</v>
      </c>
      <c r="D32" s="8">
        <v>6571</v>
      </c>
      <c r="E32" s="8">
        <v>6070</v>
      </c>
      <c r="F32" s="8">
        <v>3787</v>
      </c>
      <c r="G32" s="8">
        <v>8074</v>
      </c>
      <c r="H32" s="8">
        <v>3341</v>
      </c>
      <c r="I32" s="8">
        <v>5729</v>
      </c>
      <c r="J32" s="8">
        <v>3660</v>
      </c>
      <c r="K32" s="9">
        <v>7681</v>
      </c>
      <c r="L32">
        <f t="shared" si="0"/>
        <v>59245</v>
      </c>
    </row>
    <row r="33" spans="2:13" ht="15.75" thickBot="1" x14ac:dyDescent="0.3">
      <c r="B33" s="12">
        <v>2039</v>
      </c>
      <c r="C33" s="13">
        <v>14201</v>
      </c>
      <c r="D33" s="13">
        <v>6620</v>
      </c>
      <c r="E33" s="13">
        <v>6115</v>
      </c>
      <c r="F33" s="13">
        <v>3815</v>
      </c>
      <c r="G33" s="13">
        <v>8135</v>
      </c>
      <c r="H33" s="13">
        <v>3366</v>
      </c>
      <c r="I33" s="13">
        <v>5688</v>
      </c>
      <c r="J33" s="13">
        <v>3657</v>
      </c>
      <c r="K33" s="14">
        <v>7681</v>
      </c>
      <c r="L33">
        <f t="shared" si="0"/>
        <v>59278</v>
      </c>
    </row>
    <row r="36" spans="2:13" x14ac:dyDescent="0.25">
      <c r="B36" s="1" t="s">
        <v>585</v>
      </c>
    </row>
    <row r="37" spans="2:13" ht="15.75" thickBot="1" x14ac:dyDescent="0.3"/>
    <row r="38" spans="2:13" x14ac:dyDescent="0.25">
      <c r="B38" s="38" t="s">
        <v>182</v>
      </c>
      <c r="C38" s="34" t="s">
        <v>190</v>
      </c>
      <c r="D38" s="34" t="s">
        <v>191</v>
      </c>
      <c r="E38" s="34" t="s">
        <v>192</v>
      </c>
      <c r="F38" s="34" t="s">
        <v>193</v>
      </c>
      <c r="G38" s="34" t="s">
        <v>194</v>
      </c>
      <c r="H38" s="34" t="s">
        <v>195</v>
      </c>
      <c r="I38" s="34" t="s">
        <v>196</v>
      </c>
      <c r="J38" s="34" t="s">
        <v>197</v>
      </c>
      <c r="K38" s="34" t="s">
        <v>198</v>
      </c>
      <c r="L38" s="146" t="s">
        <v>27</v>
      </c>
    </row>
    <row r="39" spans="2:13" s="1" customFormat="1" x14ac:dyDescent="0.25">
      <c r="B39" s="4">
        <v>2010</v>
      </c>
      <c r="C39" s="203">
        <f>C4*'Statii de transfer'!$G$6</f>
        <v>12517.795018266357</v>
      </c>
      <c r="D39" s="203">
        <f>D4*'Statii de transfer'!$G$6</f>
        <v>2148.5300564596482</v>
      </c>
      <c r="E39" s="203">
        <f>E4*'Statii de transfer'!$G$6</f>
        <v>1984.4352042510793</v>
      </c>
      <c r="F39" s="203">
        <f>F4*'Statii de transfer'!$G$6</f>
        <v>1237.6645632680172</v>
      </c>
      <c r="G39" s="203">
        <f>G4*'Statii de transfer'!$G$6</f>
        <v>2640.1192959149785</v>
      </c>
      <c r="H39" s="203">
        <f>H4*'Statii de transfer'!$G$6</f>
        <v>1092.3432746595815</v>
      </c>
      <c r="I39" s="203">
        <f>I4*'Statii de transfer'!$G$6</f>
        <v>3699.7826635669212</v>
      </c>
      <c r="J39" s="203">
        <f>J4*'Statii de transfer'!$G$6</f>
        <v>1994.1696446363335</v>
      </c>
      <c r="K39" s="203">
        <f>K4*'Statii de transfer'!$G$6</f>
        <v>4089.1602789770841</v>
      </c>
      <c r="L39" s="223">
        <f>SUM(C39:K39)</f>
        <v>31404.000000000004</v>
      </c>
      <c r="M39" s="121">
        <f>L39-'Statii de transfer'!C6</f>
        <v>0</v>
      </c>
    </row>
    <row r="40" spans="2:13" x14ac:dyDescent="0.25">
      <c r="B40" s="10">
        <v>2011</v>
      </c>
      <c r="C40" s="11">
        <f>C5*'Statii de transfer'!$G$6</f>
        <v>13706.092062437729</v>
      </c>
      <c r="D40" s="11">
        <f>D5*'Statii de transfer'!$G$6</f>
        <v>2544.8608435735637</v>
      </c>
      <c r="E40" s="11">
        <f>E5*'Statii de transfer'!$G$6</f>
        <v>2350.8673530388578</v>
      </c>
      <c r="F40" s="11">
        <f>F5*'Statii de transfer'!$G$6</f>
        <v>1466.4239123214879</v>
      </c>
      <c r="G40" s="11">
        <f>G5*'Statii de transfer'!$G$6</f>
        <v>3126.8413151776817</v>
      </c>
      <c r="H40" s="11">
        <f>H5*'Statii de transfer'!$G$6</f>
        <v>1293.9852540684158</v>
      </c>
      <c r="I40" s="11">
        <f>I5*'Statii de transfer'!$G$6</f>
        <v>4342.2557289936894</v>
      </c>
      <c r="J40" s="11">
        <f>J5*'Statii de transfer'!$G$6</f>
        <v>2358.5158419129857</v>
      </c>
      <c r="K40" s="11">
        <f>K5*'Statii de transfer'!$G$6</f>
        <v>4835.2356027897713</v>
      </c>
      <c r="L40" s="96">
        <f t="shared" ref="L40:L68" si="1">SUM(C40:K40)</f>
        <v>36025.077914314177</v>
      </c>
    </row>
    <row r="41" spans="2:13" x14ac:dyDescent="0.25">
      <c r="B41" s="10">
        <v>2012</v>
      </c>
      <c r="C41" s="11">
        <f>C6*'Statii de transfer'!$G$6</f>
        <v>14151.79036864829</v>
      </c>
      <c r="D41" s="11">
        <f>D6*'Statii de transfer'!$G$6</f>
        <v>2686.7055463301231</v>
      </c>
      <c r="E41" s="11">
        <f>E6*'Statii de transfer'!$G$6</f>
        <v>2481.5869810694121</v>
      </c>
      <c r="F41" s="11">
        <f>F6*'Statii de transfer'!$G$6</f>
        <v>1548.4713384257723</v>
      </c>
      <c r="G41" s="11">
        <f>G6*'Statii de transfer'!$G$6</f>
        <v>3301.3659249418797</v>
      </c>
      <c r="H41" s="11">
        <f>H6*'Statii de transfer'!$G$6</f>
        <v>1366.2982397874462</v>
      </c>
      <c r="I41" s="11">
        <f>I6*'Statii de transfer'!$G$6</f>
        <v>4573.1010295582864</v>
      </c>
      <c r="J41" s="11">
        <f>J6*'Statii de transfer'!$G$6</f>
        <v>2488.5401527731651</v>
      </c>
      <c r="K41" s="11">
        <f>K6*'Statii de transfer'!$G$6</f>
        <v>5102.932713384258</v>
      </c>
      <c r="L41" s="96">
        <f t="shared" si="1"/>
        <v>37700.79229491864</v>
      </c>
    </row>
    <row r="42" spans="2:13" s="1" customFormat="1" x14ac:dyDescent="0.25">
      <c r="B42" s="4">
        <v>2013</v>
      </c>
      <c r="C42" s="203">
        <f>C7*'Statii de transfer'!$G$7</f>
        <v>13732.220260598275</v>
      </c>
      <c r="D42" s="203">
        <f>D7*'Statii de transfer'!$G$7</f>
        <v>2606.9331804000735</v>
      </c>
      <c r="E42" s="203">
        <f>E7*'Statii de transfer'!$G$7</f>
        <v>2408.2073958524502</v>
      </c>
      <c r="F42" s="203">
        <f>F7*'Statii de transfer'!$G$7</f>
        <v>1502.528060194531</v>
      </c>
      <c r="G42" s="203">
        <f>G7*'Statii de transfer'!$G$7</f>
        <v>3203.7819049366858</v>
      </c>
      <c r="H42" s="203">
        <f>H7*'Statii de transfer'!$G$7</f>
        <v>1325.2861442466508</v>
      </c>
      <c r="I42" s="203">
        <f>I7*'Statii de transfer'!$G$7</f>
        <v>4437.7616076344284</v>
      </c>
      <c r="J42" s="203">
        <f>J7*'Statii de transfer'!$G$7</f>
        <v>2414.9211047898698</v>
      </c>
      <c r="K42" s="203">
        <f>K7*'Statii de transfer'!$G$7</f>
        <v>4951.3603413470364</v>
      </c>
      <c r="L42" s="223">
        <f t="shared" si="1"/>
        <v>36582.999999999993</v>
      </c>
      <c r="M42" s="121">
        <f>L42-'Statii de transfer'!C7</f>
        <v>0</v>
      </c>
    </row>
    <row r="43" spans="2:13" x14ac:dyDescent="0.25">
      <c r="B43" s="10">
        <v>2014</v>
      </c>
      <c r="C43" s="11">
        <f>C8*'Statii de transfer'!$G$7</f>
        <v>13536.851330519361</v>
      </c>
      <c r="D43" s="11">
        <f>D8*'Statii de transfer'!$G$7</f>
        <v>2717.7093778674985</v>
      </c>
      <c r="E43" s="11">
        <f>E8*'Statii de transfer'!$G$7</f>
        <v>2510.2557717012296</v>
      </c>
      <c r="F43" s="11">
        <f>F8*'Statii de transfer'!$G$7</f>
        <v>1566.3082951000183</v>
      </c>
      <c r="G43" s="11">
        <f>G8*'Statii de transfer'!$G$7</f>
        <v>3339.3988254725637</v>
      </c>
      <c r="H43" s="11">
        <f>H8*'Statii de transfer'!$G$7</f>
        <v>1381.6812993209762</v>
      </c>
      <c r="I43" s="11">
        <f>I8*'Statii de transfer'!$G$7</f>
        <v>4427.6910442282988</v>
      </c>
      <c r="J43" s="11">
        <f>J8*'Statii de transfer'!$G$7</f>
        <v>2427.0057808772253</v>
      </c>
      <c r="K43" s="11">
        <f>K8*'Statii de transfer'!$G$7</f>
        <v>4976.2010644154889</v>
      </c>
      <c r="L43" s="96">
        <f t="shared" si="1"/>
        <v>36883.102789502656</v>
      </c>
    </row>
    <row r="44" spans="2:13" x14ac:dyDescent="0.25">
      <c r="B44" s="10">
        <v>2015</v>
      </c>
      <c r="C44" s="11">
        <f>C9*'Statii de transfer'!$G$7</f>
        <v>13289.786841622315</v>
      </c>
      <c r="D44" s="11">
        <f>D9*'Statii de transfer'!$G$7</f>
        <v>2826.4714626536979</v>
      </c>
      <c r="E44" s="11">
        <f>E9*'Statii de transfer'!$G$7</f>
        <v>2610.9614057625254</v>
      </c>
      <c r="F44" s="11">
        <f>F9*'Statii de transfer'!$G$7</f>
        <v>1628.7457882180217</v>
      </c>
      <c r="G44" s="11">
        <f>G9*'Statii de transfer'!$G$7</f>
        <v>3473.6730042209579</v>
      </c>
      <c r="H44" s="11">
        <f>H9*'Statii de transfer'!$G$7</f>
        <v>1437.4050835015598</v>
      </c>
      <c r="I44" s="11">
        <f>I9*'Statii de transfer'!$G$7</f>
        <v>4407.5499174160395</v>
      </c>
      <c r="J44" s="11">
        <f>J9*'Statii de transfer'!$G$7</f>
        <v>2431.705377133419</v>
      </c>
      <c r="K44" s="11">
        <f>K9*'Statii de transfer'!$G$7</f>
        <v>4990.9712240778126</v>
      </c>
      <c r="L44" s="96">
        <f t="shared" si="1"/>
        <v>37097.270104606345</v>
      </c>
    </row>
    <row r="45" spans="2:13" s="1" customFormat="1" x14ac:dyDescent="0.25">
      <c r="B45" s="4">
        <v>2016</v>
      </c>
      <c r="C45" s="203">
        <f>C10*'Statii de transfer'!$G$8</f>
        <v>13066.618878726775</v>
      </c>
      <c r="D45" s="203">
        <f>D10*'Statii de transfer'!$G$8</f>
        <v>2913.6703874405875</v>
      </c>
      <c r="E45" s="203">
        <f>E10*'Statii de transfer'!$G$8</f>
        <v>2691.1914158144891</v>
      </c>
      <c r="F45" s="203">
        <f>F10*'Statii de transfer'!$G$8</f>
        <v>1679.314165346392</v>
      </c>
      <c r="G45" s="203">
        <f>G10*'Statii de transfer'!$G$8</f>
        <v>3580.4371849344661</v>
      </c>
      <c r="H45" s="203">
        <f>H10*'Statii de transfer'!$G$8</f>
        <v>1481.6295369436841</v>
      </c>
      <c r="I45" s="203">
        <f>I10*'Statii de transfer'!$G$8</f>
        <v>4379.2171071582889</v>
      </c>
      <c r="J45" s="203">
        <f>J10*'Statii de transfer'!$G$8</f>
        <v>2432.5261054299294</v>
      </c>
      <c r="K45" s="203">
        <f>K10*'Statii de transfer'!$G$8</f>
        <v>4996.3952182053863</v>
      </c>
      <c r="L45" s="223">
        <f t="shared" si="1"/>
        <v>37221</v>
      </c>
      <c r="M45" s="121">
        <f>L45-'Statii de transfer'!C8</f>
        <v>0</v>
      </c>
    </row>
    <row r="46" spans="2:13" x14ac:dyDescent="0.25">
      <c r="B46" s="10">
        <v>2017</v>
      </c>
      <c r="C46" s="11">
        <f>C11*'Statii de transfer'!$G$8</f>
        <v>12860.222724326659</v>
      </c>
      <c r="D46" s="11">
        <f>D11*'Statii de transfer'!$G$8</f>
        <v>3009.4971734120695</v>
      </c>
      <c r="E46" s="11">
        <f>E11*'Statii de transfer'!$G$8</f>
        <v>2779.6469105573956</v>
      </c>
      <c r="F46" s="11">
        <f>F11*'Statii de transfer'!$G$8</f>
        <v>1734.2637908685006</v>
      </c>
      <c r="G46" s="11">
        <f>G11*'Statii de transfer'!$G$8</f>
        <v>3697.7077272072588</v>
      </c>
      <c r="H46" s="11">
        <f>H11*'Statii de transfer'!$G$8</f>
        <v>1529.8779886216332</v>
      </c>
      <c r="I46" s="11">
        <f>I11*'Statii de transfer'!$G$8</f>
        <v>4359.1135856258097</v>
      </c>
      <c r="J46" s="11">
        <f>J11*'Statii de transfer'!$G$8</f>
        <v>2437.2169271208409</v>
      </c>
      <c r="K46" s="11">
        <f>K11*'Statii de transfer'!$G$8</f>
        <v>5011.1378006625373</v>
      </c>
      <c r="L46" s="96">
        <f t="shared" si="1"/>
        <v>37418.684628402705</v>
      </c>
    </row>
    <row r="47" spans="2:13" x14ac:dyDescent="0.25">
      <c r="B47" s="10">
        <v>2018</v>
      </c>
      <c r="C47" s="11">
        <f>C12*'Statii de transfer'!$G$8</f>
        <v>12645.115043929136</v>
      </c>
      <c r="D47" s="11">
        <f>D12*'Statii de transfer'!$G$8</f>
        <v>3108.0044289212155</v>
      </c>
      <c r="E47" s="11">
        <f>E12*'Statii de transfer'!$G$8</f>
        <v>2870.7828748379661</v>
      </c>
      <c r="F47" s="11">
        <f>F12*'Statii de transfer'!$G$8</f>
        <v>1791.223768543857</v>
      </c>
      <c r="G47" s="11">
        <f>G12*'Statii de transfer'!$G$8</f>
        <v>3819.6690911709634</v>
      </c>
      <c r="H47" s="11">
        <f>H12*'Statii de transfer'!$G$8</f>
        <v>1586.8379662969896</v>
      </c>
      <c r="I47" s="11">
        <f>I12*'Statii de transfer'!$G$8</f>
        <v>4339.6801814777473</v>
      </c>
      <c r="J47" s="11">
        <f>J12*'Statii de transfer'!$G$8</f>
        <v>2441.9077488117528</v>
      </c>
      <c r="K47" s="11">
        <f>K12*'Statii de transfer'!$G$8</f>
        <v>5026.5505005041041</v>
      </c>
      <c r="L47" s="96">
        <f t="shared" si="1"/>
        <v>37629.771604493726</v>
      </c>
    </row>
    <row r="48" spans="2:13" x14ac:dyDescent="0.25">
      <c r="B48" s="10">
        <v>2019</v>
      </c>
      <c r="C48" s="11">
        <f>C13*'Statii de transfer'!$G$8</f>
        <v>12421.295837534206</v>
      </c>
      <c r="D48" s="11">
        <f>D13*'Statii de transfer'!$G$8</f>
        <v>3210.5323887368572</v>
      </c>
      <c r="E48" s="11">
        <f>E13*'Statii de transfer'!$G$8</f>
        <v>2965.9395434250323</v>
      </c>
      <c r="F48" s="11">
        <f>F13*'Statii de transfer'!$G$8</f>
        <v>1850.1940983724614</v>
      </c>
      <c r="G48" s="11">
        <f>G13*'Statii de transfer'!$G$8</f>
        <v>3945.6511594411636</v>
      </c>
      <c r="H48" s="11">
        <f>H13*'Statii de transfer'!$G$8</f>
        <v>1632.4059484372749</v>
      </c>
      <c r="I48" s="11">
        <f>I13*'Statii de transfer'!$G$8</f>
        <v>4320.2467773296839</v>
      </c>
      <c r="J48" s="11">
        <f>J13*'Statii de transfer'!$G$8</f>
        <v>2447.2686878870804</v>
      </c>
      <c r="K48" s="11">
        <f>K13*'Statii de transfer'!$G$8</f>
        <v>5041.293082961256</v>
      </c>
      <c r="L48" s="96">
        <f t="shared" si="1"/>
        <v>37834.827524125008</v>
      </c>
    </row>
    <row r="49" spans="2:13" s="1" customFormat="1" x14ac:dyDescent="0.25">
      <c r="B49" s="4">
        <v>2020</v>
      </c>
      <c r="C49" s="203">
        <f>C14*'Statii de transfer'!$G$9</f>
        <v>12156.695054945054</v>
      </c>
      <c r="D49" s="203">
        <f>D14*'Statii de transfer'!$G$9</f>
        <v>3308.7172442941669</v>
      </c>
      <c r="E49" s="203">
        <f>E14*'Statii de transfer'!$G$9</f>
        <v>3056.0515638207944</v>
      </c>
      <c r="F49" s="203">
        <f>F14*'Statii de transfer'!$G$9</f>
        <v>1907.0243026204564</v>
      </c>
      <c r="G49" s="203">
        <f>G14*'Statii de transfer'!$G$9</f>
        <v>4066.0458579881652</v>
      </c>
      <c r="H49" s="203">
        <f>H14*'Statii de transfer'!$G$9</f>
        <v>1682.432586644125</v>
      </c>
      <c r="I49" s="203">
        <f>I14*'Statii de transfer'!$G$9</f>
        <v>4289.9691462383771</v>
      </c>
      <c r="J49" s="203">
        <f>J14*'Statii de transfer'!$G$9</f>
        <v>2445.7770498732034</v>
      </c>
      <c r="K49" s="203">
        <f>K14*'Statii de transfer'!$G$9</f>
        <v>5043.2871935756548</v>
      </c>
      <c r="L49" s="223">
        <f>SUM(C49:K49)</f>
        <v>37956</v>
      </c>
      <c r="M49" s="121">
        <f>L49-'Statii de transfer'!C9</f>
        <v>0</v>
      </c>
    </row>
    <row r="50" spans="2:13" x14ac:dyDescent="0.25">
      <c r="B50" s="10">
        <v>2021</v>
      </c>
      <c r="C50" s="11">
        <f>C15*'Statii de transfer'!$G$9</f>
        <v>12021.004226542687</v>
      </c>
      <c r="D50" s="11">
        <f>D15*'Statii de transfer'!$G$9</f>
        <v>3380.2390109890107</v>
      </c>
      <c r="E50" s="11">
        <f>E15*'Statii de transfer'!$G$9</f>
        <v>3122.8943364327979</v>
      </c>
      <c r="F50" s="11">
        <f>F15*'Statii de transfer'!$G$9</f>
        <v>1947.7983939137785</v>
      </c>
      <c r="G50" s="11">
        <f>G15*'Statii de transfer'!$G$9</f>
        <v>4154.2783178360096</v>
      </c>
      <c r="H50" s="11">
        <f>H15*'Statii de transfer'!$G$9</f>
        <v>1719.1961115807269</v>
      </c>
      <c r="I50" s="11">
        <f>I15*'Statii de transfer'!$G$9</f>
        <v>4270.5847421808958</v>
      </c>
      <c r="J50" s="11">
        <f>J15*'Statii de transfer'!$G$9</f>
        <v>2450.4560439560437</v>
      </c>
      <c r="K50" s="11">
        <f>K15*'Statii de transfer'!$G$9</f>
        <v>5058.6610312764151</v>
      </c>
      <c r="L50" s="96">
        <f t="shared" si="1"/>
        <v>38125.112214708366</v>
      </c>
    </row>
    <row r="51" spans="2:13" x14ac:dyDescent="0.25">
      <c r="B51" s="10">
        <v>2022</v>
      </c>
      <c r="C51" s="11">
        <f>C16*'Statii de transfer'!$G$9</f>
        <v>11881.3028317836</v>
      </c>
      <c r="D51" s="11">
        <f>D16*'Statii de transfer'!$G$9</f>
        <v>3453.7660608622145</v>
      </c>
      <c r="E51" s="11">
        <f>E16*'Statii de transfer'!$G$9</f>
        <v>3190.4055367709211</v>
      </c>
      <c r="F51" s="11">
        <f>F16*'Statii de transfer'!$G$9</f>
        <v>1990.5777683854606</v>
      </c>
      <c r="G51" s="11">
        <f>G16*'Statii de transfer'!$G$9</f>
        <v>4244.5160608622145</v>
      </c>
      <c r="H51" s="11">
        <f>H16*'Statii de transfer'!$G$9</f>
        <v>1756.6280642434488</v>
      </c>
      <c r="I51" s="11">
        <f>I16*'Statii de transfer'!$G$9</f>
        <v>4251.8687658495346</v>
      </c>
      <c r="J51" s="11">
        <f>J16*'Statii de transfer'!$G$9</f>
        <v>2455.8034657650041</v>
      </c>
      <c r="K51" s="11">
        <f>K16*'Statii de transfer'!$G$9</f>
        <v>5073.3664412510561</v>
      </c>
      <c r="L51" s="96">
        <f t="shared" si="1"/>
        <v>38298.234995773455</v>
      </c>
    </row>
    <row r="52" spans="2:13" x14ac:dyDescent="0.25">
      <c r="B52" s="10">
        <v>2023</v>
      </c>
      <c r="C52" s="11">
        <f>C17*'Statii de transfer'!$G$9</f>
        <v>11736.922442941674</v>
      </c>
      <c r="D52" s="11">
        <f>D17*'Statii de transfer'!$G$9</f>
        <v>3529.2983939137785</v>
      </c>
      <c r="E52" s="11">
        <f>E17*'Statii de transfer'!$G$9</f>
        <v>3259.9220202874048</v>
      </c>
      <c r="F52" s="11">
        <f>F17*'Statii de transfer'!$G$9</f>
        <v>2034.0255705832628</v>
      </c>
      <c r="G52" s="11">
        <f>G17*'Statii de transfer'!$G$9</f>
        <v>4336.7590870667791</v>
      </c>
      <c r="H52" s="11">
        <f>H17*'Statii de transfer'!$G$9</f>
        <v>1794.7284446322906</v>
      </c>
      <c r="I52" s="11">
        <f>I17*'Statii de transfer'!$G$9</f>
        <v>4233.1527895181734</v>
      </c>
      <c r="J52" s="11">
        <f>J17*'Statii de transfer'!$G$9</f>
        <v>2460.4824598478444</v>
      </c>
      <c r="K52" s="11">
        <f>K17*'Statii de transfer'!$G$9</f>
        <v>5088.7402789518173</v>
      </c>
      <c r="L52" s="96">
        <f t="shared" si="1"/>
        <v>38474.031487743028</v>
      </c>
    </row>
    <row r="53" spans="2:13" x14ac:dyDescent="0.25">
      <c r="B53" s="10">
        <v>2024</v>
      </c>
      <c r="C53" s="11">
        <f>C18*'Statii de transfer'!$G$9</f>
        <v>11588.531487743025</v>
      </c>
      <c r="D53" s="11">
        <f>D18*'Statii de transfer'!$G$9</f>
        <v>3606.1675824175823</v>
      </c>
      <c r="E53" s="11">
        <f>E18*'Statii de transfer'!$G$9</f>
        <v>3331.4437869822482</v>
      </c>
      <c r="F53" s="11">
        <f>F18*'Statii de transfer'!$G$9</f>
        <v>2078.1418005071851</v>
      </c>
      <c r="G53" s="11">
        <f>G18*'Statii de transfer'!$G$9</f>
        <v>4431.6758241758234</v>
      </c>
      <c r="H53" s="11">
        <f>H18*'Statii de transfer'!$G$9</f>
        <v>1833.4972527472526</v>
      </c>
      <c r="I53" s="11">
        <f>I18*'Statii de transfer'!$G$9</f>
        <v>4214.4368131868132</v>
      </c>
      <c r="J53" s="11">
        <f>J18*'Statii de transfer'!$G$9</f>
        <v>2465.8298816568044</v>
      </c>
      <c r="K53" s="11">
        <f>K18*'Statii de transfer'!$G$9</f>
        <v>5104.1141166525776</v>
      </c>
      <c r="L53" s="96">
        <f t="shared" si="1"/>
        <v>38653.838546069317</v>
      </c>
    </row>
    <row r="54" spans="2:13" s="1" customFormat="1" x14ac:dyDescent="0.25">
      <c r="B54" s="4">
        <v>2025</v>
      </c>
      <c r="C54" s="203">
        <f>C19*'Statii de transfer'!$G$10</f>
        <v>11409.553750301193</v>
      </c>
      <c r="D54" s="203">
        <f>D19*'Statii de transfer'!$G$10</f>
        <v>3676.6933496265187</v>
      </c>
      <c r="E54" s="203">
        <f>E19*'Statii de transfer'!$G$10</f>
        <v>3396.5897387353275</v>
      </c>
      <c r="F54" s="203">
        <f>F19*'Statii de transfer'!$G$10</f>
        <v>2118.7837423840829</v>
      </c>
      <c r="G54" s="203">
        <f>G19*'Statii de transfer'!$G$10</f>
        <v>4518.338009018622</v>
      </c>
      <c r="H54" s="203">
        <f>H19*'Statii de transfer'!$G$10</f>
        <v>1869.3581460190699</v>
      </c>
      <c r="I54" s="203">
        <f>I19*'Statii de transfer'!$G$10</f>
        <v>4186.2151561047813</v>
      </c>
      <c r="J54" s="203">
        <f>J19*'Statii de transfer'!$G$10</f>
        <v>2464.9117758424836</v>
      </c>
      <c r="K54" s="203">
        <f>K19*'Statii de transfer'!$G$10</f>
        <v>5107.8894186086536</v>
      </c>
      <c r="L54" s="223">
        <f t="shared" si="1"/>
        <v>38748.333086640734</v>
      </c>
      <c r="M54" s="121">
        <f>L54-'Statii de transfer'!C10</f>
        <v>-0.6669133592658909</v>
      </c>
    </row>
    <row r="55" spans="2:13" x14ac:dyDescent="0.25">
      <c r="B55" s="10">
        <v>2026</v>
      </c>
      <c r="C55" s="11">
        <f>C20*'Statii de transfer'!$G$10</f>
        <v>11252.162197514715</v>
      </c>
      <c r="D55" s="11">
        <f>D20*'Statii de transfer'!$G$10</f>
        <v>3757.3898660975524</v>
      </c>
      <c r="E55" s="11">
        <f>E20*'Statii de transfer'!$G$10</f>
        <v>3471.2840349729781</v>
      </c>
      <c r="F55" s="11">
        <f>F20*'Statii de transfer'!$G$10</f>
        <v>2165.4676775326147</v>
      </c>
      <c r="G55" s="11">
        <f>G20*'Statii de transfer'!$G$10</f>
        <v>4617.7080995490687</v>
      </c>
      <c r="H55" s="11">
        <f>H20*'Statii de transfer'!$G$10</f>
        <v>1910.7067742934837</v>
      </c>
      <c r="I55" s="11">
        <f>I20*'Statii de transfer'!$G$10</f>
        <v>4168.2084954046331</v>
      </c>
      <c r="J55" s="11">
        <f>J20*'Statii de transfer'!$G$10</f>
        <v>2469.5801693573371</v>
      </c>
      <c r="K55" s="11">
        <f>K20*'Statii de transfer'!$G$10</f>
        <v>5122.5615125124777</v>
      </c>
      <c r="L55" s="96">
        <f t="shared" si="1"/>
        <v>38935.068827234856</v>
      </c>
    </row>
    <row r="56" spans="2:13" x14ac:dyDescent="0.25">
      <c r="B56" s="10">
        <v>2027</v>
      </c>
      <c r="C56" s="11">
        <f>C21*'Statii de transfer'!$G$10</f>
        <v>11057.42349660941</v>
      </c>
      <c r="D56" s="11">
        <f>D21*'Statii de transfer'!$G$10</f>
        <v>3828.7495955388795</v>
      </c>
      <c r="E56" s="11">
        <f>E21*'Statii de transfer'!$G$10</f>
        <v>3536.6415441809231</v>
      </c>
      <c r="F56" s="11">
        <f>F21*'Statii de transfer'!$G$10</f>
        <v>2206.1493924477641</v>
      </c>
      <c r="G56" s="11">
        <f>G21*'Statii de transfer'!$G$10</f>
        <v>4705.0737496127495</v>
      </c>
      <c r="H56" s="11">
        <f>H21*'Statii de transfer'!$G$10</f>
        <v>1946.7200956937797</v>
      </c>
      <c r="I56" s="11">
        <f>I21*'Statii de transfer'!$G$10</f>
        <v>4137.5304808784549</v>
      </c>
      <c r="J56" s="11">
        <f>J21*'Statii de transfer'!$G$10</f>
        <v>2467.5794292795426</v>
      </c>
      <c r="K56" s="11">
        <f>K21*'Statii de transfer'!$G$10</f>
        <v>5122.5615125124777</v>
      </c>
      <c r="L56" s="96">
        <f t="shared" si="1"/>
        <v>39008.42929675398</v>
      </c>
    </row>
    <row r="57" spans="2:13" x14ac:dyDescent="0.25">
      <c r="B57" s="10">
        <v>2028</v>
      </c>
      <c r="C57" s="11">
        <f>C22*'Statii de transfer'!$G$10</f>
        <v>10858.683315548516</v>
      </c>
      <c r="D57" s="11">
        <f>D22*'Statii de transfer'!$G$10</f>
        <v>3901.4431516987365</v>
      </c>
      <c r="E57" s="11">
        <f>E22*'Statii de transfer'!$G$10</f>
        <v>3603.9997934666617</v>
      </c>
      <c r="F57" s="11">
        <f>F22*'Statii de transfer'!$G$10</f>
        <v>2248.1649340814429</v>
      </c>
      <c r="G57" s="11">
        <f>G22*'Statii de transfer'!$G$10</f>
        <v>4793.7732263949601</v>
      </c>
      <c r="H57" s="11">
        <f>H22*'Statii de transfer'!$G$10</f>
        <v>1983.4003304533405</v>
      </c>
      <c r="I57" s="11">
        <f>I22*'Statii de transfer'!$G$10</f>
        <v>4106.8524663522767</v>
      </c>
      <c r="J57" s="11">
        <f>J22*'Statii de transfer'!$G$10</f>
        <v>2464.9117758424836</v>
      </c>
      <c r="K57" s="11">
        <f>K22*'Statii de transfer'!$G$10</f>
        <v>5122.5615125124777</v>
      </c>
      <c r="L57" s="96">
        <f t="shared" si="1"/>
        <v>39083.790506350895</v>
      </c>
    </row>
    <row r="58" spans="2:13" x14ac:dyDescent="0.25">
      <c r="B58" s="10">
        <v>2029</v>
      </c>
      <c r="C58" s="11">
        <f>C23*'Statii de transfer'!$G$10</f>
        <v>10655.941654332037</v>
      </c>
      <c r="D58" s="11">
        <f>D23*'Statii de transfer'!$G$10</f>
        <v>3975.4705345771226</v>
      </c>
      <c r="E58" s="11">
        <f>E23*'Statii de transfer'!$G$10</f>
        <v>3672.0249561116652</v>
      </c>
      <c r="F58" s="11">
        <f>F23*'Statii de transfer'!$G$10</f>
        <v>2290.8473890743862</v>
      </c>
      <c r="G58" s="11">
        <f>G23*'Statii de transfer'!$G$10</f>
        <v>4885.1403566142299</v>
      </c>
      <c r="H58" s="11">
        <f>H23*'Statii de transfer'!$G$10</f>
        <v>2021.4143919314308</v>
      </c>
      <c r="I58" s="11">
        <f>I23*'Statii de transfer'!$G$10</f>
        <v>4077.508278544628</v>
      </c>
      <c r="J58" s="11">
        <f>J23*'Statii de transfer'!$G$10</f>
        <v>2462.9110357646896</v>
      </c>
      <c r="K58" s="11">
        <f>K23*'Statii de transfer'!$G$10</f>
        <v>5122.5615125124777</v>
      </c>
      <c r="L58" s="96">
        <f t="shared" si="1"/>
        <v>39163.820109462664</v>
      </c>
    </row>
    <row r="59" spans="2:13" s="1" customFormat="1" x14ac:dyDescent="0.25">
      <c r="B59" s="4">
        <v>2030</v>
      </c>
      <c r="C59" s="203">
        <f>C24*'Statii de transfer'!$G$11</f>
        <v>10423.101447797715</v>
      </c>
      <c r="D59" s="203">
        <f>D24*'Statii de transfer'!$G$11</f>
        <v>4041.1220432300161</v>
      </c>
      <c r="E59" s="203">
        <f>E24*'Statii de transfer'!$G$11</f>
        <v>3732.4667958129417</v>
      </c>
      <c r="F59" s="203">
        <f>F24*'Statii de transfer'!$G$11</f>
        <v>2328.8836663947795</v>
      </c>
      <c r="G59" s="203">
        <f>G24*'Statii de transfer'!$G$11</f>
        <v>4965.7573749320281</v>
      </c>
      <c r="H59" s="203">
        <f>H24*'Statii de transfer'!$G$11</f>
        <v>2054.8190932572047</v>
      </c>
      <c r="I59" s="203">
        <f>I24*'Statii de transfer'!$G$11</f>
        <v>4037.1308115823813</v>
      </c>
      <c r="J59" s="203">
        <f>J24*'Statii de transfer'!$G$11</f>
        <v>2453.9422580206633</v>
      </c>
      <c r="K59" s="203">
        <f>K24*'Statii de transfer'!$G$11</f>
        <v>5109.4417142468728</v>
      </c>
      <c r="L59" s="223">
        <f t="shared" si="1"/>
        <v>39146.665205274607</v>
      </c>
      <c r="M59" s="121">
        <f>L59-'Statii de transfer'!C11</f>
        <v>0.66520527460670564</v>
      </c>
    </row>
    <row r="60" spans="2:13" x14ac:dyDescent="0.25">
      <c r="B60" s="10">
        <v>2031</v>
      </c>
      <c r="C60" s="11">
        <f>C25*'Statii de transfer'!$G$11</f>
        <v>10300.038471995649</v>
      </c>
      <c r="D60" s="11">
        <f>D25*'Statii de transfer'!$G$11</f>
        <v>4086.3560019032079</v>
      </c>
      <c r="E60" s="11">
        <f>E25*'Statii de transfer'!$G$11</f>
        <v>3775.0399333877103</v>
      </c>
      <c r="F60" s="11">
        <f>F25*'Statii de transfer'!$G$11</f>
        <v>2354.8266721044042</v>
      </c>
      <c r="G60" s="11">
        <f>G25*'Statii de transfer'!$G$11</f>
        <v>5021.6346179989123</v>
      </c>
      <c r="H60" s="11">
        <f>H25*'Statii de transfer'!$G$11</f>
        <v>2078.1012778684067</v>
      </c>
      <c r="I60" s="11">
        <f>I25*'Statii de transfer'!$G$11</f>
        <v>4007.8617794997276</v>
      </c>
      <c r="J60" s="11">
        <f>J25*'Statii de transfer'!$G$11</f>
        <v>2451.2814369222401</v>
      </c>
      <c r="K60" s="11">
        <f>K25*'Statii de transfer'!$G$11</f>
        <v>5109.4417142468728</v>
      </c>
      <c r="L60" s="96">
        <f t="shared" si="1"/>
        <v>39184.581905927131</v>
      </c>
    </row>
    <row r="61" spans="2:13" x14ac:dyDescent="0.25">
      <c r="B61" s="10">
        <v>2032</v>
      </c>
      <c r="C61" s="11">
        <f>C26*'Statii de transfer'!$G$11</f>
        <v>10174.979880369765</v>
      </c>
      <c r="D61" s="11">
        <f>D26*'Statii de transfer'!$G$11</f>
        <v>4132.9203711256114</v>
      </c>
      <c r="E61" s="11">
        <f>E26*'Statii de transfer'!$G$11</f>
        <v>3817.6130709624795</v>
      </c>
      <c r="F61" s="11">
        <f>F26*'Statii de transfer'!$G$11</f>
        <v>2381.4348830886352</v>
      </c>
      <c r="G61" s="11">
        <f>G26*'Statii de transfer'!$G$11</f>
        <v>5078.1770663404022</v>
      </c>
      <c r="H61" s="11">
        <f>H26*'Statii de transfer'!$G$11</f>
        <v>2101.3834624796082</v>
      </c>
      <c r="I61" s="11">
        <f>I26*'Statii de transfer'!$G$11</f>
        <v>3978.5927474170744</v>
      </c>
      <c r="J61" s="11">
        <f>J26*'Statii de transfer'!$G$11</f>
        <v>2449.2858210984227</v>
      </c>
      <c r="K61" s="11">
        <f>K26*'Statii de transfer'!$G$11</f>
        <v>5109.4417142468728</v>
      </c>
      <c r="L61" s="96">
        <f t="shared" si="1"/>
        <v>39223.829017128868</v>
      </c>
    </row>
    <row r="62" spans="2:13" x14ac:dyDescent="0.25">
      <c r="B62" s="10">
        <v>2033</v>
      </c>
      <c r="C62" s="11">
        <f>C27*'Statii de transfer'!$G$11</f>
        <v>10048.590878194671</v>
      </c>
      <c r="D62" s="11">
        <f>D27*'Statii de transfer'!$G$11</f>
        <v>4179.4847403480153</v>
      </c>
      <c r="E62" s="11">
        <f>E27*'Statii de transfer'!$G$11</f>
        <v>3860.8514138118539</v>
      </c>
      <c r="F62" s="11">
        <f>F27*'Statii de transfer'!$G$11</f>
        <v>2408.7082993474714</v>
      </c>
      <c r="G62" s="11">
        <f>G27*'Statii de transfer'!$G$11</f>
        <v>5136.0499252311038</v>
      </c>
      <c r="H62" s="11">
        <f>H27*'Statii de transfer'!$G$11</f>
        <v>2125.3308523654159</v>
      </c>
      <c r="I62" s="11">
        <f>I27*'Statii de transfer'!$G$11</f>
        <v>3949.9889206090265</v>
      </c>
      <c r="J62" s="11">
        <f>J27*'Statii de transfer'!$G$11</f>
        <v>2446.625</v>
      </c>
      <c r="K62" s="11">
        <f>K27*'Statii de transfer'!$G$11</f>
        <v>5109.4417142468728</v>
      </c>
      <c r="L62" s="96">
        <f t="shared" si="1"/>
        <v>39265.071744154433</v>
      </c>
    </row>
    <row r="63" spans="2:13" x14ac:dyDescent="0.25">
      <c r="B63" s="10">
        <v>2034</v>
      </c>
      <c r="C63" s="11">
        <f>C28*'Statii de transfer'!$G$11</f>
        <v>9920.8714654703635</v>
      </c>
      <c r="D63" s="11">
        <f>D28*'Statii de transfer'!$G$11</f>
        <v>4226.7143148450241</v>
      </c>
      <c r="E63" s="11">
        <f>E28*'Statii de transfer'!$G$11</f>
        <v>3904.0897566612284</v>
      </c>
      <c r="F63" s="11">
        <f>F28*'Statii de transfer'!$G$11</f>
        <v>2435.9817156063077</v>
      </c>
      <c r="G63" s="11">
        <f>G28*'Statii de transfer'!$G$11</f>
        <v>5193.9227841218053</v>
      </c>
      <c r="H63" s="11">
        <f>H28*'Statii de transfer'!$G$11</f>
        <v>2149.2782422512232</v>
      </c>
      <c r="I63" s="11">
        <f>I28*'Statii de transfer'!$G$11</f>
        <v>3922.0502990755845</v>
      </c>
      <c r="J63" s="11">
        <f>J28*'Statii de transfer'!$G$11</f>
        <v>2444.6293841761826</v>
      </c>
      <c r="K63" s="11">
        <f>K28*'Statii de transfer'!$G$11</f>
        <v>5109.4417142468728</v>
      </c>
      <c r="L63" s="96">
        <f t="shared" si="1"/>
        <v>39306.979676454597</v>
      </c>
    </row>
    <row r="64" spans="2:13" s="1" customFormat="1" x14ac:dyDescent="0.25">
      <c r="B64" s="4">
        <v>2035</v>
      </c>
      <c r="C64" s="203">
        <f>C29*'Statii de transfer'!$G$12</f>
        <v>9775.0952582199316</v>
      </c>
      <c r="D64" s="203">
        <f>D29*'Statii de transfer'!$G$12</f>
        <v>4267.3072098723696</v>
      </c>
      <c r="E64" s="203">
        <f>E29*'Statii de transfer'!$G$12</f>
        <v>3941.9134139126027</v>
      </c>
      <c r="F64" s="203">
        <f>F29*'Statii de transfer'!$G$12</f>
        <v>2459.0474008959513</v>
      </c>
      <c r="G64" s="203">
        <f>G29*'Statii de transfer'!$G$12</f>
        <v>5244.1526667230155</v>
      </c>
      <c r="H64" s="203">
        <f>H29*'Statii de transfer'!$G$12</f>
        <v>2170.1773983602402</v>
      </c>
      <c r="I64" s="203">
        <f>I29*'Statii de transfer'!$G$12</f>
        <v>3886.795689290846</v>
      </c>
      <c r="J64" s="203">
        <f>J29*'Statii de transfer'!$G$12</f>
        <v>2437.7971938128644</v>
      </c>
      <c r="K64" s="203">
        <f>K29*'Statii de transfer'!$G$12</f>
        <v>5100.7137689121801</v>
      </c>
      <c r="L64" s="223">
        <f t="shared" si="1"/>
        <v>39283</v>
      </c>
      <c r="M64" s="121">
        <f>L64-'Statii de transfer'!C12</f>
        <v>0</v>
      </c>
    </row>
    <row r="65" spans="2:13" x14ac:dyDescent="0.25">
      <c r="B65" s="10">
        <v>2036</v>
      </c>
      <c r="C65" s="11">
        <f>C30*'Statii de transfer'!$G$12</f>
        <v>9690.0944298875838</v>
      </c>
      <c r="D65" s="11">
        <f>D30*'Statii de transfer'!$G$12</f>
        <v>4299.1825204969991</v>
      </c>
      <c r="E65" s="11">
        <f>E30*'Statii de transfer'!$G$12</f>
        <v>3971.132448651847</v>
      </c>
      <c r="F65" s="11">
        <f>F30*'Statii de transfer'!$G$12</f>
        <v>2477.6413320936522</v>
      </c>
      <c r="G65" s="11">
        <f>G30*'Statii de transfer'!$G$12</f>
        <v>5282.6686670611107</v>
      </c>
      <c r="H65" s="11">
        <f>H30*'Statii de transfer'!$G$12</f>
        <v>2186.1150536725554</v>
      </c>
      <c r="I65" s="11">
        <f>I30*'Statii de transfer'!$G$12</f>
        <v>3858.9047924942947</v>
      </c>
      <c r="J65" s="11">
        <f>J30*'Statii de transfer'!$G$12</f>
        <v>2435.1409179274788</v>
      </c>
      <c r="K65" s="11">
        <f>K30*'Statii de transfer'!$G$12</f>
        <v>5100.7137689121801</v>
      </c>
      <c r="L65" s="96">
        <f t="shared" si="1"/>
        <v>39301.593931197698</v>
      </c>
    </row>
    <row r="66" spans="2:13" x14ac:dyDescent="0.25">
      <c r="B66" s="10">
        <v>2037</v>
      </c>
      <c r="C66" s="11">
        <f>C31*'Statii de transfer'!$G$12</f>
        <v>9603.7654636125444</v>
      </c>
      <c r="D66" s="11">
        <f>D31*'Statii de transfer'!$G$12</f>
        <v>4331.0578311216295</v>
      </c>
      <c r="E66" s="11">
        <f>E31*'Statii de transfer'!$G$12</f>
        <v>4001.0155523624376</v>
      </c>
      <c r="F66" s="11">
        <f>F31*'Statii de transfer'!$G$12</f>
        <v>2496.2352632913535</v>
      </c>
      <c r="G66" s="11">
        <f>G31*'Statii de transfer'!$G$12</f>
        <v>5322.5128053418985</v>
      </c>
      <c r="H66" s="11">
        <f>H31*'Statii de transfer'!$G$12</f>
        <v>2202.0527089848702</v>
      </c>
      <c r="I66" s="11">
        <f>I31*'Statii de transfer'!$G$12</f>
        <v>3831.6779646690898</v>
      </c>
      <c r="J66" s="11">
        <f>J31*'Statii de transfer'!$G$12</f>
        <v>2433.1487110134394</v>
      </c>
      <c r="K66" s="11">
        <f>K31*'Statii de transfer'!$G$12</f>
        <v>5100.7137689121801</v>
      </c>
      <c r="L66" s="96">
        <f t="shared" si="1"/>
        <v>39322.180069309441</v>
      </c>
    </row>
    <row r="67" spans="2:13" x14ac:dyDescent="0.25">
      <c r="B67" s="10">
        <v>2038</v>
      </c>
      <c r="C67" s="11">
        <f>C32*'Statii de transfer'!$G$12</f>
        <v>9517.4364973375032</v>
      </c>
      <c r="D67" s="11">
        <f>D32*'Statii de transfer'!$G$12</f>
        <v>4363.5972107176067</v>
      </c>
      <c r="E67" s="11">
        <f>E32*'Statii de transfer'!$G$12</f>
        <v>4030.8986560730286</v>
      </c>
      <c r="F67" s="11">
        <f>F32*'Statii de transfer'!$G$12</f>
        <v>2514.8291944890543</v>
      </c>
      <c r="G67" s="11">
        <f>G32*'Statii de transfer'!$G$12</f>
        <v>5361.6928746513395</v>
      </c>
      <c r="H67" s="11">
        <f>H32*'Statii de transfer'!$G$12</f>
        <v>2218.6544332685321</v>
      </c>
      <c r="I67" s="11">
        <f>I32*'Statii de transfer'!$G$12</f>
        <v>3804.4511368438848</v>
      </c>
      <c r="J67" s="11">
        <f>J32*'Statii de transfer'!$G$12</f>
        <v>2430.4924351280533</v>
      </c>
      <c r="K67" s="11">
        <f>K32*'Statii de transfer'!$G$12</f>
        <v>5100.7137689121801</v>
      </c>
      <c r="L67" s="96">
        <f t="shared" si="1"/>
        <v>39342.766207421191</v>
      </c>
    </row>
    <row r="68" spans="2:13" s="1" customFormat="1" ht="15.75" thickBot="1" x14ac:dyDescent="0.3">
      <c r="B68" s="19">
        <v>2039</v>
      </c>
      <c r="C68" s="171">
        <f>C33*'Statii de transfer'!$G$13</f>
        <v>9421.0962936720807</v>
      </c>
      <c r="D68" s="171">
        <f>D33*'Statii de transfer'!$G$13</f>
        <v>4391.7792735799712</v>
      </c>
      <c r="E68" s="171">
        <f>E33*'Statii de transfer'!$G$13</f>
        <v>4056.7568365470584</v>
      </c>
      <c r="F68" s="171">
        <f>F33*'Statii de transfer'!$G$13</f>
        <v>2530.9120738228989</v>
      </c>
      <c r="G68" s="171">
        <f>G33*'Statii de transfer'!$G$13</f>
        <v>5396.8465846787112</v>
      </c>
      <c r="H68" s="171">
        <f>H33*'Statii de transfer'!$G$13</f>
        <v>2233.0406397084871</v>
      </c>
      <c r="I68" s="171">
        <f>I33*'Statii de transfer'!$G$13</f>
        <v>3773.4804392934861</v>
      </c>
      <c r="J68" s="171">
        <f>J33*'Statii de transfer'!$G$13</f>
        <v>2426.0931727314132</v>
      </c>
      <c r="K68" s="171">
        <f>K33*'Statii de transfer'!$G$13</f>
        <v>5095.6580967322907</v>
      </c>
      <c r="L68" s="73">
        <f t="shared" si="1"/>
        <v>39325.663410766399</v>
      </c>
      <c r="M68" s="121">
        <f>'Statii de transfer'!C13-L68</f>
        <v>-0.6634107663994655</v>
      </c>
    </row>
    <row r="71" spans="2:13" x14ac:dyDescent="0.25">
      <c r="B71" s="1" t="s">
        <v>586</v>
      </c>
    </row>
    <row r="72" spans="2:13" ht="15.75" thickBot="1" x14ac:dyDescent="0.3"/>
    <row r="73" spans="2:13" x14ac:dyDescent="0.25">
      <c r="B73" s="38" t="s">
        <v>182</v>
      </c>
      <c r="C73" s="34" t="s">
        <v>190</v>
      </c>
      <c r="D73" s="34" t="s">
        <v>191</v>
      </c>
      <c r="E73" s="34" t="s">
        <v>192</v>
      </c>
      <c r="F73" s="34" t="s">
        <v>193</v>
      </c>
      <c r="G73" s="34" t="s">
        <v>194</v>
      </c>
      <c r="H73" s="34" t="s">
        <v>195</v>
      </c>
      <c r="I73" s="34" t="s">
        <v>196</v>
      </c>
      <c r="J73" s="34" t="s">
        <v>197</v>
      </c>
      <c r="K73" s="34" t="s">
        <v>198</v>
      </c>
      <c r="L73" s="146" t="s">
        <v>27</v>
      </c>
    </row>
    <row r="74" spans="2:13" s="1" customFormat="1" x14ac:dyDescent="0.25">
      <c r="B74" s="4">
        <v>2010</v>
      </c>
      <c r="C74" s="203">
        <f>C4*'Statii de transfer'!$H$6</f>
        <v>5485.2049817336429</v>
      </c>
      <c r="D74" s="203">
        <f>D4*'Statii de transfer'!$H$6</f>
        <v>941.46994354035201</v>
      </c>
      <c r="E74" s="203">
        <f>E4*'Statii de transfer'!$H$6</f>
        <v>869.56479574892057</v>
      </c>
      <c r="F74" s="203">
        <f>F4*'Statii de transfer'!$H$6</f>
        <v>542.33543673198267</v>
      </c>
      <c r="G74" s="203">
        <f>G4*'Statii de transfer'!$H$6</f>
        <v>1156.8807040850215</v>
      </c>
      <c r="H74" s="203">
        <f>H4*'Statii de transfer'!$H$6</f>
        <v>478.65672534041846</v>
      </c>
      <c r="I74" s="203">
        <f>I4*'Statii de transfer'!$H$6</f>
        <v>1621.2173364330786</v>
      </c>
      <c r="J74" s="203">
        <f>J4*'Statii de transfer'!$H$6</f>
        <v>873.83035536366651</v>
      </c>
      <c r="K74" s="203">
        <f>K4*'Statii de transfer'!$H$6</f>
        <v>1791.8397210229159</v>
      </c>
      <c r="L74" s="35">
        <f>SUM(C74:K74)</f>
        <v>13761.000000000002</v>
      </c>
      <c r="M74" s="121">
        <f>L74-'Statii de transfer'!D6</f>
        <v>0</v>
      </c>
    </row>
    <row r="75" spans="2:13" x14ac:dyDescent="0.25">
      <c r="B75" s="10">
        <v>2011</v>
      </c>
      <c r="C75" s="11">
        <f>C5*'Statii de transfer'!$H$6</f>
        <v>6005.9079375622714</v>
      </c>
      <c r="D75" s="11">
        <f>D5*'Statii de transfer'!$H$6</f>
        <v>1115.1391564264363</v>
      </c>
      <c r="E75" s="11">
        <f>E5*'Statii de transfer'!$H$6</f>
        <v>1030.1326469611424</v>
      </c>
      <c r="F75" s="11">
        <f>F5*'Statii de transfer'!$H$6</f>
        <v>642.57608767851207</v>
      </c>
      <c r="G75" s="11">
        <f>G5*'Statii de transfer'!$H$6</f>
        <v>1370.158684822318</v>
      </c>
      <c r="H75" s="11">
        <f>H5*'Statii de transfer'!$H$6</f>
        <v>567.01474593158412</v>
      </c>
      <c r="I75" s="11">
        <f>I5*'Statii de transfer'!$H$6</f>
        <v>1902.7442710063101</v>
      </c>
      <c r="J75" s="11">
        <f>J5*'Statii de transfer'!$H$6</f>
        <v>1033.4841580870143</v>
      </c>
      <c r="K75" s="11">
        <f>K5*'Statii de transfer'!$H$6</f>
        <v>2118.7643972102292</v>
      </c>
      <c r="L75" s="80">
        <f t="shared" ref="L75:L103" si="2">SUM(C75:K75)</f>
        <v>15785.922085685817</v>
      </c>
    </row>
    <row r="76" spans="2:13" x14ac:dyDescent="0.25">
      <c r="B76" s="10">
        <v>2012</v>
      </c>
      <c r="C76" s="11">
        <f>C6*'Statii de transfer'!$H$6</f>
        <v>6201.2096313517104</v>
      </c>
      <c r="D76" s="11">
        <f>D6*'Statii de transfer'!$H$6</f>
        <v>1177.2944536698772</v>
      </c>
      <c r="E76" s="11">
        <f>E6*'Statii de transfer'!$H$6</f>
        <v>1087.4130189305879</v>
      </c>
      <c r="F76" s="11">
        <f>F6*'Statii de transfer'!$H$6</f>
        <v>678.52866157422784</v>
      </c>
      <c r="G76" s="11">
        <f>G6*'Statii de transfer'!$H$6</f>
        <v>1446.6340750581201</v>
      </c>
      <c r="H76" s="11">
        <f>H6*'Statii de transfer'!$H$6</f>
        <v>598.70176021255395</v>
      </c>
      <c r="I76" s="11">
        <f>I6*'Statii de transfer'!$H$6</f>
        <v>2003.8989704417136</v>
      </c>
      <c r="J76" s="11">
        <f>J6*'Statii de transfer'!$H$6</f>
        <v>1090.4598472268349</v>
      </c>
      <c r="K76" s="11">
        <f>K6*'Statii de transfer'!$H$6</f>
        <v>2236.067286615742</v>
      </c>
      <c r="L76" s="80">
        <f t="shared" si="2"/>
        <v>16520.207705081368</v>
      </c>
    </row>
    <row r="77" spans="2:13" s="1" customFormat="1" x14ac:dyDescent="0.25">
      <c r="B77" s="4">
        <v>2013</v>
      </c>
      <c r="C77" s="203">
        <f>C7*'Statii de transfer'!$H$7</f>
        <v>6721.7797394017252</v>
      </c>
      <c r="D77" s="203">
        <f>D7*'Statii de transfer'!$H$7</f>
        <v>1276.0668195999265</v>
      </c>
      <c r="E77" s="203">
        <f>E7*'Statii de transfer'!$H$7</f>
        <v>1178.79260414755</v>
      </c>
      <c r="F77" s="203">
        <f>F7*'Statii de transfer'!$H$7</f>
        <v>735.47193980546888</v>
      </c>
      <c r="G77" s="203">
        <f>G7*'Statii de transfer'!$H$7</f>
        <v>1568.2180950633144</v>
      </c>
      <c r="H77" s="203">
        <f>H7*'Statii de transfer'!$H$7</f>
        <v>648.71385575334921</v>
      </c>
      <c r="I77" s="203">
        <f>I7*'Statii de transfer'!$H$7</f>
        <v>2172.2383923655716</v>
      </c>
      <c r="J77" s="203">
        <f>J7*'Statii de transfer'!$H$7</f>
        <v>1182.0788952101302</v>
      </c>
      <c r="K77" s="203">
        <f>K7*'Statii de transfer'!$H$7</f>
        <v>2423.6396586529636</v>
      </c>
      <c r="L77" s="35">
        <f t="shared" si="2"/>
        <v>17907</v>
      </c>
      <c r="M77" s="121">
        <f>L77-'Statii de transfer'!D7</f>
        <v>0</v>
      </c>
    </row>
    <row r="78" spans="2:13" x14ac:dyDescent="0.25">
      <c r="B78" s="10">
        <v>2014</v>
      </c>
      <c r="C78" s="11">
        <f>C8*'Statii de transfer'!$H$7</f>
        <v>6626.148669480639</v>
      </c>
      <c r="D78" s="11">
        <f>D8*'Statii de transfer'!$H$7</f>
        <v>1330.2906221325013</v>
      </c>
      <c r="E78" s="11">
        <f>E8*'Statii de transfer'!$H$7</f>
        <v>1228.7442282987704</v>
      </c>
      <c r="F78" s="11">
        <f>F8*'Statii de transfer'!$H$7</f>
        <v>766.69170489998169</v>
      </c>
      <c r="G78" s="11">
        <f>G8*'Statii de transfer'!$H$7</f>
        <v>1634.6011745274361</v>
      </c>
      <c r="H78" s="11">
        <f>H8*'Statii de transfer'!$H$7</f>
        <v>676.31870067902366</v>
      </c>
      <c r="I78" s="11">
        <f>I8*'Statii de transfer'!$H$7</f>
        <v>2167.3089557717012</v>
      </c>
      <c r="J78" s="11">
        <f>J8*'Statii de transfer'!$H$7</f>
        <v>1187.9942191227749</v>
      </c>
      <c r="K78" s="11">
        <f>K8*'Statii de transfer'!$H$7</f>
        <v>2435.7989355845107</v>
      </c>
      <c r="L78" s="80">
        <f t="shared" si="2"/>
        <v>18053.897210497336</v>
      </c>
    </row>
    <row r="79" spans="2:13" x14ac:dyDescent="0.25">
      <c r="B79" s="10">
        <v>2015</v>
      </c>
      <c r="C79" s="11">
        <f>C9*'Statii de transfer'!$H$7</f>
        <v>6505.2131583776836</v>
      </c>
      <c r="D79" s="11">
        <f>D9*'Statii de transfer'!$H$7</f>
        <v>1383.5285373463021</v>
      </c>
      <c r="E79" s="11">
        <f>E9*'Statii de transfer'!$H$7</f>
        <v>1278.0385942374749</v>
      </c>
      <c r="F79" s="11">
        <f>F9*'Statii de transfer'!$H$7</f>
        <v>797.25421178197837</v>
      </c>
      <c r="G79" s="11">
        <f>G9*'Statii de transfer'!$H$7</f>
        <v>1700.3269957790419</v>
      </c>
      <c r="H79" s="11">
        <f>H9*'Statii de transfer'!$H$7</f>
        <v>703.59491649844006</v>
      </c>
      <c r="I79" s="11">
        <f>I9*'Statii de transfer'!$H$7</f>
        <v>2157.4500825839605</v>
      </c>
      <c r="J79" s="11">
        <f>J9*'Statii de transfer'!$H$7</f>
        <v>1190.294622866581</v>
      </c>
      <c r="K79" s="11">
        <f>K9*'Statii de transfer'!$H$7</f>
        <v>2443.0287759221874</v>
      </c>
      <c r="L79" s="80">
        <f t="shared" si="2"/>
        <v>18158.729895393648</v>
      </c>
    </row>
    <row r="80" spans="2:13" s="1" customFormat="1" x14ac:dyDescent="0.25">
      <c r="B80" s="4">
        <v>2016</v>
      </c>
      <c r="C80" s="203">
        <f>C10*'Statii de transfer'!$H$8</f>
        <v>6432.3811212732244</v>
      </c>
      <c r="D80" s="203">
        <f>D10*'Statii de transfer'!$H$8</f>
        <v>1434.3296125594122</v>
      </c>
      <c r="E80" s="203">
        <f>E10*'Statii de transfer'!$H$8</f>
        <v>1324.8085841855107</v>
      </c>
      <c r="F80" s="203">
        <f>F10*'Statii de transfer'!$H$8</f>
        <v>826.68583465360791</v>
      </c>
      <c r="G80" s="203">
        <f>G10*'Statii de transfer'!$H$8</f>
        <v>1762.5628150655336</v>
      </c>
      <c r="H80" s="203">
        <f>H10*'Statii de transfer'!$H$8</f>
        <v>729.37046305631566</v>
      </c>
      <c r="I80" s="203">
        <f>I10*'Statii de transfer'!$H$8</f>
        <v>2155.7828928417111</v>
      </c>
      <c r="J80" s="203">
        <f>J10*'Statii de transfer'!$H$8</f>
        <v>1197.4738945700706</v>
      </c>
      <c r="K80" s="203">
        <f>K10*'Statii de transfer'!$H$8</f>
        <v>2459.6047817946132</v>
      </c>
      <c r="L80" s="35">
        <f t="shared" si="2"/>
        <v>18323</v>
      </c>
      <c r="M80" s="121">
        <f>L80-'Statii de transfer'!D8</f>
        <v>0</v>
      </c>
    </row>
    <row r="81" spans="2:13" x14ac:dyDescent="0.25">
      <c r="B81" s="10">
        <v>2017</v>
      </c>
      <c r="C81" s="11">
        <f>C11*'Statii de transfer'!$H$8</f>
        <v>6330.7772756733402</v>
      </c>
      <c r="D81" s="11">
        <f>D11*'Statii de transfer'!$H$8</f>
        <v>1481.5028265879303</v>
      </c>
      <c r="E81" s="11">
        <f>E11*'Statii de transfer'!$H$8</f>
        <v>1368.353089442604</v>
      </c>
      <c r="F81" s="11">
        <f>F11*'Statii de transfer'!$H$8</f>
        <v>853.73620913149932</v>
      </c>
      <c r="G81" s="11">
        <f>G11*'Statii de transfer'!$H$8</f>
        <v>1820.2922727927407</v>
      </c>
      <c r="H81" s="11">
        <f>H11*'Statii de transfer'!$H$8</f>
        <v>753.12201137836666</v>
      </c>
      <c r="I81" s="11">
        <f>I11*'Statii de transfer'!$H$8</f>
        <v>2145.8864143741898</v>
      </c>
      <c r="J81" s="11">
        <f>J11*'Statii de transfer'!$H$8</f>
        <v>1199.7830728791589</v>
      </c>
      <c r="K81" s="11">
        <f>K11*'Statii de transfer'!$H$8</f>
        <v>2466.8621993374622</v>
      </c>
      <c r="L81" s="80">
        <f t="shared" si="2"/>
        <v>18420.315371597295</v>
      </c>
    </row>
    <row r="82" spans="2:13" x14ac:dyDescent="0.25">
      <c r="B82" s="10">
        <v>2018</v>
      </c>
      <c r="C82" s="11">
        <f>C12*'Statii de transfer'!$H$8</f>
        <v>6224.8849560708622</v>
      </c>
      <c r="D82" s="11">
        <f>D12*'Statii de transfer'!$H$8</f>
        <v>1529.9955710787845</v>
      </c>
      <c r="E82" s="11">
        <f>E12*'Statii de transfer'!$H$8</f>
        <v>1413.2171251620337</v>
      </c>
      <c r="F82" s="11">
        <f>F12*'Statii de transfer'!$H$8</f>
        <v>881.77623145614291</v>
      </c>
      <c r="G82" s="11">
        <f>G12*'Statii de transfer'!$H$8</f>
        <v>1880.3309088290364</v>
      </c>
      <c r="H82" s="11">
        <f>H12*'Statii de transfer'!$H$8</f>
        <v>781.16203370301025</v>
      </c>
      <c r="I82" s="11">
        <f>I12*'Statii de transfer'!$H$8</f>
        <v>2136.3198185222527</v>
      </c>
      <c r="J82" s="11">
        <f>J12*'Statii de transfer'!$H$8</f>
        <v>1202.092251188247</v>
      </c>
      <c r="K82" s="11">
        <f>K12*'Statii de transfer'!$H$8</f>
        <v>2474.449499495895</v>
      </c>
      <c r="L82" s="80">
        <f t="shared" si="2"/>
        <v>18524.228395506267</v>
      </c>
    </row>
    <row r="83" spans="2:13" x14ac:dyDescent="0.25">
      <c r="B83" s="10">
        <v>2019</v>
      </c>
      <c r="C83" s="11">
        <f>C13*'Statii de transfer'!$H$8</f>
        <v>6114.7041624657932</v>
      </c>
      <c r="D83" s="11">
        <f>D13*'Statii de transfer'!$H$8</f>
        <v>1580.4676112631428</v>
      </c>
      <c r="E83" s="11">
        <f>E13*'Statii de transfer'!$H$8</f>
        <v>1460.0604565749675</v>
      </c>
      <c r="F83" s="11">
        <f>F13*'Statii de transfer'!$H$8</f>
        <v>910.80590162753856</v>
      </c>
      <c r="G83" s="11">
        <f>G13*'Statii de transfer'!$H$8</f>
        <v>1942.3488405588362</v>
      </c>
      <c r="H83" s="11">
        <f>H13*'Statii de transfer'!$H$8</f>
        <v>803.59405156272499</v>
      </c>
      <c r="I83" s="11">
        <f>I13*'Statii de transfer'!$H$8</f>
        <v>2126.7532226703152</v>
      </c>
      <c r="J83" s="11">
        <f>J13*'Statii de transfer'!$H$8</f>
        <v>1204.7313121129196</v>
      </c>
      <c r="K83" s="11">
        <f>K13*'Statii de transfer'!$H$8</f>
        <v>2481.706917038744</v>
      </c>
      <c r="L83" s="80">
        <f t="shared" si="2"/>
        <v>18625.172475874981</v>
      </c>
    </row>
    <row r="84" spans="2:13" s="1" customFormat="1" x14ac:dyDescent="0.25">
      <c r="B84" s="4">
        <v>2020</v>
      </c>
      <c r="C84" s="203">
        <f>C14*'Statii de transfer'!$H$9</f>
        <v>6030.3049450549452</v>
      </c>
      <c r="D84" s="203">
        <f>D14*'Statii de transfer'!$H$9</f>
        <v>1641.2827557058326</v>
      </c>
      <c r="E84" s="203">
        <f>E14*'Statii de transfer'!$H$9</f>
        <v>1515.9484361792054</v>
      </c>
      <c r="F84" s="203">
        <f>F14*'Statii de transfer'!$H$9</f>
        <v>945.97569737954348</v>
      </c>
      <c r="G84" s="203">
        <f>G14*'Statii de transfer'!$H$9</f>
        <v>2016.9541420118344</v>
      </c>
      <c r="H84" s="203">
        <f>H14*'Statii de transfer'!$H$9</f>
        <v>834.56741335587492</v>
      </c>
      <c r="I84" s="203">
        <f>I14*'Statii de transfer'!$H$9</f>
        <v>2128.0308537616229</v>
      </c>
      <c r="J84" s="203">
        <f>J14*'Statii de transfer'!$H$9</f>
        <v>1213.2229501267964</v>
      </c>
      <c r="K84" s="203">
        <f>K14*'Statii de transfer'!$H$9</f>
        <v>2501.7128064243448</v>
      </c>
      <c r="L84" s="35">
        <f t="shared" si="2"/>
        <v>18828</v>
      </c>
      <c r="M84" s="121">
        <f>L84-'Statii de transfer'!D9</f>
        <v>0</v>
      </c>
    </row>
    <row r="85" spans="2:13" x14ac:dyDescent="0.25">
      <c r="B85" s="10">
        <v>2021</v>
      </c>
      <c r="C85" s="11">
        <f>C15*'Statii de transfer'!$H$9</f>
        <v>5962.9957734573118</v>
      </c>
      <c r="D85" s="11">
        <f>D15*'Statii de transfer'!$H$9</f>
        <v>1676.7609890109891</v>
      </c>
      <c r="E85" s="11">
        <f>E15*'Statii de transfer'!$H$9</f>
        <v>1549.1056635672021</v>
      </c>
      <c r="F85" s="11">
        <f>F15*'Statii de transfer'!$H$9</f>
        <v>966.20160608622143</v>
      </c>
      <c r="G85" s="11">
        <f>G15*'Statii de transfer'!$H$9</f>
        <v>2060.72168216399</v>
      </c>
      <c r="H85" s="11">
        <f>H15*'Statii de transfer'!$H$9</f>
        <v>852.80388841927299</v>
      </c>
      <c r="I85" s="11">
        <f>I15*'Statii de transfer'!$H$9</f>
        <v>2118.4152578191038</v>
      </c>
      <c r="J85" s="11">
        <f>J15*'Statii de transfer'!$H$9</f>
        <v>1215.5439560439561</v>
      </c>
      <c r="K85" s="11">
        <f>K15*'Statii de transfer'!$H$9</f>
        <v>2509.338968723584</v>
      </c>
      <c r="L85" s="80">
        <f t="shared" si="2"/>
        <v>18911.88778529163</v>
      </c>
    </row>
    <row r="86" spans="2:13" x14ac:dyDescent="0.25">
      <c r="B86" s="10">
        <v>2022</v>
      </c>
      <c r="C86" s="11">
        <f>C16*'Statii de transfer'!$H$9</f>
        <v>5893.6971682163985</v>
      </c>
      <c r="D86" s="11">
        <f>D16*'Statii de transfer'!$H$9</f>
        <v>1713.2339391377852</v>
      </c>
      <c r="E86" s="11">
        <f>E16*'Statii de transfer'!$H$9</f>
        <v>1582.5944632290787</v>
      </c>
      <c r="F86" s="11">
        <f>F16*'Statii de transfer'!$H$9</f>
        <v>987.42223161453933</v>
      </c>
      <c r="G86" s="11">
        <f>G16*'Statii de transfer'!$H$9</f>
        <v>2105.4839391377855</v>
      </c>
      <c r="H86" s="11">
        <f>H16*'Statii de transfer'!$H$9</f>
        <v>871.37193575655112</v>
      </c>
      <c r="I86" s="11">
        <f>I16*'Statii de transfer'!$H$9</f>
        <v>2109.1312341504649</v>
      </c>
      <c r="J86" s="11">
        <f>J16*'Statii de transfer'!$H$9</f>
        <v>1218.1965342349959</v>
      </c>
      <c r="K86" s="11">
        <f>K16*'Statii de transfer'!$H$9</f>
        <v>2516.6335587489434</v>
      </c>
      <c r="L86" s="80">
        <f t="shared" si="2"/>
        <v>18997.765004226545</v>
      </c>
    </row>
    <row r="87" spans="2:13" x14ac:dyDescent="0.25">
      <c r="B87" s="10">
        <v>2023</v>
      </c>
      <c r="C87" s="11">
        <f>C17*'Statii de transfer'!$H$9</f>
        <v>5822.0775570583264</v>
      </c>
      <c r="D87" s="11">
        <f>D17*'Statii de transfer'!$H$9</f>
        <v>1750.7016060862215</v>
      </c>
      <c r="E87" s="11">
        <f>E17*'Statii de transfer'!$H$9</f>
        <v>1617.0779797125952</v>
      </c>
      <c r="F87" s="11">
        <f>F17*'Statii de transfer'!$H$9</f>
        <v>1008.9744294167371</v>
      </c>
      <c r="G87" s="11">
        <f>G17*'Statii de transfer'!$H$9</f>
        <v>2151.2409129332204</v>
      </c>
      <c r="H87" s="11">
        <f>H17*'Statii de transfer'!$H$9</f>
        <v>890.2715553677092</v>
      </c>
      <c r="I87" s="11">
        <f>I17*'Statii de transfer'!$H$9</f>
        <v>2099.8472104818256</v>
      </c>
      <c r="J87" s="11">
        <f>J17*'Statii de transfer'!$H$9</f>
        <v>1220.5175401521556</v>
      </c>
      <c r="K87" s="11">
        <f>K17*'Statii de transfer'!$H$9</f>
        <v>2524.2597210481827</v>
      </c>
      <c r="L87" s="80">
        <f t="shared" si="2"/>
        <v>19084.968512256975</v>
      </c>
    </row>
    <row r="88" spans="2:13" x14ac:dyDescent="0.25">
      <c r="B88" s="10">
        <v>2024</v>
      </c>
      <c r="C88" s="11">
        <f>C18*'Statii de transfer'!$H$9</f>
        <v>5748.4685122569736</v>
      </c>
      <c r="D88" s="11">
        <f>D18*'Statii de transfer'!$H$9</f>
        <v>1788.8324175824175</v>
      </c>
      <c r="E88" s="11">
        <f>E18*'Statii de transfer'!$H$9</f>
        <v>1652.5562130177514</v>
      </c>
      <c r="F88" s="11">
        <f>F18*'Statii de transfer'!$H$9</f>
        <v>1030.8581994928149</v>
      </c>
      <c r="G88" s="11">
        <f>G18*'Statii de transfer'!$H$9</f>
        <v>2198.3241758241757</v>
      </c>
      <c r="H88" s="11">
        <f>H18*'Statii de transfer'!$H$9</f>
        <v>909.50274725274721</v>
      </c>
      <c r="I88" s="11">
        <f>I18*'Statii de transfer'!$H$9</f>
        <v>2090.5631868131868</v>
      </c>
      <c r="J88" s="11">
        <f>J18*'Statii de transfer'!$H$9</f>
        <v>1223.1701183431953</v>
      </c>
      <c r="K88" s="11">
        <f>K18*'Statii de transfer'!$H$9</f>
        <v>2531.8858833474219</v>
      </c>
      <c r="L88" s="80">
        <f t="shared" si="2"/>
        <v>19174.161453930683</v>
      </c>
    </row>
    <row r="89" spans="2:13" s="1" customFormat="1" x14ac:dyDescent="0.25">
      <c r="B89" s="4">
        <v>2025</v>
      </c>
      <c r="C89" s="203">
        <f>'Puncte verzi'!C19*'Statii de transfer'!$H$10</f>
        <v>5698.4462496988053</v>
      </c>
      <c r="D89" s="203">
        <f>'Puncte verzi'!D19*'Statii de transfer'!$H$10</f>
        <v>1836.306650373481</v>
      </c>
      <c r="E89" s="203">
        <f>'Puncte verzi'!E19*'Statii de transfer'!$H$10</f>
        <v>1696.4102612646725</v>
      </c>
      <c r="F89" s="203">
        <f>'Puncte verzi'!F19*'Statii de transfer'!$H$10</f>
        <v>1058.2162576159169</v>
      </c>
      <c r="G89" s="203">
        <f>'Puncte verzi'!G19*'Statii de transfer'!$H$10</f>
        <v>2256.6619909813776</v>
      </c>
      <c r="H89" s="203">
        <f>'Puncte verzi'!H19*'Statii de transfer'!$H$10</f>
        <v>933.64185398093002</v>
      </c>
      <c r="I89" s="203">
        <f>'Puncte verzi'!I19*'Statii de transfer'!$H$10</f>
        <v>2090.7848438952187</v>
      </c>
      <c r="J89" s="203">
        <f>'Puncte verzi'!J19*'Statii de transfer'!$H$10</f>
        <v>1231.0882241575162</v>
      </c>
      <c r="K89" s="203">
        <f>'Puncte verzi'!K19*'Statii de transfer'!$H$10</f>
        <v>2551.1105813913464</v>
      </c>
      <c r="L89" s="35">
        <f t="shared" si="2"/>
        <v>19352.666913359262</v>
      </c>
      <c r="M89" s="121">
        <f>L89-'Statii de transfer'!D10</f>
        <v>-0.33308664073774708</v>
      </c>
    </row>
    <row r="90" spans="2:13" x14ac:dyDescent="0.25">
      <c r="B90" s="10">
        <v>2026</v>
      </c>
      <c r="C90" s="11">
        <f>'Puncte verzi'!C20*'Statii de transfer'!$H$10</f>
        <v>5619.8378024852846</v>
      </c>
      <c r="D90" s="11">
        <f>'Puncte verzi'!D20*'Statii de transfer'!$H$10</f>
        <v>1876.6101339024474</v>
      </c>
      <c r="E90" s="11">
        <f>'Puncte verzi'!E20*'Statii de transfer'!$H$10</f>
        <v>1733.7159650270214</v>
      </c>
      <c r="F90" s="11">
        <f>'Puncte verzi'!F20*'Statii de transfer'!$H$10</f>
        <v>1081.532322467385</v>
      </c>
      <c r="G90" s="11">
        <f>'Puncte verzi'!G20*'Statii de transfer'!$H$10</f>
        <v>2306.2919004509313</v>
      </c>
      <c r="H90" s="11">
        <f>'Puncte verzi'!H20*'Statii de transfer'!$H$10</f>
        <v>954.29322570651607</v>
      </c>
      <c r="I90" s="11">
        <f>'Puncte verzi'!I20*'Statii de transfer'!$H$10</f>
        <v>2081.7915045953669</v>
      </c>
      <c r="J90" s="11">
        <f>'Puncte verzi'!J20*'Statii de transfer'!$H$10</f>
        <v>1233.4198306426629</v>
      </c>
      <c r="K90" s="11">
        <f>'Puncte verzi'!K20*'Statii de transfer'!$H$10</f>
        <v>2558.4384874875218</v>
      </c>
      <c r="L90" s="80">
        <f t="shared" si="2"/>
        <v>19445.931172765137</v>
      </c>
    </row>
    <row r="91" spans="2:13" x14ac:dyDescent="0.25">
      <c r="B91" s="10">
        <v>2027</v>
      </c>
      <c r="C91" s="11">
        <f>'Puncte verzi'!C21*'Statii de transfer'!$H$10</f>
        <v>5522.5765033905891</v>
      </c>
      <c r="D91" s="11">
        <f>'Puncte verzi'!D21*'Statii de transfer'!$H$10</f>
        <v>1912.2504044611201</v>
      </c>
      <c r="E91" s="11">
        <f>'Puncte verzi'!E21*'Statii de transfer'!$H$10</f>
        <v>1766.3584558190767</v>
      </c>
      <c r="F91" s="11">
        <f>'Puncte verzi'!F21*'Statii de transfer'!$H$10</f>
        <v>1101.8506075522357</v>
      </c>
      <c r="G91" s="11">
        <f>'Puncte verzi'!G21*'Statii de transfer'!$H$10</f>
        <v>2349.9262503872501</v>
      </c>
      <c r="H91" s="11">
        <f>'Puncte verzi'!H21*'Statii de transfer'!$H$10</f>
        <v>972.27990430622003</v>
      </c>
      <c r="I91" s="11">
        <f>'Puncte verzi'!I21*'Statii de transfer'!$H$10</f>
        <v>2066.4695191215446</v>
      </c>
      <c r="J91" s="11">
        <f>'Puncte verzi'!J21*'Statii de transfer'!$H$10</f>
        <v>1232.4205707204571</v>
      </c>
      <c r="K91" s="11">
        <f>'Puncte verzi'!K21*'Statii de transfer'!$H$10</f>
        <v>2558.4384874875218</v>
      </c>
      <c r="L91" s="80">
        <f t="shared" si="2"/>
        <v>19482.570703246016</v>
      </c>
    </row>
    <row r="92" spans="2:13" x14ac:dyDescent="0.25">
      <c r="B92" s="10">
        <v>2028</v>
      </c>
      <c r="C92" s="11">
        <f>'Puncte verzi'!C22*'Statii de transfer'!$H$10</f>
        <v>5423.3166844514817</v>
      </c>
      <c r="D92" s="11">
        <f>'Puncte verzi'!D22*'Statii de transfer'!$H$10</f>
        <v>1948.5568483012632</v>
      </c>
      <c r="E92" s="11">
        <f>'Puncte verzi'!E22*'Statii de transfer'!$H$10</f>
        <v>1800.0002065333379</v>
      </c>
      <c r="F92" s="11">
        <f>'Puncte verzi'!F22*'Statii de transfer'!$H$10</f>
        <v>1122.8350659185569</v>
      </c>
      <c r="G92" s="11">
        <f>'Puncte verzi'!G22*'Statii de transfer'!$H$10</f>
        <v>2394.2267736050394</v>
      </c>
      <c r="H92" s="11">
        <f>'Puncte verzi'!H22*'Statii de transfer'!$H$10</f>
        <v>990.59966954665936</v>
      </c>
      <c r="I92" s="11">
        <f>'Puncte verzi'!I22*'Statii de transfer'!$H$10</f>
        <v>2051.1475336477229</v>
      </c>
      <c r="J92" s="11">
        <f>'Puncte verzi'!J22*'Statii de transfer'!$H$10</f>
        <v>1231.0882241575162</v>
      </c>
      <c r="K92" s="11">
        <f>'Puncte verzi'!K22*'Statii de transfer'!$H$10</f>
        <v>2558.4384874875218</v>
      </c>
      <c r="L92" s="80">
        <f t="shared" si="2"/>
        <v>19520.209493649098</v>
      </c>
    </row>
    <row r="93" spans="2:13" x14ac:dyDescent="0.25">
      <c r="B93" s="10">
        <v>2029</v>
      </c>
      <c r="C93" s="11">
        <f>'Puncte verzi'!C23*'Statii de transfer'!$H$10</f>
        <v>5322.0583456679633</v>
      </c>
      <c r="D93" s="11">
        <f>'Puncte verzi'!D23*'Statii de transfer'!$H$10</f>
        <v>1985.5294654228769</v>
      </c>
      <c r="E93" s="11">
        <f>'Puncte verzi'!E23*'Statii de transfer'!$H$10</f>
        <v>1833.9750438883343</v>
      </c>
      <c r="F93" s="11">
        <f>'Puncte verzi'!F23*'Statii de transfer'!$H$10</f>
        <v>1144.1526109256135</v>
      </c>
      <c r="G93" s="11">
        <f>'Puncte verzi'!G23*'Statii de transfer'!$H$10</f>
        <v>2439.8596433857697</v>
      </c>
      <c r="H93" s="11">
        <f>'Puncte verzi'!H23*'Statii de transfer'!$H$10</f>
        <v>1009.5856080685691</v>
      </c>
      <c r="I93" s="11">
        <f>'Puncte verzi'!I23*'Statii de transfer'!$H$10</f>
        <v>2036.4917214553716</v>
      </c>
      <c r="J93" s="11">
        <f>'Puncte verzi'!J23*'Statii de transfer'!$H$10</f>
        <v>1230.0889642353102</v>
      </c>
      <c r="K93" s="11">
        <f>'Puncte verzi'!K23*'Statii de transfer'!$H$10</f>
        <v>2558.4384874875218</v>
      </c>
      <c r="L93" s="80">
        <f t="shared" si="2"/>
        <v>19560.179890537329</v>
      </c>
    </row>
    <row r="94" spans="2:13" s="1" customFormat="1" x14ac:dyDescent="0.25">
      <c r="B94" s="4">
        <v>2030</v>
      </c>
      <c r="C94" s="203">
        <f>C24*'Statii de transfer'!$H$11</f>
        <v>5245.898552202284</v>
      </c>
      <c r="D94" s="203">
        <f>D24*'Statii de transfer'!$H$11</f>
        <v>2033.8779567699837</v>
      </c>
      <c r="E94" s="203">
        <f>E24*'Statii de transfer'!$H$11</f>
        <v>1878.5332041870581</v>
      </c>
      <c r="F94" s="203">
        <f>F24*'Statii de transfer'!$H$11</f>
        <v>1172.1163336052202</v>
      </c>
      <c r="G94" s="203">
        <f>G24*'Statii de transfer'!$H$11</f>
        <v>2499.2426250679719</v>
      </c>
      <c r="H94" s="203">
        <f>H24*'Statii de transfer'!$H$11</f>
        <v>1034.1809067427951</v>
      </c>
      <c r="I94" s="203">
        <f>I24*'Statii de transfer'!$H$11</f>
        <v>2031.8691884176183</v>
      </c>
      <c r="J94" s="203">
        <f>J24*'Statii de transfer'!$H$11</f>
        <v>1235.0577419793365</v>
      </c>
      <c r="K94" s="203">
        <f>K24*'Statii de transfer'!$H$11</f>
        <v>2571.5582857531267</v>
      </c>
      <c r="L94" s="35">
        <f t="shared" si="2"/>
        <v>19702.334794725393</v>
      </c>
      <c r="M94" s="121">
        <f>L94-'Statii de transfer'!D11</f>
        <v>0.33479472539329436</v>
      </c>
    </row>
    <row r="95" spans="2:13" x14ac:dyDescent="0.25">
      <c r="B95" s="10">
        <v>2031</v>
      </c>
      <c r="C95" s="11">
        <f>C25*'Statii de transfer'!$H$11</f>
        <v>5183.9615280043499</v>
      </c>
      <c r="D95" s="11">
        <f>D25*'Statii de transfer'!$H$11</f>
        <v>2056.6439980967916</v>
      </c>
      <c r="E95" s="11">
        <f>E25*'Statii de transfer'!$H$11</f>
        <v>1899.9600666122892</v>
      </c>
      <c r="F95" s="11">
        <f>F25*'Statii de transfer'!$H$11</f>
        <v>1185.1733278955953</v>
      </c>
      <c r="G95" s="11">
        <f>G25*'Statii de transfer'!$H$11</f>
        <v>2527.3653820010877</v>
      </c>
      <c r="H95" s="11">
        <f>H25*'Statii de transfer'!$H$11</f>
        <v>1045.8987221315933</v>
      </c>
      <c r="I95" s="11">
        <f>I25*'Statii de transfer'!$H$11</f>
        <v>2017.1382205002719</v>
      </c>
      <c r="J95" s="11">
        <f>J25*'Statii de transfer'!$H$11</f>
        <v>1233.7185630777597</v>
      </c>
      <c r="K95" s="11">
        <f>K25*'Statii de transfer'!$H$11</f>
        <v>2571.5582857531267</v>
      </c>
      <c r="L95" s="80">
        <f t="shared" si="2"/>
        <v>19721.418094072866</v>
      </c>
    </row>
    <row r="96" spans="2:13" x14ac:dyDescent="0.25">
      <c r="B96" s="10">
        <v>2032</v>
      </c>
      <c r="C96" s="11">
        <f>C26*'Statii de transfer'!$H$11</f>
        <v>5121.0201196302341</v>
      </c>
      <c r="D96" s="11">
        <f>D26*'Statii de transfer'!$H$11</f>
        <v>2080.0796288743882</v>
      </c>
      <c r="E96" s="11">
        <f>E26*'Statii de transfer'!$H$11</f>
        <v>1921.3869290375203</v>
      </c>
      <c r="F96" s="11">
        <f>F26*'Statii de transfer'!$H$11</f>
        <v>1198.5651169113648</v>
      </c>
      <c r="G96" s="11">
        <f>G26*'Statii de transfer'!$H$11</f>
        <v>2555.8229336595978</v>
      </c>
      <c r="H96" s="11">
        <f>H26*'Statii de transfer'!$H$11</f>
        <v>1057.6165375203916</v>
      </c>
      <c r="I96" s="11">
        <f>I26*'Statii de transfer'!$H$11</f>
        <v>2002.4072525829254</v>
      </c>
      <c r="J96" s="11">
        <f>J26*'Statii de transfer'!$H$11</f>
        <v>1232.7141789015768</v>
      </c>
      <c r="K96" s="11">
        <f>K26*'Statii de transfer'!$H$11</f>
        <v>2571.5582857531267</v>
      </c>
      <c r="L96" s="80">
        <f t="shared" si="2"/>
        <v>19741.170982871125</v>
      </c>
    </row>
    <row r="97" spans="2:13" x14ac:dyDescent="0.25">
      <c r="B97" s="10">
        <v>2033</v>
      </c>
      <c r="C97" s="11">
        <f>C27*'Statii de transfer'!$H$11</f>
        <v>5057.4091218053291</v>
      </c>
      <c r="D97" s="11">
        <f>D27*'Statii de transfer'!$H$11</f>
        <v>2103.5152596519847</v>
      </c>
      <c r="E97" s="11">
        <f>E27*'Statii de transfer'!$H$11</f>
        <v>1943.1485861881456</v>
      </c>
      <c r="F97" s="11">
        <f>F27*'Statii de transfer'!$H$11</f>
        <v>1212.2917006525286</v>
      </c>
      <c r="G97" s="11">
        <f>G27*'Statii de transfer'!$H$11</f>
        <v>2584.9500747688962</v>
      </c>
      <c r="H97" s="11">
        <f>H27*'Statii de transfer'!$H$11</f>
        <v>1069.6691476345841</v>
      </c>
      <c r="I97" s="11">
        <f>I27*'Statii de transfer'!$H$11</f>
        <v>1988.0110793909732</v>
      </c>
      <c r="J97" s="11">
        <f>J27*'Statii de transfer'!$H$11</f>
        <v>1231.375</v>
      </c>
      <c r="K97" s="11">
        <f>K27*'Statii de transfer'!$H$11</f>
        <v>2571.5582857531267</v>
      </c>
      <c r="L97" s="80">
        <f t="shared" si="2"/>
        <v>19761.928255845567</v>
      </c>
    </row>
    <row r="98" spans="2:13" x14ac:dyDescent="0.25">
      <c r="B98" s="10">
        <v>2034</v>
      </c>
      <c r="C98" s="11">
        <f>C28*'Statii de transfer'!$H$11</f>
        <v>4993.1285345296355</v>
      </c>
      <c r="D98" s="11">
        <f>D28*'Statii de transfer'!$H$11</f>
        <v>2127.2856851549755</v>
      </c>
      <c r="E98" s="11">
        <f>E28*'Statii de transfer'!$H$11</f>
        <v>1964.9102433387711</v>
      </c>
      <c r="F98" s="11">
        <f>F28*'Statii de transfer'!$H$11</f>
        <v>1226.0182843936923</v>
      </c>
      <c r="G98" s="11">
        <f>G28*'Statii de transfer'!$H$11</f>
        <v>2614.0772158781947</v>
      </c>
      <c r="H98" s="11">
        <f>H28*'Statii de transfer'!$H$11</f>
        <v>1081.7217577487766</v>
      </c>
      <c r="I98" s="11">
        <f>I28*'Statii de transfer'!$H$11</f>
        <v>1973.9497009244153</v>
      </c>
      <c r="J98" s="11">
        <f>J28*'Statii de transfer'!$H$11</f>
        <v>1230.3706158238172</v>
      </c>
      <c r="K98" s="11">
        <f>K28*'Statii de transfer'!$H$11</f>
        <v>2571.5582857531267</v>
      </c>
      <c r="L98" s="80">
        <f t="shared" si="2"/>
        <v>19783.020323545406</v>
      </c>
    </row>
    <row r="99" spans="2:13" s="1" customFormat="1" x14ac:dyDescent="0.25">
      <c r="B99" s="4">
        <v>2035</v>
      </c>
      <c r="C99" s="203">
        <f>C29*'Statii de transfer'!$H$12</f>
        <v>4944.9047417800693</v>
      </c>
      <c r="D99" s="203">
        <f>D29*'Statii de transfer'!$H$12</f>
        <v>2158.6927901276308</v>
      </c>
      <c r="E99" s="203">
        <f>E29*'Statii de transfer'!$H$12</f>
        <v>1994.0865860873973</v>
      </c>
      <c r="F99" s="203">
        <f>F29*'Statii de transfer'!$H$12</f>
        <v>1243.9525991040487</v>
      </c>
      <c r="G99" s="203">
        <f>G29*'Statii de transfer'!$H$12</f>
        <v>2652.847333276984</v>
      </c>
      <c r="H99" s="203">
        <f>H29*'Statii de transfer'!$H$12</f>
        <v>1097.8226016397598</v>
      </c>
      <c r="I99" s="203">
        <f>I29*'Statii de transfer'!$H$12</f>
        <v>1966.2043107091538</v>
      </c>
      <c r="J99" s="203">
        <f>J29*'Statii de transfer'!$H$12</f>
        <v>1233.2028061871354</v>
      </c>
      <c r="K99" s="203">
        <f>K29*'Statii de transfer'!$H$12</f>
        <v>2580.2862310878199</v>
      </c>
      <c r="L99" s="35">
        <f t="shared" si="2"/>
        <v>19872</v>
      </c>
      <c r="M99" s="121">
        <f>L99-'Statii de transfer'!D12</f>
        <v>0</v>
      </c>
    </row>
    <row r="100" spans="2:13" x14ac:dyDescent="0.25">
      <c r="B100" s="10">
        <v>2036</v>
      </c>
      <c r="C100" s="11">
        <f>C30*'Statii de transfer'!$H$12</f>
        <v>4901.9055701124162</v>
      </c>
      <c r="D100" s="11">
        <f>D30*'Statii de transfer'!$H$12</f>
        <v>2174.8174795030004</v>
      </c>
      <c r="E100" s="11">
        <f>E30*'Statii de transfer'!$H$12</f>
        <v>2008.867551348153</v>
      </c>
      <c r="F100" s="11">
        <f>F30*'Statii de transfer'!$H$12</f>
        <v>1253.3586679063476</v>
      </c>
      <c r="G100" s="11">
        <f>G30*'Statii de transfer'!$H$12</f>
        <v>2672.3313329388893</v>
      </c>
      <c r="H100" s="11">
        <f>H30*'Statii de transfer'!$H$12</f>
        <v>1105.8849463274448</v>
      </c>
      <c r="I100" s="11">
        <f>I30*'Statii de transfer'!$H$12</f>
        <v>1952.0952075057053</v>
      </c>
      <c r="J100" s="11">
        <f>J30*'Statii de transfer'!$H$12</f>
        <v>1231.8590820725212</v>
      </c>
      <c r="K100" s="11">
        <f>K30*'Statii de transfer'!$H$12</f>
        <v>2580.2862310878199</v>
      </c>
      <c r="L100" s="80">
        <f t="shared" si="2"/>
        <v>19881.406068802298</v>
      </c>
    </row>
    <row r="101" spans="2:13" x14ac:dyDescent="0.25">
      <c r="B101" s="10">
        <v>2037</v>
      </c>
      <c r="C101" s="11">
        <f>C31*'Statii de transfer'!$H$12</f>
        <v>4858.2345363874565</v>
      </c>
      <c r="D101" s="11">
        <f>D31*'Statii de transfer'!$H$12</f>
        <v>2190.9421688783705</v>
      </c>
      <c r="E101" s="11">
        <f>E31*'Statii de transfer'!$H$12</f>
        <v>2023.9844476375622</v>
      </c>
      <c r="F101" s="11">
        <f>F31*'Statii de transfer'!$H$12</f>
        <v>1262.7647367086468</v>
      </c>
      <c r="G101" s="11">
        <f>G31*'Statii de transfer'!$H$12</f>
        <v>2692.4871946581015</v>
      </c>
      <c r="H101" s="11">
        <f>H31*'Statii de transfer'!$H$12</f>
        <v>1113.9472910151296</v>
      </c>
      <c r="I101" s="11">
        <f>I31*'Statii de transfer'!$H$12</f>
        <v>1938.3220353309102</v>
      </c>
      <c r="J101" s="11">
        <f>J31*'Statii de transfer'!$H$12</f>
        <v>1230.8512889865606</v>
      </c>
      <c r="K101" s="11">
        <f>K31*'Statii de transfer'!$H$12</f>
        <v>2580.2862310878199</v>
      </c>
      <c r="L101" s="80">
        <f t="shared" si="2"/>
        <v>19891.819930690555</v>
      </c>
    </row>
    <row r="102" spans="2:13" x14ac:dyDescent="0.25">
      <c r="B102" s="10">
        <v>2038</v>
      </c>
      <c r="C102" s="11">
        <f>C32*'Statii de transfer'!$H$12</f>
        <v>4814.5635026624968</v>
      </c>
      <c r="D102" s="11">
        <f>D32*'Statii de transfer'!$H$12</f>
        <v>2207.4027892823938</v>
      </c>
      <c r="E102" s="11">
        <f>E32*'Statii de transfer'!$H$12</f>
        <v>2039.1013439269714</v>
      </c>
      <c r="F102" s="11">
        <f>F32*'Statii de transfer'!$H$12</f>
        <v>1272.1708055109457</v>
      </c>
      <c r="G102" s="11">
        <f>G32*'Statii de transfer'!$H$12</f>
        <v>2712.3071253486601</v>
      </c>
      <c r="H102" s="11">
        <f>H32*'Statii de transfer'!$H$12</f>
        <v>1122.3455667314681</v>
      </c>
      <c r="I102" s="11">
        <f>I32*'Statii de transfer'!$H$12</f>
        <v>1924.5488631561152</v>
      </c>
      <c r="J102" s="11">
        <f>J32*'Statii de transfer'!$H$12</f>
        <v>1229.5075648719464</v>
      </c>
      <c r="K102" s="11">
        <f>K32*'Statii de transfer'!$H$12</f>
        <v>2580.2862310878199</v>
      </c>
      <c r="L102" s="80">
        <f t="shared" si="2"/>
        <v>19902.233792578816</v>
      </c>
    </row>
    <row r="103" spans="2:13" s="1" customFormat="1" ht="15.75" thickBot="1" x14ac:dyDescent="0.3">
      <c r="B103" s="19">
        <v>2039</v>
      </c>
      <c r="C103" s="171">
        <f>C33*'Statii de transfer'!$H$13</f>
        <v>4779.9037063279184</v>
      </c>
      <c r="D103" s="171">
        <f>D33*'Statii de transfer'!$H$13</f>
        <v>2228.2207264200279</v>
      </c>
      <c r="E103" s="171">
        <f>E33*'Statii de transfer'!$H$13</f>
        <v>2058.2431634529412</v>
      </c>
      <c r="F103" s="171">
        <f>F33*'Statii de transfer'!$H$13</f>
        <v>1284.0879261771008</v>
      </c>
      <c r="G103" s="171">
        <f>G33*'Statii de transfer'!$H$13</f>
        <v>2738.1534153212883</v>
      </c>
      <c r="H103" s="171">
        <f>H33*'Statii de transfer'!$H$13</f>
        <v>1132.9593602915127</v>
      </c>
      <c r="I103" s="171">
        <f>I33*'Statii de transfer'!$H$13</f>
        <v>1914.5195607065134</v>
      </c>
      <c r="J103" s="171">
        <f>J33*'Statii de transfer'!$H$13</f>
        <v>1230.9068272685865</v>
      </c>
      <c r="K103" s="171">
        <f>K33*'Statii de transfer'!$H$13</f>
        <v>2585.3419032677093</v>
      </c>
      <c r="L103" s="37">
        <f t="shared" si="2"/>
        <v>19952.336589233597</v>
      </c>
      <c r="M103" s="121">
        <f>L103-'Statii de transfer'!D13</f>
        <v>0.33658923359689652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R120"/>
  <sheetViews>
    <sheetView topLeftCell="A87" workbookViewId="0">
      <selection activeCell="E103" sqref="E103"/>
    </sheetView>
  </sheetViews>
  <sheetFormatPr defaultRowHeight="15" x14ac:dyDescent="0.25"/>
  <cols>
    <col min="2" max="2" width="20.7109375" customWidth="1"/>
    <col min="3" max="3" width="15.5703125" bestFit="1" customWidth="1"/>
    <col min="4" max="4" width="17.5703125" customWidth="1"/>
    <col min="5" max="5" width="16.5703125" customWidth="1"/>
    <col min="6" max="6" width="17.140625" customWidth="1"/>
    <col min="7" max="7" width="16.85546875" customWidth="1"/>
    <col min="8" max="8" width="10.7109375" bestFit="1" customWidth="1"/>
    <col min="9" max="18" width="10.5703125" bestFit="1" customWidth="1"/>
  </cols>
  <sheetData>
    <row r="2" spans="2:6" ht="15.75" thickBot="1" x14ac:dyDescent="0.3">
      <c r="B2" s="1" t="s">
        <v>214</v>
      </c>
    </row>
    <row r="3" spans="2:6" x14ac:dyDescent="0.25">
      <c r="B3" s="38"/>
      <c r="C3" s="34"/>
      <c r="D3" s="315" t="s">
        <v>202</v>
      </c>
      <c r="E3" s="315"/>
      <c r="F3" s="318"/>
    </row>
    <row r="4" spans="2:6" x14ac:dyDescent="0.25">
      <c r="B4" s="4" t="s">
        <v>200</v>
      </c>
      <c r="C4" s="5" t="s">
        <v>201</v>
      </c>
      <c r="D4" s="5" t="s">
        <v>205</v>
      </c>
      <c r="E4" s="5" t="s">
        <v>203</v>
      </c>
      <c r="F4" s="39" t="s">
        <v>204</v>
      </c>
    </row>
    <row r="5" spans="2:6" x14ac:dyDescent="0.25">
      <c r="B5" s="10" t="s">
        <v>206</v>
      </c>
      <c r="C5" s="8">
        <v>7</v>
      </c>
      <c r="D5" s="8">
        <v>1</v>
      </c>
      <c r="E5" s="8">
        <v>1</v>
      </c>
      <c r="F5" s="9">
        <v>2</v>
      </c>
    </row>
    <row r="6" spans="2:6" x14ac:dyDescent="0.25">
      <c r="B6" s="10" t="s">
        <v>142</v>
      </c>
      <c r="C6" s="8">
        <v>5</v>
      </c>
      <c r="D6" s="8">
        <v>1</v>
      </c>
      <c r="E6" s="8">
        <v>1</v>
      </c>
      <c r="F6" s="9">
        <v>1</v>
      </c>
    </row>
    <row r="7" spans="2:6" ht="15.75" thickBot="1" x14ac:dyDescent="0.3">
      <c r="B7" s="40" t="s">
        <v>27</v>
      </c>
      <c r="C7" s="20">
        <f>SUM(C5:C6)</f>
        <v>12</v>
      </c>
      <c r="D7" s="20">
        <f t="shared" ref="D7:F7" si="0">SUM(D5:D6)</f>
        <v>2</v>
      </c>
      <c r="E7" s="20">
        <f t="shared" si="0"/>
        <v>2</v>
      </c>
      <c r="F7" s="44">
        <f t="shared" si="0"/>
        <v>3</v>
      </c>
    </row>
    <row r="9" spans="2:6" ht="15.75" thickBot="1" x14ac:dyDescent="0.3">
      <c r="B9" s="1" t="s">
        <v>207</v>
      </c>
    </row>
    <row r="10" spans="2:6" x14ac:dyDescent="0.25">
      <c r="B10" s="38"/>
      <c r="C10" s="315" t="s">
        <v>217</v>
      </c>
      <c r="D10" s="315"/>
      <c r="E10" s="315" t="s">
        <v>218</v>
      </c>
      <c r="F10" s="318"/>
    </row>
    <row r="11" spans="2:6" ht="30" x14ac:dyDescent="0.25">
      <c r="B11" s="4" t="s">
        <v>200</v>
      </c>
      <c r="C11" s="5" t="s">
        <v>208</v>
      </c>
      <c r="D11" s="5" t="s">
        <v>209</v>
      </c>
      <c r="E11" s="7" t="s">
        <v>238</v>
      </c>
      <c r="F11" s="25" t="s">
        <v>210</v>
      </c>
    </row>
    <row r="12" spans="2:6" x14ac:dyDescent="0.25">
      <c r="B12" s="10" t="s">
        <v>206</v>
      </c>
      <c r="C12" s="8">
        <v>7</v>
      </c>
      <c r="D12" s="8">
        <v>1</v>
      </c>
      <c r="E12" s="8">
        <v>2</v>
      </c>
      <c r="F12" s="9">
        <v>1</v>
      </c>
    </row>
    <row r="13" spans="2:6" x14ac:dyDescent="0.25">
      <c r="B13" s="10" t="s">
        <v>142</v>
      </c>
      <c r="C13" s="8">
        <v>7</v>
      </c>
      <c r="D13" s="8">
        <v>1</v>
      </c>
      <c r="E13" s="8">
        <v>2</v>
      </c>
      <c r="F13" s="9">
        <v>1</v>
      </c>
    </row>
    <row r="14" spans="2:6" ht="15.75" thickBot="1" x14ac:dyDescent="0.3">
      <c r="B14" s="40" t="s">
        <v>27</v>
      </c>
      <c r="C14" s="20">
        <f>SUM(C12:C13)</f>
        <v>14</v>
      </c>
      <c r="D14" s="20">
        <f>SUM(D12:D13)</f>
        <v>2</v>
      </c>
      <c r="E14" s="20">
        <f>SUM(E12:E13)</f>
        <v>4</v>
      </c>
      <c r="F14" s="44">
        <f>SUM(F12:F13)</f>
        <v>2</v>
      </c>
    </row>
    <row r="16" spans="2:6" ht="15.75" thickBot="1" x14ac:dyDescent="0.3">
      <c r="B16" s="1" t="s">
        <v>225</v>
      </c>
    </row>
    <row r="17" spans="2:7" x14ac:dyDescent="0.25">
      <c r="B17" s="38" t="s">
        <v>220</v>
      </c>
      <c r="C17" s="3" t="s">
        <v>221</v>
      </c>
      <c r="D17" s="3" t="s">
        <v>202</v>
      </c>
      <c r="E17" s="3" t="s">
        <v>222</v>
      </c>
      <c r="F17" s="3" t="s">
        <v>223</v>
      </c>
      <c r="G17" s="45" t="s">
        <v>224</v>
      </c>
    </row>
    <row r="18" spans="2:7" x14ac:dyDescent="0.25">
      <c r="B18" s="10" t="s">
        <v>2</v>
      </c>
      <c r="C18" s="11">
        <v>649103</v>
      </c>
      <c r="D18" s="11">
        <v>354568</v>
      </c>
      <c r="E18" s="11">
        <f>C18+D18</f>
        <v>1003671</v>
      </c>
      <c r="F18" s="11">
        <f>C18/25+D18/7</f>
        <v>76616.69142857143</v>
      </c>
      <c r="G18" s="46">
        <v>71565</v>
      </c>
    </row>
    <row r="19" spans="2:7" ht="15.75" thickBot="1" x14ac:dyDescent="0.3">
      <c r="B19" s="12" t="s">
        <v>142</v>
      </c>
      <c r="C19" s="36">
        <v>628835</v>
      </c>
      <c r="D19" s="36">
        <v>346863</v>
      </c>
      <c r="E19" s="36">
        <f>C19+D19</f>
        <v>975698</v>
      </c>
      <c r="F19" s="36">
        <f>C19/25+D19/7</f>
        <v>74705.257142857154</v>
      </c>
      <c r="G19" s="47">
        <v>56529</v>
      </c>
    </row>
    <row r="22" spans="2:7" ht="15.75" thickBot="1" x14ac:dyDescent="0.3">
      <c r="B22" s="1" t="s">
        <v>260</v>
      </c>
    </row>
    <row r="23" spans="2:7" x14ac:dyDescent="0.25">
      <c r="B23" s="2"/>
      <c r="C23" s="34" t="s">
        <v>246</v>
      </c>
      <c r="D23" s="34" t="s">
        <v>247</v>
      </c>
      <c r="E23" s="24" t="s">
        <v>27</v>
      </c>
    </row>
    <row r="24" spans="2:7" x14ac:dyDescent="0.25">
      <c r="B24" s="87" t="s">
        <v>261</v>
      </c>
      <c r="C24" s="11">
        <v>1</v>
      </c>
      <c r="D24" s="11">
        <f>E24/C24</f>
        <v>43500</v>
      </c>
      <c r="E24" s="80">
        <v>43500</v>
      </c>
    </row>
    <row r="25" spans="2:7" x14ac:dyDescent="0.25">
      <c r="B25" s="87" t="s">
        <v>262</v>
      </c>
      <c r="C25" s="11">
        <v>1</v>
      </c>
      <c r="D25" s="11">
        <f t="shared" ref="D25:D45" si="1">E25/C25</f>
        <v>120698</v>
      </c>
      <c r="E25" s="80">
        <v>120698</v>
      </c>
    </row>
    <row r="26" spans="2:7" x14ac:dyDescent="0.25">
      <c r="B26" s="87" t="s">
        <v>263</v>
      </c>
      <c r="C26" s="11">
        <v>1</v>
      </c>
      <c r="D26" s="11">
        <f t="shared" si="1"/>
        <v>136300</v>
      </c>
      <c r="E26" s="80">
        <v>136300</v>
      </c>
    </row>
    <row r="27" spans="2:7" ht="30" x14ac:dyDescent="0.25">
      <c r="B27" s="87" t="s">
        <v>264</v>
      </c>
      <c r="C27" s="11">
        <v>1</v>
      </c>
      <c r="D27" s="11">
        <f t="shared" si="1"/>
        <v>83331</v>
      </c>
      <c r="E27" s="80">
        <v>83331</v>
      </c>
      <c r="G27" s="1" t="s">
        <v>408</v>
      </c>
    </row>
    <row r="28" spans="2:7" ht="30" x14ac:dyDescent="0.25">
      <c r="B28" s="87" t="s">
        <v>265</v>
      </c>
      <c r="C28" s="11">
        <v>1</v>
      </c>
      <c r="D28" s="11">
        <f t="shared" si="1"/>
        <v>25065</v>
      </c>
      <c r="E28" s="80">
        <v>25065</v>
      </c>
    </row>
    <row r="29" spans="2:7" x14ac:dyDescent="0.25">
      <c r="B29" s="87" t="s">
        <v>266</v>
      </c>
      <c r="C29" s="11">
        <v>1</v>
      </c>
      <c r="D29" s="11">
        <f t="shared" si="1"/>
        <v>3089</v>
      </c>
      <c r="E29" s="80">
        <v>3089</v>
      </c>
    </row>
    <row r="30" spans="2:7" x14ac:dyDescent="0.25">
      <c r="B30" s="87" t="s">
        <v>267</v>
      </c>
      <c r="C30" s="11">
        <v>1</v>
      </c>
      <c r="D30" s="11">
        <f t="shared" si="1"/>
        <v>18780</v>
      </c>
      <c r="E30" s="80">
        <v>18780</v>
      </c>
    </row>
    <row r="31" spans="2:7" ht="30" x14ac:dyDescent="0.25">
      <c r="B31" s="87" t="s">
        <v>268</v>
      </c>
      <c r="C31" s="11">
        <v>1</v>
      </c>
      <c r="D31" s="11">
        <f t="shared" si="1"/>
        <v>48000</v>
      </c>
      <c r="E31" s="80">
        <v>48000</v>
      </c>
    </row>
    <row r="32" spans="2:7" ht="30" x14ac:dyDescent="0.25">
      <c r="B32" s="87" t="s">
        <v>269</v>
      </c>
      <c r="C32" s="11">
        <v>1</v>
      </c>
      <c r="D32" s="11">
        <f t="shared" si="1"/>
        <v>2400</v>
      </c>
      <c r="E32" s="80">
        <v>2400</v>
      </c>
    </row>
    <row r="33" spans="2:6" x14ac:dyDescent="0.25">
      <c r="B33" s="87" t="s">
        <v>270</v>
      </c>
      <c r="C33" s="11">
        <v>1</v>
      </c>
      <c r="D33" s="11">
        <f t="shared" si="1"/>
        <v>10080</v>
      </c>
      <c r="E33" s="80">
        <v>10080</v>
      </c>
    </row>
    <row r="34" spans="2:6" ht="30" x14ac:dyDescent="0.25">
      <c r="B34" s="87" t="s">
        <v>271</v>
      </c>
      <c r="C34" s="11">
        <v>1</v>
      </c>
      <c r="D34" s="11">
        <f t="shared" si="1"/>
        <v>18000</v>
      </c>
      <c r="E34" s="80">
        <v>18000</v>
      </c>
    </row>
    <row r="35" spans="2:6" ht="30" x14ac:dyDescent="0.25">
      <c r="B35" s="87" t="s">
        <v>272</v>
      </c>
      <c r="C35" s="11">
        <v>1</v>
      </c>
      <c r="D35" s="11">
        <f t="shared" si="1"/>
        <v>9000</v>
      </c>
      <c r="E35" s="80">
        <v>9000</v>
      </c>
    </row>
    <row r="36" spans="2:6" x14ac:dyDescent="0.25">
      <c r="B36" s="87" t="s">
        <v>251</v>
      </c>
      <c r="C36" s="11">
        <v>1</v>
      </c>
      <c r="D36" s="11">
        <f t="shared" si="1"/>
        <v>130861</v>
      </c>
      <c r="E36" s="80">
        <v>130861</v>
      </c>
    </row>
    <row r="37" spans="2:6" x14ac:dyDescent="0.25">
      <c r="B37" s="87" t="s">
        <v>273</v>
      </c>
      <c r="C37" s="11">
        <v>1</v>
      </c>
      <c r="D37" s="11">
        <f t="shared" si="1"/>
        <v>11500</v>
      </c>
      <c r="E37" s="80">
        <v>11500</v>
      </c>
      <c r="F37" t="s">
        <v>257</v>
      </c>
    </row>
    <row r="38" spans="2:6" x14ac:dyDescent="0.25">
      <c r="B38" s="87" t="s">
        <v>274</v>
      </c>
      <c r="C38" s="11">
        <v>1</v>
      </c>
      <c r="D38" s="11">
        <f t="shared" si="1"/>
        <v>30000</v>
      </c>
      <c r="E38" s="80">
        <v>30000</v>
      </c>
      <c r="F38" t="s">
        <v>284</v>
      </c>
    </row>
    <row r="39" spans="2:6" ht="30" x14ac:dyDescent="0.25">
      <c r="B39" s="87" t="s">
        <v>275</v>
      </c>
      <c r="C39" s="11">
        <v>1</v>
      </c>
      <c r="D39" s="11">
        <f t="shared" si="1"/>
        <v>100000</v>
      </c>
      <c r="E39" s="168">
        <v>100000</v>
      </c>
      <c r="F39" t="s">
        <v>283</v>
      </c>
    </row>
    <row r="40" spans="2:6" ht="30" x14ac:dyDescent="0.25">
      <c r="B40" s="87" t="s">
        <v>276</v>
      </c>
      <c r="C40" s="11">
        <v>1</v>
      </c>
      <c r="D40" s="11">
        <f t="shared" si="1"/>
        <v>32000</v>
      </c>
      <c r="E40" s="80">
        <v>32000</v>
      </c>
      <c r="F40" t="s">
        <v>283</v>
      </c>
    </row>
    <row r="41" spans="2:6" x14ac:dyDescent="0.25">
      <c r="B41" s="87" t="s">
        <v>277</v>
      </c>
      <c r="C41" s="11">
        <v>6</v>
      </c>
      <c r="D41" s="11">
        <f>E41/C41</f>
        <v>8347.1666666666661</v>
      </c>
      <c r="E41" s="80">
        <v>50083</v>
      </c>
      <c r="F41" t="s">
        <v>283</v>
      </c>
    </row>
    <row r="42" spans="2:6" ht="30" x14ac:dyDescent="0.25">
      <c r="B42" s="87" t="s">
        <v>278</v>
      </c>
      <c r="C42" s="11">
        <v>2</v>
      </c>
      <c r="D42" s="11">
        <f t="shared" si="1"/>
        <v>3852.5</v>
      </c>
      <c r="E42" s="168">
        <v>7705</v>
      </c>
      <c r="F42" t="s">
        <v>283</v>
      </c>
    </row>
    <row r="43" spans="2:6" x14ac:dyDescent="0.25">
      <c r="B43" s="87" t="s">
        <v>395</v>
      </c>
      <c r="C43" s="11">
        <v>2</v>
      </c>
      <c r="D43" s="11">
        <f t="shared" si="1"/>
        <v>3852.5</v>
      </c>
      <c r="E43" s="168">
        <v>7705</v>
      </c>
      <c r="F43" t="s">
        <v>283</v>
      </c>
    </row>
    <row r="44" spans="2:6" ht="30" x14ac:dyDescent="0.25">
      <c r="B44" s="87" t="s">
        <v>280</v>
      </c>
      <c r="C44" s="11">
        <v>1</v>
      </c>
      <c r="D44" s="11">
        <f t="shared" si="1"/>
        <v>6325</v>
      </c>
      <c r="E44" s="80">
        <v>6325</v>
      </c>
      <c r="F44" t="s">
        <v>283</v>
      </c>
    </row>
    <row r="45" spans="2:6" x14ac:dyDescent="0.25">
      <c r="B45" s="87" t="s">
        <v>205</v>
      </c>
      <c r="C45" s="11">
        <v>1</v>
      </c>
      <c r="D45" s="11">
        <f t="shared" si="1"/>
        <v>109250</v>
      </c>
      <c r="E45" s="80">
        <v>109250</v>
      </c>
      <c r="F45" t="s">
        <v>257</v>
      </c>
    </row>
    <row r="46" spans="2:6" x14ac:dyDescent="0.25">
      <c r="B46" s="87" t="s">
        <v>281</v>
      </c>
      <c r="C46" s="8"/>
      <c r="D46" s="8"/>
      <c r="E46" s="9"/>
    </row>
    <row r="47" spans="2:6" ht="15.75" thickBot="1" x14ac:dyDescent="0.3">
      <c r="B47" s="93" t="s">
        <v>282</v>
      </c>
      <c r="C47" s="20"/>
      <c r="D47" s="20"/>
      <c r="E47" s="37">
        <f>SUM(E24:E46)</f>
        <v>1003672</v>
      </c>
    </row>
    <row r="48" spans="2:6" x14ac:dyDescent="0.25">
      <c r="B48" s="94" t="s">
        <v>221</v>
      </c>
      <c r="C48" s="3"/>
      <c r="D48" s="3"/>
      <c r="E48" s="95">
        <f>E24+E25+E26+E27+E28+E29+E30+E31+E32+E33+E34+E35+E36</f>
        <v>649104</v>
      </c>
    </row>
    <row r="49" spans="2:6" ht="30" x14ac:dyDescent="0.25">
      <c r="B49" s="87" t="s">
        <v>253</v>
      </c>
      <c r="C49" s="8"/>
      <c r="D49" s="8"/>
      <c r="E49" s="96">
        <f>E37+E38</f>
        <v>41500</v>
      </c>
    </row>
    <row r="50" spans="2:6" ht="30" x14ac:dyDescent="0.25">
      <c r="B50" s="87" t="s">
        <v>254</v>
      </c>
      <c r="C50" s="8"/>
      <c r="D50" s="8"/>
      <c r="E50" s="96">
        <f>E45</f>
        <v>109250</v>
      </c>
    </row>
    <row r="51" spans="2:6" ht="15.75" thickBot="1" x14ac:dyDescent="0.3">
      <c r="B51" s="48" t="s">
        <v>255</v>
      </c>
      <c r="C51" s="13"/>
      <c r="D51" s="13"/>
      <c r="E51" s="97">
        <f>E39+E40+E41+E42+E43+E44</f>
        <v>203818</v>
      </c>
      <c r="F51" s="88">
        <f>SUM(E48:E51)-E47</f>
        <v>0</v>
      </c>
    </row>
    <row r="54" spans="2:6" ht="15.75" thickBot="1" x14ac:dyDescent="0.3">
      <c r="B54" s="1" t="s">
        <v>396</v>
      </c>
    </row>
    <row r="55" spans="2:6" x14ac:dyDescent="0.25">
      <c r="B55" s="2"/>
      <c r="C55" s="34" t="s">
        <v>246</v>
      </c>
      <c r="D55" s="34" t="s">
        <v>714</v>
      </c>
      <c r="E55" s="24" t="s">
        <v>27</v>
      </c>
    </row>
    <row r="56" spans="2:6" x14ac:dyDescent="0.25">
      <c r="B56" s="87" t="s">
        <v>261</v>
      </c>
      <c r="C56" s="11">
        <v>1</v>
      </c>
      <c r="D56" s="11">
        <f>E56/C56</f>
        <v>31000</v>
      </c>
      <c r="E56" s="80">
        <v>31000</v>
      </c>
      <c r="F56">
        <f>C56*D56</f>
        <v>31000</v>
      </c>
    </row>
    <row r="57" spans="2:6" x14ac:dyDescent="0.25">
      <c r="B57" s="87" t="s">
        <v>262</v>
      </c>
      <c r="C57" s="11">
        <v>1</v>
      </c>
      <c r="D57" s="11">
        <f t="shared" ref="D57:D77" si="2">E57/C57</f>
        <v>110034</v>
      </c>
      <c r="E57" s="80">
        <v>110034</v>
      </c>
      <c r="F57">
        <f t="shared" ref="F57:F76" si="3">C57*D57</f>
        <v>110034</v>
      </c>
    </row>
    <row r="58" spans="2:6" x14ac:dyDescent="0.25">
      <c r="B58" s="87" t="s">
        <v>263</v>
      </c>
      <c r="C58" s="11">
        <v>1</v>
      </c>
      <c r="D58" s="11">
        <f t="shared" si="2"/>
        <v>136300</v>
      </c>
      <c r="E58" s="80">
        <v>136300</v>
      </c>
      <c r="F58">
        <f t="shared" si="3"/>
        <v>136300</v>
      </c>
    </row>
    <row r="59" spans="2:6" ht="30" x14ac:dyDescent="0.25">
      <c r="B59" s="87" t="s">
        <v>264</v>
      </c>
      <c r="C59" s="11">
        <v>1</v>
      </c>
      <c r="D59" s="11">
        <f t="shared" si="2"/>
        <v>64981</v>
      </c>
      <c r="E59" s="80">
        <v>64981</v>
      </c>
      <c r="F59">
        <f t="shared" si="3"/>
        <v>64981</v>
      </c>
    </row>
    <row r="60" spans="2:6" ht="30" x14ac:dyDescent="0.25">
      <c r="B60" s="87" t="s">
        <v>265</v>
      </c>
      <c r="C60" s="11">
        <v>1</v>
      </c>
      <c r="D60" s="11">
        <f t="shared" si="2"/>
        <v>25065</v>
      </c>
      <c r="E60" s="80">
        <v>25065</v>
      </c>
      <c r="F60">
        <f t="shared" si="3"/>
        <v>25065</v>
      </c>
    </row>
    <row r="61" spans="2:6" x14ac:dyDescent="0.25">
      <c r="B61" s="87" t="s">
        <v>266</v>
      </c>
      <c r="C61" s="11">
        <v>1</v>
      </c>
      <c r="D61" s="11">
        <f t="shared" si="2"/>
        <v>2900</v>
      </c>
      <c r="E61" s="80">
        <v>2900</v>
      </c>
      <c r="F61">
        <f t="shared" si="3"/>
        <v>2900</v>
      </c>
    </row>
    <row r="62" spans="2:6" x14ac:dyDescent="0.25">
      <c r="B62" s="87" t="s">
        <v>267</v>
      </c>
      <c r="C62" s="11">
        <v>1</v>
      </c>
      <c r="D62" s="11">
        <f t="shared" si="2"/>
        <v>18150</v>
      </c>
      <c r="E62" s="80">
        <v>18150</v>
      </c>
      <c r="F62">
        <f t="shared" si="3"/>
        <v>18150</v>
      </c>
    </row>
    <row r="63" spans="2:6" ht="30" x14ac:dyDescent="0.25">
      <c r="B63" s="87" t="s">
        <v>268</v>
      </c>
      <c r="C63" s="11">
        <v>1</v>
      </c>
      <c r="D63" s="11">
        <f t="shared" si="2"/>
        <v>48000</v>
      </c>
      <c r="E63" s="80">
        <v>48000</v>
      </c>
      <c r="F63">
        <f>C63*D63</f>
        <v>48000</v>
      </c>
    </row>
    <row r="64" spans="2:6" ht="30" x14ac:dyDescent="0.25">
      <c r="B64" s="87" t="s">
        <v>269</v>
      </c>
      <c r="C64" s="11">
        <v>1</v>
      </c>
      <c r="D64" s="11">
        <f t="shared" si="2"/>
        <v>4000</v>
      </c>
      <c r="E64" s="80">
        <v>4000</v>
      </c>
      <c r="F64">
        <f t="shared" si="3"/>
        <v>4000</v>
      </c>
    </row>
    <row r="65" spans="2:8" x14ac:dyDescent="0.25">
      <c r="B65" s="87" t="s">
        <v>270</v>
      </c>
      <c r="C65" s="11">
        <v>1</v>
      </c>
      <c r="D65" s="11">
        <f t="shared" si="2"/>
        <v>16800</v>
      </c>
      <c r="E65" s="80">
        <v>16800</v>
      </c>
      <c r="F65">
        <f t="shared" si="3"/>
        <v>16800</v>
      </c>
    </row>
    <row r="66" spans="2:8" ht="30" x14ac:dyDescent="0.25">
      <c r="B66" s="87" t="s">
        <v>271</v>
      </c>
      <c r="C66" s="11">
        <v>1</v>
      </c>
      <c r="D66" s="11">
        <f t="shared" si="2"/>
        <v>30000</v>
      </c>
      <c r="E66" s="80">
        <v>30000</v>
      </c>
      <c r="F66">
        <f t="shared" si="3"/>
        <v>30000</v>
      </c>
    </row>
    <row r="67" spans="2:8" ht="30" x14ac:dyDescent="0.25">
      <c r="B67" s="87" t="s">
        <v>272</v>
      </c>
      <c r="C67" s="11">
        <v>1</v>
      </c>
      <c r="D67" s="11">
        <f t="shared" si="2"/>
        <v>15000</v>
      </c>
      <c r="E67" s="80">
        <v>15000</v>
      </c>
      <c r="F67">
        <f>C67*D67</f>
        <v>15000</v>
      </c>
    </row>
    <row r="68" spans="2:8" x14ac:dyDescent="0.25">
      <c r="B68" s="87" t="s">
        <v>251</v>
      </c>
      <c r="C68" s="11">
        <v>1</v>
      </c>
      <c r="D68" s="11">
        <f t="shared" si="2"/>
        <v>126604</v>
      </c>
      <c r="E68" s="80">
        <v>126604</v>
      </c>
      <c r="F68">
        <f t="shared" si="3"/>
        <v>126604</v>
      </c>
    </row>
    <row r="69" spans="2:8" x14ac:dyDescent="0.25">
      <c r="B69" s="87" t="s">
        <v>273</v>
      </c>
      <c r="C69" s="11">
        <v>1</v>
      </c>
      <c r="D69" s="11">
        <f t="shared" si="2"/>
        <v>11500</v>
      </c>
      <c r="E69" s="80">
        <v>11500</v>
      </c>
      <c r="F69">
        <f t="shared" si="3"/>
        <v>11500</v>
      </c>
    </row>
    <row r="70" spans="2:8" x14ac:dyDescent="0.25">
      <c r="B70" s="87" t="s">
        <v>274</v>
      </c>
      <c r="C70" s="11">
        <v>1</v>
      </c>
      <c r="D70" s="11">
        <f t="shared" si="2"/>
        <v>30000</v>
      </c>
      <c r="E70" s="80">
        <v>30000</v>
      </c>
      <c r="F70">
        <f>C70*D70</f>
        <v>30000</v>
      </c>
    </row>
    <row r="71" spans="2:8" ht="30" x14ac:dyDescent="0.25">
      <c r="B71" s="87" t="s">
        <v>275</v>
      </c>
      <c r="C71" s="11">
        <v>1</v>
      </c>
      <c r="D71" s="11">
        <f t="shared" si="2"/>
        <v>100000</v>
      </c>
      <c r="E71" s="168">
        <v>100000</v>
      </c>
      <c r="F71">
        <f t="shared" si="3"/>
        <v>100000</v>
      </c>
    </row>
    <row r="72" spans="2:8" ht="30" x14ac:dyDescent="0.25">
      <c r="B72" s="87" t="s">
        <v>276</v>
      </c>
      <c r="C72" s="11">
        <v>1</v>
      </c>
      <c r="D72" s="11">
        <f t="shared" si="2"/>
        <v>32000</v>
      </c>
      <c r="E72" s="80">
        <v>32000</v>
      </c>
      <c r="F72">
        <f t="shared" si="3"/>
        <v>32000</v>
      </c>
    </row>
    <row r="73" spans="2:8" x14ac:dyDescent="0.25">
      <c r="B73" s="87" t="s">
        <v>277</v>
      </c>
      <c r="C73" s="11">
        <v>6</v>
      </c>
      <c r="D73" s="11">
        <f t="shared" si="2"/>
        <v>7063</v>
      </c>
      <c r="E73" s="168">
        <v>42378</v>
      </c>
      <c r="F73">
        <f t="shared" si="3"/>
        <v>42378</v>
      </c>
    </row>
    <row r="74" spans="2:8" ht="30" x14ac:dyDescent="0.25">
      <c r="B74" s="87" t="s">
        <v>278</v>
      </c>
      <c r="C74" s="11">
        <v>2</v>
      </c>
      <c r="D74" s="11">
        <f t="shared" si="2"/>
        <v>3852.5</v>
      </c>
      <c r="E74" s="168">
        <v>7705</v>
      </c>
      <c r="F74">
        <f t="shared" si="3"/>
        <v>7705</v>
      </c>
    </row>
    <row r="75" spans="2:8" x14ac:dyDescent="0.25">
      <c r="B75" s="87" t="s">
        <v>279</v>
      </c>
      <c r="C75" s="11">
        <v>2</v>
      </c>
      <c r="D75" s="11">
        <f t="shared" si="2"/>
        <v>3852.5</v>
      </c>
      <c r="E75" s="168">
        <v>7705</v>
      </c>
      <c r="F75">
        <f t="shared" si="3"/>
        <v>7705</v>
      </c>
    </row>
    <row r="76" spans="2:8" ht="30" x14ac:dyDescent="0.25">
      <c r="B76" s="87" t="s">
        <v>280</v>
      </c>
      <c r="C76" s="11">
        <v>1</v>
      </c>
      <c r="D76" s="11">
        <f t="shared" si="2"/>
        <v>6325</v>
      </c>
      <c r="E76" s="80">
        <v>6325</v>
      </c>
      <c r="F76">
        <f t="shared" si="3"/>
        <v>6325</v>
      </c>
    </row>
    <row r="77" spans="2:8" x14ac:dyDescent="0.25">
      <c r="B77" s="87" t="s">
        <v>205</v>
      </c>
      <c r="C77" s="11">
        <v>1</v>
      </c>
      <c r="D77" s="11">
        <f t="shared" si="2"/>
        <v>109250</v>
      </c>
      <c r="E77" s="80">
        <v>109250</v>
      </c>
      <c r="F77">
        <f>C77*D77</f>
        <v>109250</v>
      </c>
    </row>
    <row r="78" spans="2:8" x14ac:dyDescent="0.25">
      <c r="B78" s="87" t="s">
        <v>281</v>
      </c>
      <c r="C78" s="8"/>
      <c r="D78" s="8"/>
      <c r="E78" s="9"/>
      <c r="G78" s="77">
        <v>1908368</v>
      </c>
    </row>
    <row r="79" spans="2:8" ht="15.75" thickBot="1" x14ac:dyDescent="0.3">
      <c r="B79" s="93" t="s">
        <v>282</v>
      </c>
      <c r="C79" s="20"/>
      <c r="D79" s="20"/>
      <c r="E79" s="37">
        <f>SUM(E56:E78)</f>
        <v>975697</v>
      </c>
      <c r="G79" s="88">
        <f>E79+E47</f>
        <v>1979369</v>
      </c>
      <c r="H79" s="99">
        <f>G79-G78</f>
        <v>71001</v>
      </c>
    </row>
    <row r="80" spans="2:8" x14ac:dyDescent="0.25">
      <c r="B80" s="94" t="s">
        <v>221</v>
      </c>
      <c r="C80" s="3"/>
      <c r="D80" s="3"/>
      <c r="E80" s="95">
        <f>E56+E57+E58+E59+E60+E61+E62+E63+E64+E65+E66+E67+E68</f>
        <v>628834</v>
      </c>
      <c r="G80" s="88">
        <f>E80+E48-1229938</f>
        <v>48000</v>
      </c>
    </row>
    <row r="81" spans="2:7" ht="30" x14ac:dyDescent="0.25">
      <c r="B81" s="87" t="s">
        <v>253</v>
      </c>
      <c r="C81" s="8"/>
      <c r="D81" s="8"/>
      <c r="E81" s="96">
        <f>E69+E70</f>
        <v>41500</v>
      </c>
      <c r="G81" s="88">
        <f>E80+E48</f>
        <v>1277938</v>
      </c>
    </row>
    <row r="82" spans="2:7" ht="30" x14ac:dyDescent="0.25">
      <c r="B82" s="87" t="s">
        <v>254</v>
      </c>
      <c r="C82" s="8"/>
      <c r="D82" s="8"/>
      <c r="E82" s="96">
        <f>E77</f>
        <v>109250</v>
      </c>
    </row>
    <row r="83" spans="2:7" ht="15.75" thickBot="1" x14ac:dyDescent="0.3">
      <c r="B83" s="48" t="s">
        <v>255</v>
      </c>
      <c r="C83" s="13"/>
      <c r="D83" s="13"/>
      <c r="E83" s="97">
        <f>E71+E72+E73+E74+E75+E76</f>
        <v>196113</v>
      </c>
      <c r="F83" s="88">
        <f>SUM(E80:E83)-E79</f>
        <v>0</v>
      </c>
    </row>
    <row r="85" spans="2:7" ht="15.75" thickBot="1" x14ac:dyDescent="0.3"/>
    <row r="86" spans="2:7" x14ac:dyDescent="0.25">
      <c r="B86" s="115" t="s">
        <v>221</v>
      </c>
      <c r="C86" s="116">
        <f>E80+E48</f>
        <v>1277938</v>
      </c>
      <c r="D86" s="95">
        <f>C86-1229938</f>
        <v>48000</v>
      </c>
    </row>
    <row r="87" spans="2:7" ht="30" x14ac:dyDescent="0.25">
      <c r="B87" s="117" t="s">
        <v>304</v>
      </c>
      <c r="C87" s="111">
        <f>E37+E38+E39+E40+E45+E69+E70+E71+E72+E77</f>
        <v>565500</v>
      </c>
      <c r="D87" s="96">
        <f>C87-542500</f>
        <v>23000</v>
      </c>
    </row>
    <row r="88" spans="2:7" x14ac:dyDescent="0.25">
      <c r="B88" s="117" t="s">
        <v>277</v>
      </c>
      <c r="C88" s="111">
        <f>E41+E73</f>
        <v>92461</v>
      </c>
      <c r="D88" s="9"/>
    </row>
    <row r="89" spans="2:7" ht="30.75" thickBot="1" x14ac:dyDescent="0.3">
      <c r="B89" s="118" t="s">
        <v>305</v>
      </c>
      <c r="C89" s="112">
        <f>E42+E43+E44+E74+E75+E76</f>
        <v>43470</v>
      </c>
      <c r="D89" s="14"/>
    </row>
    <row r="90" spans="2:7" ht="15.75" thickBot="1" x14ac:dyDescent="0.3"/>
    <row r="91" spans="2:7" ht="30" x14ac:dyDescent="0.25">
      <c r="B91" s="120" t="s">
        <v>306</v>
      </c>
      <c r="C91" s="130" t="s">
        <v>299</v>
      </c>
      <c r="D91" s="130" t="s">
        <v>307</v>
      </c>
      <c r="E91" s="24" t="s">
        <v>389</v>
      </c>
    </row>
    <row r="92" spans="2:7" x14ac:dyDescent="0.25">
      <c r="B92" s="117" t="s">
        <v>221</v>
      </c>
      <c r="C92" s="111">
        <f>E48</f>
        <v>649104</v>
      </c>
      <c r="D92" s="8">
        <v>25</v>
      </c>
      <c r="E92" s="9"/>
    </row>
    <row r="93" spans="2:7" ht="30" x14ac:dyDescent="0.25">
      <c r="B93" s="117" t="s">
        <v>304</v>
      </c>
      <c r="C93" s="167">
        <f>E37+E38+E40+E45</f>
        <v>182750</v>
      </c>
      <c r="D93" s="8">
        <v>18</v>
      </c>
      <c r="E93" s="96">
        <f>C93/D93</f>
        <v>10152.777777777777</v>
      </c>
    </row>
    <row r="94" spans="2:7" x14ac:dyDescent="0.25">
      <c r="B94" s="117" t="s">
        <v>277</v>
      </c>
      <c r="C94" s="167">
        <f>E41</f>
        <v>50083</v>
      </c>
      <c r="D94" s="169">
        <v>18</v>
      </c>
      <c r="E94" s="96">
        <f>C94/D94</f>
        <v>2782.3888888888887</v>
      </c>
    </row>
    <row r="95" spans="2:7" ht="30" x14ac:dyDescent="0.25">
      <c r="B95" s="117" t="s">
        <v>305</v>
      </c>
      <c r="C95" s="167">
        <f>E44</f>
        <v>6325</v>
      </c>
      <c r="D95" s="169">
        <v>18</v>
      </c>
      <c r="E95" s="96">
        <f t="shared" ref="E95" si="4">C95/D95</f>
        <v>351.38888888888891</v>
      </c>
    </row>
    <row r="96" spans="2:7" ht="15.75" thickBot="1" x14ac:dyDescent="0.3">
      <c r="B96" s="122" t="s">
        <v>27</v>
      </c>
      <c r="C96" s="23">
        <f>C92+C93+C94+C95</f>
        <v>888262</v>
      </c>
      <c r="D96" s="20"/>
      <c r="E96" s="73">
        <f>E93+E94+E95</f>
        <v>13286.555555555555</v>
      </c>
      <c r="G96" s="88">
        <f>C96+E39+E42+E43</f>
        <v>1003672</v>
      </c>
    </row>
    <row r="97" spans="1:18" ht="15.75" thickBot="1" x14ac:dyDescent="0.3"/>
    <row r="98" spans="1:18" ht="30" x14ac:dyDescent="0.25">
      <c r="B98" s="120" t="s">
        <v>308</v>
      </c>
      <c r="C98" s="130" t="s">
        <v>299</v>
      </c>
      <c r="D98" s="130" t="s">
        <v>307</v>
      </c>
      <c r="E98" s="24" t="s">
        <v>389</v>
      </c>
    </row>
    <row r="99" spans="1:18" x14ac:dyDescent="0.25">
      <c r="B99" s="117" t="s">
        <v>221</v>
      </c>
      <c r="C99" s="111">
        <f>E80</f>
        <v>628834</v>
      </c>
      <c r="D99" s="8">
        <v>25</v>
      </c>
      <c r="E99" s="9"/>
    </row>
    <row r="100" spans="1:18" ht="30" x14ac:dyDescent="0.25">
      <c r="B100" s="117" t="s">
        <v>304</v>
      </c>
      <c r="C100" s="167">
        <f>E69+E70+E72+E77</f>
        <v>182750</v>
      </c>
      <c r="D100" s="8">
        <v>18</v>
      </c>
      <c r="E100" s="376">
        <f>C100/D100</f>
        <v>10152.777777777777</v>
      </c>
    </row>
    <row r="101" spans="1:18" x14ac:dyDescent="0.25">
      <c r="B101" s="117" t="s">
        <v>277</v>
      </c>
      <c r="C101" s="167">
        <v>0</v>
      </c>
      <c r="D101" s="169">
        <v>18</v>
      </c>
      <c r="E101" s="96">
        <f t="shared" ref="E101:E102" si="5">C101/D101</f>
        <v>0</v>
      </c>
    </row>
    <row r="102" spans="1:18" ht="30" x14ac:dyDescent="0.25">
      <c r="B102" s="117" t="s">
        <v>305</v>
      </c>
      <c r="C102" s="167">
        <f>E76</f>
        <v>6325</v>
      </c>
      <c r="D102" s="169">
        <v>18</v>
      </c>
      <c r="E102" s="376">
        <f>C102/D102</f>
        <v>351.38888888888891</v>
      </c>
    </row>
    <row r="103" spans="1:18" ht="15.75" thickBot="1" x14ac:dyDescent="0.3">
      <c r="B103" s="122" t="s">
        <v>27</v>
      </c>
      <c r="C103" s="23">
        <f>SUM(C99:C102)</f>
        <v>817909</v>
      </c>
      <c r="D103" s="23">
        <f t="shared" ref="D103:E103" si="6">SUM(D99:D102)</f>
        <v>79</v>
      </c>
      <c r="E103" s="73">
        <f>SUM(E99:E102)</f>
        <v>10504.166666666666</v>
      </c>
      <c r="G103" s="88">
        <f>C103+E71+E73+E74+E75</f>
        <v>975697</v>
      </c>
    </row>
    <row r="104" spans="1:18" x14ac:dyDescent="0.25">
      <c r="E104" s="157"/>
    </row>
    <row r="105" spans="1:18" ht="15.75" thickBot="1" x14ac:dyDescent="0.3">
      <c r="E105" s="157"/>
    </row>
    <row r="106" spans="1:18" ht="30" x14ac:dyDescent="0.25">
      <c r="A106" t="s">
        <v>313</v>
      </c>
      <c r="B106" s="119" t="s">
        <v>309</v>
      </c>
      <c r="C106" s="34">
        <v>1</v>
      </c>
      <c r="D106" s="34">
        <v>2</v>
      </c>
      <c r="E106" s="34">
        <v>3</v>
      </c>
      <c r="F106" s="34">
        <v>4</v>
      </c>
      <c r="G106" s="34">
        <v>5</v>
      </c>
      <c r="H106" s="34">
        <v>6</v>
      </c>
      <c r="I106" s="34">
        <v>7</v>
      </c>
      <c r="J106" s="34">
        <v>8</v>
      </c>
      <c r="K106" s="34">
        <v>9</v>
      </c>
      <c r="L106" s="34">
        <v>10</v>
      </c>
      <c r="M106" s="34">
        <v>11</v>
      </c>
      <c r="N106" s="34">
        <v>12</v>
      </c>
      <c r="O106" s="34">
        <v>13</v>
      </c>
      <c r="P106" s="34">
        <v>14</v>
      </c>
      <c r="Q106" s="34">
        <v>15</v>
      </c>
      <c r="R106" s="24">
        <v>16</v>
      </c>
    </row>
    <row r="107" spans="1:18" ht="30" x14ac:dyDescent="0.25">
      <c r="B107" s="117" t="s">
        <v>310</v>
      </c>
      <c r="C107" s="11">
        <f>$C$93/$D$93</f>
        <v>10152.777777777777</v>
      </c>
      <c r="D107" s="11">
        <f t="shared" ref="D107:R107" si="7">$C$93/$D$93</f>
        <v>10152.777777777777</v>
      </c>
      <c r="E107" s="11">
        <f t="shared" si="7"/>
        <v>10152.777777777777</v>
      </c>
      <c r="F107" s="11">
        <f t="shared" si="7"/>
        <v>10152.777777777777</v>
      </c>
      <c r="G107" s="11">
        <f t="shared" si="7"/>
        <v>10152.777777777777</v>
      </c>
      <c r="H107" s="11">
        <f t="shared" si="7"/>
        <v>10152.777777777777</v>
      </c>
      <c r="I107" s="11">
        <f t="shared" si="7"/>
        <v>10152.777777777777</v>
      </c>
      <c r="J107" s="11">
        <f t="shared" si="7"/>
        <v>10152.777777777777</v>
      </c>
      <c r="K107" s="11">
        <f t="shared" si="7"/>
        <v>10152.777777777777</v>
      </c>
      <c r="L107" s="11">
        <f t="shared" si="7"/>
        <v>10152.777777777777</v>
      </c>
      <c r="M107" s="11">
        <f t="shared" si="7"/>
        <v>10152.777777777777</v>
      </c>
      <c r="N107" s="11">
        <f t="shared" si="7"/>
        <v>10152.777777777777</v>
      </c>
      <c r="O107" s="11">
        <f t="shared" si="7"/>
        <v>10152.777777777777</v>
      </c>
      <c r="P107" s="11">
        <f t="shared" si="7"/>
        <v>10152.777777777777</v>
      </c>
      <c r="Q107" s="11">
        <f t="shared" si="7"/>
        <v>10152.777777777777</v>
      </c>
      <c r="R107" s="80">
        <f t="shared" si="7"/>
        <v>10152.777777777777</v>
      </c>
    </row>
    <row r="108" spans="1:18" ht="30" x14ac:dyDescent="0.25">
      <c r="B108" s="117" t="s">
        <v>311</v>
      </c>
      <c r="C108" s="111">
        <f>$C$94/$D$94</f>
        <v>2782.3888888888887</v>
      </c>
      <c r="D108" s="111">
        <f t="shared" ref="D108:R108" si="8">$C$94/$D$94</f>
        <v>2782.3888888888887</v>
      </c>
      <c r="E108" s="111">
        <f t="shared" si="8"/>
        <v>2782.3888888888887</v>
      </c>
      <c r="F108" s="111">
        <f t="shared" si="8"/>
        <v>2782.3888888888887</v>
      </c>
      <c r="G108" s="111">
        <f t="shared" si="8"/>
        <v>2782.3888888888887</v>
      </c>
      <c r="H108" s="111">
        <f t="shared" si="8"/>
        <v>2782.3888888888887</v>
      </c>
      <c r="I108" s="111">
        <f t="shared" si="8"/>
        <v>2782.3888888888887</v>
      </c>
      <c r="J108" s="111">
        <f t="shared" si="8"/>
        <v>2782.3888888888887</v>
      </c>
      <c r="K108" s="111">
        <f t="shared" si="8"/>
        <v>2782.3888888888887</v>
      </c>
      <c r="L108" s="111">
        <f t="shared" si="8"/>
        <v>2782.3888888888887</v>
      </c>
      <c r="M108" s="111">
        <f t="shared" si="8"/>
        <v>2782.3888888888887</v>
      </c>
      <c r="N108" s="111">
        <f t="shared" si="8"/>
        <v>2782.3888888888887</v>
      </c>
      <c r="O108" s="111">
        <f t="shared" si="8"/>
        <v>2782.3888888888887</v>
      </c>
      <c r="P108" s="111">
        <f t="shared" si="8"/>
        <v>2782.3888888888887</v>
      </c>
      <c r="Q108" s="111">
        <f t="shared" si="8"/>
        <v>2782.3888888888887</v>
      </c>
      <c r="R108" s="96">
        <f t="shared" si="8"/>
        <v>2782.3888888888887</v>
      </c>
    </row>
    <row r="109" spans="1:18" ht="30" x14ac:dyDescent="0.25">
      <c r="B109" s="117" t="s">
        <v>312</v>
      </c>
      <c r="C109" s="111">
        <f>$C$95/$D$95</f>
        <v>351.38888888888891</v>
      </c>
      <c r="D109" s="111">
        <f t="shared" ref="D109:R109" si="9">$C$95/$D$95</f>
        <v>351.38888888888891</v>
      </c>
      <c r="E109" s="111">
        <f t="shared" si="9"/>
        <v>351.38888888888891</v>
      </c>
      <c r="F109" s="111">
        <f t="shared" si="9"/>
        <v>351.38888888888891</v>
      </c>
      <c r="G109" s="111">
        <f t="shared" si="9"/>
        <v>351.38888888888891</v>
      </c>
      <c r="H109" s="111">
        <f t="shared" si="9"/>
        <v>351.38888888888891</v>
      </c>
      <c r="I109" s="111">
        <f t="shared" si="9"/>
        <v>351.38888888888891</v>
      </c>
      <c r="J109" s="111">
        <f t="shared" si="9"/>
        <v>351.38888888888891</v>
      </c>
      <c r="K109" s="111">
        <f t="shared" si="9"/>
        <v>351.38888888888891</v>
      </c>
      <c r="L109" s="111">
        <f t="shared" si="9"/>
        <v>351.38888888888891</v>
      </c>
      <c r="M109" s="111">
        <f t="shared" si="9"/>
        <v>351.38888888888891</v>
      </c>
      <c r="N109" s="111">
        <f t="shared" si="9"/>
        <v>351.38888888888891</v>
      </c>
      <c r="O109" s="111">
        <f t="shared" si="9"/>
        <v>351.38888888888891</v>
      </c>
      <c r="P109" s="111">
        <f t="shared" si="9"/>
        <v>351.38888888888891</v>
      </c>
      <c r="Q109" s="111">
        <f t="shared" si="9"/>
        <v>351.38888888888891</v>
      </c>
      <c r="R109" s="96">
        <f t="shared" si="9"/>
        <v>351.38888888888891</v>
      </c>
    </row>
    <row r="110" spans="1:18" ht="15.75" thickBot="1" x14ac:dyDescent="0.3">
      <c r="B110" s="122" t="s">
        <v>27</v>
      </c>
      <c r="C110" s="23">
        <f>SUM(C107:C109)</f>
        <v>13286.555555555555</v>
      </c>
      <c r="D110" s="23">
        <f t="shared" ref="D110:R110" si="10">SUM(D107:D109)</f>
        <v>13286.555555555555</v>
      </c>
      <c r="E110" s="23">
        <f t="shared" si="10"/>
        <v>13286.555555555555</v>
      </c>
      <c r="F110" s="23">
        <f t="shared" si="10"/>
        <v>13286.555555555555</v>
      </c>
      <c r="G110" s="23">
        <f t="shared" si="10"/>
        <v>13286.555555555555</v>
      </c>
      <c r="H110" s="23">
        <f t="shared" si="10"/>
        <v>13286.555555555555</v>
      </c>
      <c r="I110" s="23">
        <f t="shared" si="10"/>
        <v>13286.555555555555</v>
      </c>
      <c r="J110" s="23">
        <f t="shared" si="10"/>
        <v>13286.555555555555</v>
      </c>
      <c r="K110" s="23">
        <f t="shared" si="10"/>
        <v>13286.555555555555</v>
      </c>
      <c r="L110" s="23">
        <f t="shared" si="10"/>
        <v>13286.555555555555</v>
      </c>
      <c r="M110" s="23">
        <f t="shared" si="10"/>
        <v>13286.555555555555</v>
      </c>
      <c r="N110" s="23">
        <f t="shared" si="10"/>
        <v>13286.555555555555</v>
      </c>
      <c r="O110" s="23">
        <f t="shared" si="10"/>
        <v>13286.555555555555</v>
      </c>
      <c r="P110" s="23">
        <f t="shared" si="10"/>
        <v>13286.555555555555</v>
      </c>
      <c r="Q110" s="23">
        <f t="shared" si="10"/>
        <v>13286.555555555555</v>
      </c>
      <c r="R110" s="73">
        <f t="shared" si="10"/>
        <v>13286.555555555555</v>
      </c>
    </row>
    <row r="112" spans="1:18" ht="15.75" thickBot="1" x14ac:dyDescent="0.3"/>
    <row r="113" spans="1:18" ht="30" x14ac:dyDescent="0.25">
      <c r="A113" t="s">
        <v>313</v>
      </c>
      <c r="B113" s="119" t="s">
        <v>325</v>
      </c>
      <c r="C113" s="34">
        <v>1</v>
      </c>
      <c r="D113" s="34">
        <v>2</v>
      </c>
      <c r="E113" s="34">
        <v>3</v>
      </c>
      <c r="F113" s="34">
        <v>4</v>
      </c>
      <c r="G113" s="34">
        <v>5</v>
      </c>
      <c r="H113" s="34">
        <v>6</v>
      </c>
      <c r="I113" s="34">
        <v>7</v>
      </c>
      <c r="J113" s="34">
        <v>8</v>
      </c>
      <c r="K113" s="34">
        <v>9</v>
      </c>
      <c r="L113" s="34">
        <v>10</v>
      </c>
      <c r="M113" s="34">
        <v>11</v>
      </c>
      <c r="N113" s="34">
        <v>12</v>
      </c>
      <c r="O113" s="34">
        <v>13</v>
      </c>
      <c r="P113" s="34">
        <v>14</v>
      </c>
      <c r="Q113" s="34">
        <v>15</v>
      </c>
      <c r="R113" s="24">
        <v>16</v>
      </c>
    </row>
    <row r="114" spans="1:18" ht="30" x14ac:dyDescent="0.25">
      <c r="B114" s="117" t="s">
        <v>310</v>
      </c>
      <c r="C114" s="375">
        <f>$C$100/$D$100</f>
        <v>10152.777777777777</v>
      </c>
      <c r="D114" s="11">
        <f t="shared" ref="D114:R114" si="11">$C$100/$D$100</f>
        <v>10152.777777777777</v>
      </c>
      <c r="E114" s="11">
        <f t="shared" si="11"/>
        <v>10152.777777777777</v>
      </c>
      <c r="F114" s="11">
        <f t="shared" si="11"/>
        <v>10152.777777777777</v>
      </c>
      <c r="G114" s="11">
        <f t="shared" si="11"/>
        <v>10152.777777777777</v>
      </c>
      <c r="H114" s="11">
        <f t="shared" si="11"/>
        <v>10152.777777777777</v>
      </c>
      <c r="I114" s="11">
        <f t="shared" si="11"/>
        <v>10152.777777777777</v>
      </c>
      <c r="J114" s="11">
        <f t="shared" si="11"/>
        <v>10152.777777777777</v>
      </c>
      <c r="K114" s="11">
        <f t="shared" si="11"/>
        <v>10152.777777777777</v>
      </c>
      <c r="L114" s="11">
        <f t="shared" si="11"/>
        <v>10152.777777777777</v>
      </c>
      <c r="M114" s="11">
        <f t="shared" si="11"/>
        <v>10152.777777777777</v>
      </c>
      <c r="N114" s="11">
        <f t="shared" si="11"/>
        <v>10152.777777777777</v>
      </c>
      <c r="O114" s="11">
        <f t="shared" si="11"/>
        <v>10152.777777777777</v>
      </c>
      <c r="P114" s="11">
        <f t="shared" si="11"/>
        <v>10152.777777777777</v>
      </c>
      <c r="Q114" s="11">
        <f t="shared" si="11"/>
        <v>10152.777777777777</v>
      </c>
      <c r="R114" s="11">
        <f t="shared" si="11"/>
        <v>10152.777777777777</v>
      </c>
    </row>
    <row r="115" spans="1:18" ht="30" x14ac:dyDescent="0.25">
      <c r="B115" s="117" t="s">
        <v>311</v>
      </c>
      <c r="C115" s="111">
        <f>$C$101/$D$101</f>
        <v>0</v>
      </c>
      <c r="D115" s="111">
        <f t="shared" ref="D115:R115" si="12">$C$101/$D$101</f>
        <v>0</v>
      </c>
      <c r="E115" s="111">
        <f t="shared" si="12"/>
        <v>0</v>
      </c>
      <c r="F115" s="111">
        <f t="shared" si="12"/>
        <v>0</v>
      </c>
      <c r="G115" s="111">
        <f t="shared" si="12"/>
        <v>0</v>
      </c>
      <c r="H115" s="111">
        <f t="shared" si="12"/>
        <v>0</v>
      </c>
      <c r="I115" s="111">
        <f t="shared" si="12"/>
        <v>0</v>
      </c>
      <c r="J115" s="111">
        <f t="shared" si="12"/>
        <v>0</v>
      </c>
      <c r="K115" s="111">
        <f t="shared" si="12"/>
        <v>0</v>
      </c>
      <c r="L115" s="111">
        <f t="shared" si="12"/>
        <v>0</v>
      </c>
      <c r="M115" s="111">
        <f t="shared" si="12"/>
        <v>0</v>
      </c>
      <c r="N115" s="111">
        <f t="shared" si="12"/>
        <v>0</v>
      </c>
      <c r="O115" s="111">
        <f t="shared" si="12"/>
        <v>0</v>
      </c>
      <c r="P115" s="111">
        <f t="shared" si="12"/>
        <v>0</v>
      </c>
      <c r="Q115" s="111">
        <f t="shared" si="12"/>
        <v>0</v>
      </c>
      <c r="R115" s="111">
        <f t="shared" si="12"/>
        <v>0</v>
      </c>
    </row>
    <row r="116" spans="1:18" ht="30" x14ac:dyDescent="0.25">
      <c r="B116" s="117" t="s">
        <v>312</v>
      </c>
      <c r="C116" s="377">
        <f>$C$102/$D$102</f>
        <v>351.38888888888891</v>
      </c>
      <c r="D116" s="111">
        <f t="shared" ref="D116:R116" si="13">$C$102/$D$102</f>
        <v>351.38888888888891</v>
      </c>
      <c r="E116" s="111">
        <f t="shared" si="13"/>
        <v>351.38888888888891</v>
      </c>
      <c r="F116" s="111">
        <f t="shared" si="13"/>
        <v>351.38888888888891</v>
      </c>
      <c r="G116" s="111">
        <f t="shared" si="13"/>
        <v>351.38888888888891</v>
      </c>
      <c r="H116" s="111">
        <f t="shared" si="13"/>
        <v>351.38888888888891</v>
      </c>
      <c r="I116" s="111">
        <f t="shared" si="13"/>
        <v>351.38888888888891</v>
      </c>
      <c r="J116" s="111">
        <f t="shared" si="13"/>
        <v>351.38888888888891</v>
      </c>
      <c r="K116" s="111">
        <f t="shared" si="13"/>
        <v>351.38888888888891</v>
      </c>
      <c r="L116" s="111">
        <f t="shared" si="13"/>
        <v>351.38888888888891</v>
      </c>
      <c r="M116" s="111">
        <f t="shared" si="13"/>
        <v>351.38888888888891</v>
      </c>
      <c r="N116" s="111">
        <f t="shared" si="13"/>
        <v>351.38888888888891</v>
      </c>
      <c r="O116" s="111">
        <f t="shared" si="13"/>
        <v>351.38888888888891</v>
      </c>
      <c r="P116" s="111">
        <f t="shared" si="13"/>
        <v>351.38888888888891</v>
      </c>
      <c r="Q116" s="111">
        <f t="shared" si="13"/>
        <v>351.38888888888891</v>
      </c>
      <c r="R116" s="111">
        <f t="shared" si="13"/>
        <v>351.38888888888891</v>
      </c>
    </row>
    <row r="117" spans="1:18" ht="15.75" thickBot="1" x14ac:dyDescent="0.3">
      <c r="B117" s="122" t="s">
        <v>27</v>
      </c>
      <c r="C117" s="23">
        <f>SUM(C114:C116)</f>
        <v>10504.166666666666</v>
      </c>
      <c r="D117" s="23">
        <f t="shared" ref="D117" si="14">SUM(D114:D116)</f>
        <v>10504.166666666666</v>
      </c>
      <c r="E117" s="23">
        <f t="shared" ref="E117" si="15">SUM(E114:E116)</f>
        <v>10504.166666666666</v>
      </c>
      <c r="F117" s="23">
        <f t="shared" ref="F117" si="16">SUM(F114:F116)</f>
        <v>10504.166666666666</v>
      </c>
      <c r="G117" s="23">
        <f t="shared" ref="G117" si="17">SUM(G114:G116)</f>
        <v>10504.166666666666</v>
      </c>
      <c r="H117" s="23">
        <f t="shared" ref="H117" si="18">SUM(H114:H116)</f>
        <v>10504.166666666666</v>
      </c>
      <c r="I117" s="23">
        <f t="shared" ref="I117" si="19">SUM(I114:I116)</f>
        <v>10504.166666666666</v>
      </c>
      <c r="J117" s="23">
        <f t="shared" ref="J117" si="20">SUM(J114:J116)</f>
        <v>10504.166666666666</v>
      </c>
      <c r="K117" s="23">
        <f t="shared" ref="K117" si="21">SUM(K114:K116)</f>
        <v>10504.166666666666</v>
      </c>
      <c r="L117" s="23">
        <f t="shared" ref="L117" si="22">SUM(L114:L116)</f>
        <v>10504.166666666666</v>
      </c>
      <c r="M117" s="23">
        <f t="shared" ref="M117" si="23">SUM(M114:M116)</f>
        <v>10504.166666666666</v>
      </c>
      <c r="N117" s="23">
        <f t="shared" ref="N117" si="24">SUM(N114:N116)</f>
        <v>10504.166666666666</v>
      </c>
      <c r="O117" s="23">
        <f t="shared" ref="O117" si="25">SUM(O114:O116)</f>
        <v>10504.166666666666</v>
      </c>
      <c r="P117" s="23">
        <f t="shared" ref="P117" si="26">SUM(P114:P116)</f>
        <v>10504.166666666666</v>
      </c>
      <c r="Q117" s="23">
        <f t="shared" ref="Q117" si="27">SUM(Q114:Q116)</f>
        <v>10504.166666666666</v>
      </c>
      <c r="R117" s="73">
        <f t="shared" ref="R117" si="28">SUM(R114:R116)</f>
        <v>10504.166666666666</v>
      </c>
    </row>
    <row r="120" spans="1:18" x14ac:dyDescent="0.25">
      <c r="B120" s="1" t="s">
        <v>318</v>
      </c>
      <c r="C120" s="121">
        <f>C110+C117</f>
        <v>23790.722222222219</v>
      </c>
      <c r="D120" s="121">
        <f t="shared" ref="D120:R120" si="29">D110+D117</f>
        <v>23790.722222222219</v>
      </c>
      <c r="E120" s="121">
        <f t="shared" si="29"/>
        <v>23790.722222222219</v>
      </c>
      <c r="F120" s="121">
        <f t="shared" si="29"/>
        <v>23790.722222222219</v>
      </c>
      <c r="G120" s="121">
        <f t="shared" si="29"/>
        <v>23790.722222222219</v>
      </c>
      <c r="H120" s="121">
        <f t="shared" si="29"/>
        <v>23790.722222222219</v>
      </c>
      <c r="I120" s="121">
        <f t="shared" si="29"/>
        <v>23790.722222222219</v>
      </c>
      <c r="J120" s="121">
        <f t="shared" si="29"/>
        <v>23790.722222222219</v>
      </c>
      <c r="K120" s="121">
        <f t="shared" si="29"/>
        <v>23790.722222222219</v>
      </c>
      <c r="L120" s="121">
        <f t="shared" si="29"/>
        <v>23790.722222222219</v>
      </c>
      <c r="M120" s="121">
        <f t="shared" si="29"/>
        <v>23790.722222222219</v>
      </c>
      <c r="N120" s="121">
        <f t="shared" si="29"/>
        <v>23790.722222222219</v>
      </c>
      <c r="O120" s="121">
        <f t="shared" si="29"/>
        <v>23790.722222222219</v>
      </c>
      <c r="P120" s="121">
        <f t="shared" si="29"/>
        <v>23790.722222222219</v>
      </c>
      <c r="Q120" s="121">
        <f t="shared" si="29"/>
        <v>23790.722222222219</v>
      </c>
      <c r="R120" s="121">
        <f t="shared" si="29"/>
        <v>23790.722222222219</v>
      </c>
    </row>
  </sheetData>
  <mergeCells count="3">
    <mergeCell ref="D3:F3"/>
    <mergeCell ref="C10:D10"/>
    <mergeCell ref="E10:F10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36"/>
  <sheetViews>
    <sheetView workbookViewId="0">
      <selection activeCell="P13" sqref="P13"/>
    </sheetView>
  </sheetViews>
  <sheetFormatPr defaultRowHeight="15" x14ac:dyDescent="0.25"/>
  <cols>
    <col min="7" max="7" width="13.140625" customWidth="1"/>
  </cols>
  <sheetData>
    <row r="3" spans="2:14" ht="15.75" thickBot="1" x14ac:dyDescent="0.3">
      <c r="B3" s="1" t="s">
        <v>188</v>
      </c>
    </row>
    <row r="4" spans="2:14" ht="75" x14ac:dyDescent="0.25">
      <c r="B4" s="41" t="s">
        <v>182</v>
      </c>
      <c r="C4" s="42" t="s">
        <v>211</v>
      </c>
      <c r="D4" s="42" t="s">
        <v>212</v>
      </c>
      <c r="E4" s="43" t="s">
        <v>27</v>
      </c>
      <c r="J4" s="41" t="s">
        <v>182</v>
      </c>
      <c r="K4" s="42" t="s">
        <v>399</v>
      </c>
      <c r="L4" s="42" t="s">
        <v>401</v>
      </c>
      <c r="M4" s="42" t="s">
        <v>402</v>
      </c>
      <c r="N4" s="150" t="s">
        <v>403</v>
      </c>
    </row>
    <row r="5" spans="2:14" x14ac:dyDescent="0.25">
      <c r="B5" s="10">
        <v>2010</v>
      </c>
      <c r="C5" s="8">
        <v>12912</v>
      </c>
      <c r="D5" s="8">
        <v>5092</v>
      </c>
      <c r="E5" s="9">
        <f t="shared" ref="E5:E12" si="0">C5+D5</f>
        <v>18004</v>
      </c>
      <c r="F5" s="222">
        <f>C5/E5</f>
        <v>0.71717396134192402</v>
      </c>
      <c r="G5" s="222">
        <f>D5/E5</f>
        <v>0.28282603865807598</v>
      </c>
      <c r="J5" s="10">
        <v>2010</v>
      </c>
      <c r="K5" s="8">
        <v>12912</v>
      </c>
      <c r="L5" s="8">
        <f>C17</f>
        <v>6456</v>
      </c>
      <c r="M5" s="160"/>
      <c r="N5" s="159">
        <f>L5-M5</f>
        <v>6456</v>
      </c>
    </row>
    <row r="6" spans="2:14" x14ac:dyDescent="0.25">
      <c r="B6" s="10">
        <v>2013</v>
      </c>
      <c r="C6" s="8">
        <v>14293</v>
      </c>
      <c r="D6" s="8">
        <v>6161</v>
      </c>
      <c r="E6" s="9">
        <f t="shared" si="0"/>
        <v>20454</v>
      </c>
      <c r="F6" s="222">
        <f t="shared" ref="F6:F12" si="1">C6/E6</f>
        <v>0.69878752322284154</v>
      </c>
      <c r="G6" s="222">
        <f t="shared" ref="G6:G12" si="2">D6/E6</f>
        <v>0.30121247677715851</v>
      </c>
      <c r="J6" s="10">
        <v>2013</v>
      </c>
      <c r="K6" s="8">
        <v>14293</v>
      </c>
      <c r="L6" s="8">
        <f t="shared" ref="L6:L12" si="3">C18</f>
        <v>7146</v>
      </c>
      <c r="M6" s="160">
        <f>L6*0.4</f>
        <v>2858.4</v>
      </c>
      <c r="N6" s="159">
        <f t="shared" ref="N6:N12" si="4">L6-M6</f>
        <v>4287.6000000000004</v>
      </c>
    </row>
    <row r="7" spans="2:14" x14ac:dyDescent="0.25">
      <c r="B7" s="10">
        <v>2016</v>
      </c>
      <c r="C7" s="8">
        <v>13621</v>
      </c>
      <c r="D7" s="8">
        <v>5878</v>
      </c>
      <c r="E7" s="9">
        <f t="shared" si="0"/>
        <v>19499</v>
      </c>
      <c r="F7" s="222">
        <f t="shared" si="1"/>
        <v>0.69854864352018053</v>
      </c>
      <c r="G7" s="222">
        <f t="shared" si="2"/>
        <v>0.30145135647981947</v>
      </c>
      <c r="J7" s="10">
        <v>2016</v>
      </c>
      <c r="K7" s="8">
        <v>13621</v>
      </c>
      <c r="L7" s="8">
        <f t="shared" si="3"/>
        <v>6811</v>
      </c>
      <c r="M7" s="160">
        <f t="shared" ref="M7:M12" si="5">L7*0.4</f>
        <v>2724.4</v>
      </c>
      <c r="N7" s="159">
        <f t="shared" si="4"/>
        <v>4086.6</v>
      </c>
    </row>
    <row r="8" spans="2:14" x14ac:dyDescent="0.25">
      <c r="B8" s="10">
        <v>2020</v>
      </c>
      <c r="C8" s="8">
        <v>12697</v>
      </c>
      <c r="D8" s="8">
        <v>5490</v>
      </c>
      <c r="E8" s="9">
        <f t="shared" si="0"/>
        <v>18187</v>
      </c>
      <c r="F8" s="222">
        <f t="shared" si="1"/>
        <v>0.69813603123109913</v>
      </c>
      <c r="G8" s="222">
        <f t="shared" si="2"/>
        <v>0.30186396876890087</v>
      </c>
      <c r="J8" s="10">
        <v>2020</v>
      </c>
      <c r="K8" s="8">
        <v>12697</v>
      </c>
      <c r="L8" s="8">
        <f t="shared" si="3"/>
        <v>6348</v>
      </c>
      <c r="M8" s="160">
        <f t="shared" si="5"/>
        <v>2539.2000000000003</v>
      </c>
      <c r="N8" s="159">
        <f t="shared" si="4"/>
        <v>3808.7999999999997</v>
      </c>
    </row>
    <row r="9" spans="2:14" x14ac:dyDescent="0.25">
      <c r="B9" s="10">
        <v>2025</v>
      </c>
      <c r="C9" s="8">
        <v>11934</v>
      </c>
      <c r="D9" s="8">
        <v>5173</v>
      </c>
      <c r="E9" s="9">
        <f t="shared" si="0"/>
        <v>17107</v>
      </c>
      <c r="F9" s="222">
        <f t="shared" si="1"/>
        <v>0.6976091658385456</v>
      </c>
      <c r="G9" s="222">
        <f t="shared" si="2"/>
        <v>0.3023908341614544</v>
      </c>
      <c r="J9" s="10">
        <v>2025</v>
      </c>
      <c r="K9" s="8">
        <v>11934</v>
      </c>
      <c r="L9" s="8">
        <f t="shared" si="3"/>
        <v>5967</v>
      </c>
      <c r="M9" s="160">
        <f t="shared" si="5"/>
        <v>2386.8000000000002</v>
      </c>
      <c r="N9" s="159">
        <f t="shared" si="4"/>
        <v>3580.2</v>
      </c>
    </row>
    <row r="10" spans="2:14" x14ac:dyDescent="0.25">
      <c r="B10" s="10">
        <v>2030</v>
      </c>
      <c r="C10" s="8">
        <v>10917</v>
      </c>
      <c r="D10" s="8">
        <v>4752</v>
      </c>
      <c r="E10" s="9">
        <f t="shared" si="0"/>
        <v>15669</v>
      </c>
      <c r="F10" s="222">
        <f t="shared" si="1"/>
        <v>0.69672601952900637</v>
      </c>
      <c r="G10" s="222">
        <f t="shared" si="2"/>
        <v>0.30327398047099369</v>
      </c>
      <c r="J10" s="10">
        <v>2030</v>
      </c>
      <c r="K10" s="8">
        <v>10917</v>
      </c>
      <c r="L10" s="8">
        <f t="shared" si="3"/>
        <v>5459</v>
      </c>
      <c r="M10" s="160">
        <f t="shared" si="5"/>
        <v>2183.6</v>
      </c>
      <c r="N10" s="159">
        <f t="shared" si="4"/>
        <v>3275.4</v>
      </c>
    </row>
    <row r="11" spans="2:14" x14ac:dyDescent="0.25">
      <c r="B11" s="10">
        <v>2035</v>
      </c>
      <c r="C11" s="8">
        <v>10247</v>
      </c>
      <c r="D11" s="8">
        <v>4473</v>
      </c>
      <c r="E11" s="9">
        <f t="shared" si="0"/>
        <v>14720</v>
      </c>
      <c r="F11" s="222">
        <f t="shared" si="1"/>
        <v>0.6961277173913043</v>
      </c>
      <c r="G11" s="222">
        <f t="shared" si="2"/>
        <v>0.30387228260869564</v>
      </c>
      <c r="J11" s="10">
        <v>2035</v>
      </c>
      <c r="K11" s="8">
        <v>10247</v>
      </c>
      <c r="L11" s="8">
        <f t="shared" si="3"/>
        <v>5123</v>
      </c>
      <c r="M11" s="160">
        <f t="shared" si="5"/>
        <v>2049.2000000000003</v>
      </c>
      <c r="N11" s="159">
        <f t="shared" si="4"/>
        <v>3073.7999999999997</v>
      </c>
    </row>
    <row r="12" spans="2:14" ht="15.75" thickBot="1" x14ac:dyDescent="0.3">
      <c r="B12" s="12">
        <v>2039</v>
      </c>
      <c r="C12" s="13">
        <v>9881</v>
      </c>
      <c r="D12" s="13">
        <v>4320</v>
      </c>
      <c r="E12" s="14">
        <f t="shared" si="0"/>
        <v>14201</v>
      </c>
      <c r="F12" s="222">
        <f t="shared" si="1"/>
        <v>0.69579607069924654</v>
      </c>
      <c r="G12" s="222">
        <f t="shared" si="2"/>
        <v>0.30420392930075346</v>
      </c>
      <c r="J12" s="12">
        <v>2039</v>
      </c>
      <c r="K12" s="13">
        <v>9881</v>
      </c>
      <c r="L12" s="13">
        <f t="shared" si="3"/>
        <v>4940</v>
      </c>
      <c r="M12" s="161">
        <f t="shared" si="5"/>
        <v>1976</v>
      </c>
      <c r="N12" s="162">
        <f t="shared" si="4"/>
        <v>2964</v>
      </c>
    </row>
    <row r="14" spans="2:14" x14ac:dyDescent="0.25">
      <c r="B14" s="1" t="s">
        <v>213</v>
      </c>
    </row>
    <row r="15" spans="2:14" ht="15.75" thickBot="1" x14ac:dyDescent="0.3"/>
    <row r="16" spans="2:14" ht="75" x14ac:dyDescent="0.25">
      <c r="B16" s="41" t="s">
        <v>182</v>
      </c>
      <c r="C16" s="42" t="s">
        <v>211</v>
      </c>
      <c r="D16" s="42" t="s">
        <v>212</v>
      </c>
      <c r="E16" s="125" t="s">
        <v>288</v>
      </c>
      <c r="F16" s="126" t="s">
        <v>323</v>
      </c>
      <c r="G16" s="126" t="s">
        <v>324</v>
      </c>
      <c r="J16" s="41" t="s">
        <v>182</v>
      </c>
      <c r="K16" s="42" t="s">
        <v>404</v>
      </c>
      <c r="L16" s="42" t="s">
        <v>400</v>
      </c>
      <c r="M16" s="42" t="s">
        <v>402</v>
      </c>
      <c r="N16" s="150" t="s">
        <v>403</v>
      </c>
    </row>
    <row r="17" spans="2:14" x14ac:dyDescent="0.25">
      <c r="B17" s="10">
        <v>2010</v>
      </c>
      <c r="C17" s="8">
        <v>6456</v>
      </c>
      <c r="D17" s="8">
        <v>2546</v>
      </c>
      <c r="E17" s="9">
        <f t="shared" ref="E17:E24" si="6">C17+D17</f>
        <v>9002</v>
      </c>
      <c r="F17" s="127"/>
      <c r="G17" s="127">
        <f>E17</f>
        <v>9002</v>
      </c>
      <c r="J17" s="10">
        <v>2010</v>
      </c>
      <c r="K17" s="8">
        <f>D5</f>
        <v>5092</v>
      </c>
      <c r="L17" s="8">
        <f>D17</f>
        <v>2546</v>
      </c>
      <c r="M17" s="160"/>
      <c r="N17" s="159">
        <f>L17-M17</f>
        <v>2546</v>
      </c>
    </row>
    <row r="18" spans="2:14" x14ac:dyDescent="0.25">
      <c r="B18" s="10">
        <v>2013</v>
      </c>
      <c r="C18" s="8">
        <v>7146</v>
      </c>
      <c r="D18" s="8">
        <v>3081</v>
      </c>
      <c r="E18" s="9">
        <f t="shared" si="6"/>
        <v>10227</v>
      </c>
      <c r="F18" s="128">
        <f>[2]Revenues!$J$363</f>
        <v>4090.7622854699939</v>
      </c>
      <c r="G18" s="128">
        <f>E18-F18</f>
        <v>6136.2377145300061</v>
      </c>
      <c r="I18" s="158"/>
      <c r="J18" s="10">
        <v>2013</v>
      </c>
      <c r="K18" s="8">
        <f t="shared" ref="K18:K24" si="7">D6</f>
        <v>6161</v>
      </c>
      <c r="L18" s="8">
        <f t="shared" ref="L18:L24" si="8">D18</f>
        <v>3081</v>
      </c>
      <c r="M18" s="160">
        <f t="shared" ref="M18:M24" si="9">L18*0.4</f>
        <v>1232.4000000000001</v>
      </c>
      <c r="N18" s="159">
        <f t="shared" ref="N18:N24" si="10">L18-M18</f>
        <v>1848.6</v>
      </c>
    </row>
    <row r="19" spans="2:14" x14ac:dyDescent="0.25">
      <c r="B19" s="10">
        <v>2016</v>
      </c>
      <c r="C19" s="8">
        <v>6811</v>
      </c>
      <c r="D19" s="8">
        <v>2939</v>
      </c>
      <c r="E19" s="9">
        <f t="shared" si="6"/>
        <v>9750</v>
      </c>
      <c r="F19" s="128">
        <f>[2]Revenues!$M$363</f>
        <v>4874.7567735658649</v>
      </c>
      <c r="G19" s="128">
        <f t="shared" ref="G19:G24" si="11">E19-F19</f>
        <v>4875.2432264341351</v>
      </c>
      <c r="I19" s="158"/>
      <c r="J19" s="10">
        <v>2016</v>
      </c>
      <c r="K19" s="8">
        <f t="shared" si="7"/>
        <v>5878</v>
      </c>
      <c r="L19" s="8">
        <f t="shared" si="8"/>
        <v>2939</v>
      </c>
      <c r="M19" s="160">
        <f t="shared" si="9"/>
        <v>1175.6000000000001</v>
      </c>
      <c r="N19" s="159">
        <f t="shared" si="10"/>
        <v>1763.3999999999999</v>
      </c>
    </row>
    <row r="20" spans="2:14" x14ac:dyDescent="0.25">
      <c r="B20" s="10">
        <v>2020</v>
      </c>
      <c r="C20" s="8">
        <v>6348</v>
      </c>
      <c r="D20" s="8">
        <v>2745</v>
      </c>
      <c r="E20" s="9">
        <f t="shared" si="6"/>
        <v>9093</v>
      </c>
      <c r="F20" s="128">
        <f>[2]Revenues!$Q$363</f>
        <v>4546.8037513030467</v>
      </c>
      <c r="G20" s="128">
        <f t="shared" si="11"/>
        <v>4546.1962486969533</v>
      </c>
      <c r="I20" s="158"/>
      <c r="J20" s="10">
        <v>2020</v>
      </c>
      <c r="K20" s="8">
        <f t="shared" si="7"/>
        <v>5490</v>
      </c>
      <c r="L20" s="8">
        <f t="shared" si="8"/>
        <v>2745</v>
      </c>
      <c r="M20" s="160">
        <f t="shared" si="9"/>
        <v>1098</v>
      </c>
      <c r="N20" s="159">
        <f t="shared" si="10"/>
        <v>1647</v>
      </c>
    </row>
    <row r="21" spans="2:14" x14ac:dyDescent="0.25">
      <c r="B21" s="10">
        <v>2025</v>
      </c>
      <c r="C21" s="8">
        <v>5967</v>
      </c>
      <c r="D21" s="8">
        <v>2587</v>
      </c>
      <c r="E21" s="9">
        <f t="shared" si="6"/>
        <v>8554</v>
      </c>
      <c r="F21" s="128">
        <f>[2]Revenues!$V$363</f>
        <v>4276.9694685657541</v>
      </c>
      <c r="G21" s="128">
        <f t="shared" si="11"/>
        <v>4277.0305314342459</v>
      </c>
      <c r="I21" s="158"/>
      <c r="J21" s="10">
        <v>2025</v>
      </c>
      <c r="K21" s="8">
        <f t="shared" si="7"/>
        <v>5173</v>
      </c>
      <c r="L21" s="8">
        <f t="shared" si="8"/>
        <v>2587</v>
      </c>
      <c r="M21" s="160">
        <f t="shared" si="9"/>
        <v>1034.8</v>
      </c>
      <c r="N21" s="159">
        <f t="shared" si="10"/>
        <v>1552.2</v>
      </c>
    </row>
    <row r="22" spans="2:14" x14ac:dyDescent="0.25">
      <c r="B22" s="10">
        <v>2030</v>
      </c>
      <c r="C22" s="8">
        <v>5459</v>
      </c>
      <c r="D22" s="8">
        <v>2376</v>
      </c>
      <c r="E22" s="9">
        <f t="shared" si="6"/>
        <v>7835</v>
      </c>
      <c r="F22" s="128">
        <f>[2]Revenues!$AA$363</f>
        <v>3917.2662155400158</v>
      </c>
      <c r="G22" s="128">
        <f t="shared" si="11"/>
        <v>3917.7337844599842</v>
      </c>
      <c r="I22" s="158"/>
      <c r="J22" s="10">
        <v>2030</v>
      </c>
      <c r="K22" s="8">
        <f t="shared" si="7"/>
        <v>4752</v>
      </c>
      <c r="L22" s="8">
        <f t="shared" si="8"/>
        <v>2376</v>
      </c>
      <c r="M22" s="160">
        <f t="shared" si="9"/>
        <v>950.40000000000009</v>
      </c>
      <c r="N22" s="159">
        <f t="shared" si="10"/>
        <v>1425.6</v>
      </c>
    </row>
    <row r="23" spans="2:14" x14ac:dyDescent="0.25">
      <c r="B23" s="10">
        <v>2035</v>
      </c>
      <c r="C23" s="8">
        <v>5123</v>
      </c>
      <c r="D23" s="8">
        <v>2237</v>
      </c>
      <c r="E23" s="9">
        <f t="shared" si="6"/>
        <v>7360</v>
      </c>
      <c r="F23" s="128">
        <f>[2]Revenues!$AF$363</f>
        <v>3679.9162753123628</v>
      </c>
      <c r="G23" s="128">
        <f t="shared" si="11"/>
        <v>3680.0837246876372</v>
      </c>
      <c r="I23" s="158"/>
      <c r="J23" s="10">
        <v>2035</v>
      </c>
      <c r="K23" s="8">
        <f t="shared" si="7"/>
        <v>4473</v>
      </c>
      <c r="L23" s="8">
        <f t="shared" si="8"/>
        <v>2237</v>
      </c>
      <c r="M23" s="160">
        <f t="shared" si="9"/>
        <v>894.80000000000007</v>
      </c>
      <c r="N23" s="159">
        <f t="shared" si="10"/>
        <v>1342.1999999999998</v>
      </c>
    </row>
    <row r="24" spans="2:14" ht="15.75" thickBot="1" x14ac:dyDescent="0.3">
      <c r="B24" s="12">
        <v>2039</v>
      </c>
      <c r="C24" s="13">
        <v>4940</v>
      </c>
      <c r="D24" s="13">
        <v>2160</v>
      </c>
      <c r="E24" s="14">
        <f t="shared" si="6"/>
        <v>7100</v>
      </c>
      <c r="F24" s="129">
        <f>[2]Revenues!$AJ$363</f>
        <v>3550.1818808823482</v>
      </c>
      <c r="G24" s="129">
        <f t="shared" si="11"/>
        <v>3549.8181191176518</v>
      </c>
      <c r="I24" s="158"/>
      <c r="J24" s="12">
        <v>2039</v>
      </c>
      <c r="K24" s="13">
        <f t="shared" si="7"/>
        <v>4320</v>
      </c>
      <c r="L24" s="13">
        <f t="shared" si="8"/>
        <v>2160</v>
      </c>
      <c r="M24" s="161">
        <f t="shared" si="9"/>
        <v>864</v>
      </c>
      <c r="N24" s="162">
        <f t="shared" si="10"/>
        <v>1296</v>
      </c>
    </row>
    <row r="26" spans="2:14" x14ac:dyDescent="0.25">
      <c r="B26" s="1" t="s">
        <v>189</v>
      </c>
    </row>
    <row r="27" spans="2:14" ht="15.75" thickBot="1" x14ac:dyDescent="0.3"/>
    <row r="28" spans="2:14" x14ac:dyDescent="0.25">
      <c r="B28" s="38" t="s">
        <v>182</v>
      </c>
      <c r="C28" s="34" t="s">
        <v>0</v>
      </c>
      <c r="D28" s="34" t="s">
        <v>186</v>
      </c>
      <c r="E28" s="24" t="s">
        <v>187</v>
      </c>
    </row>
    <row r="29" spans="2:14" x14ac:dyDescent="0.25">
      <c r="B29" s="10">
        <v>2010</v>
      </c>
      <c r="C29" s="8">
        <v>2887</v>
      </c>
      <c r="D29" s="8">
        <v>1842</v>
      </c>
      <c r="E29" s="9">
        <v>3957</v>
      </c>
    </row>
    <row r="30" spans="2:14" x14ac:dyDescent="0.25">
      <c r="B30" s="10">
        <v>2013</v>
      </c>
      <c r="C30" s="8">
        <v>4884</v>
      </c>
      <c r="D30" s="8">
        <v>3117</v>
      </c>
      <c r="E30" s="9">
        <v>6694</v>
      </c>
    </row>
    <row r="31" spans="2:14" x14ac:dyDescent="0.25">
      <c r="B31" s="10">
        <v>2016</v>
      </c>
      <c r="C31" s="8">
        <v>4774</v>
      </c>
      <c r="D31" s="8">
        <v>3047</v>
      </c>
      <c r="E31" s="9">
        <v>9543</v>
      </c>
    </row>
    <row r="32" spans="2:14" x14ac:dyDescent="0.25">
      <c r="B32" s="10">
        <v>2020</v>
      </c>
      <c r="C32" s="8">
        <v>4615</v>
      </c>
      <c r="D32" s="8">
        <v>2945</v>
      </c>
      <c r="E32" s="9">
        <v>6326</v>
      </c>
    </row>
    <row r="33" spans="2:5" x14ac:dyDescent="0.25">
      <c r="B33" s="10">
        <v>2025</v>
      </c>
      <c r="C33" s="8">
        <v>4499</v>
      </c>
      <c r="D33" s="8">
        <v>2871</v>
      </c>
      <c r="E33" s="9">
        <v>6167</v>
      </c>
    </row>
    <row r="34" spans="2:5" x14ac:dyDescent="0.25">
      <c r="B34" s="10">
        <v>2030</v>
      </c>
      <c r="C34" s="8">
        <v>4291</v>
      </c>
      <c r="D34" s="8">
        <v>2738</v>
      </c>
      <c r="E34" s="9">
        <v>5881</v>
      </c>
    </row>
    <row r="35" spans="2:5" x14ac:dyDescent="0.25">
      <c r="B35" s="10">
        <v>2035</v>
      </c>
      <c r="C35" s="8">
        <v>4158</v>
      </c>
      <c r="D35" s="8">
        <v>2654</v>
      </c>
      <c r="E35" s="9">
        <v>5699</v>
      </c>
    </row>
    <row r="36" spans="2:5" ht="15.75" thickBot="1" x14ac:dyDescent="0.3">
      <c r="B36" s="12">
        <v>2039</v>
      </c>
      <c r="C36" s="13">
        <v>4094</v>
      </c>
      <c r="D36" s="13">
        <v>2613</v>
      </c>
      <c r="E36" s="14">
        <v>5611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R77"/>
  <sheetViews>
    <sheetView topLeftCell="A47" workbookViewId="0">
      <selection activeCell="H61" sqref="H61"/>
    </sheetView>
  </sheetViews>
  <sheetFormatPr defaultRowHeight="15" x14ac:dyDescent="0.25"/>
  <cols>
    <col min="2" max="2" width="33.140625" customWidth="1"/>
    <col min="3" max="3" width="18.140625" customWidth="1"/>
    <col min="4" max="4" width="15.42578125" bestFit="1" customWidth="1"/>
    <col min="5" max="5" width="16.5703125" customWidth="1"/>
    <col min="6" max="6" width="18.28515625" bestFit="1" customWidth="1"/>
    <col min="7" max="7" width="10.140625" customWidth="1"/>
    <col min="8" max="18" width="10.5703125" bestFit="1" customWidth="1"/>
  </cols>
  <sheetData>
    <row r="1" spans="2:7" ht="15.75" thickBot="1" x14ac:dyDescent="0.3"/>
    <row r="2" spans="2:7" x14ac:dyDescent="0.25">
      <c r="B2" s="2"/>
      <c r="C2" s="3"/>
      <c r="D2" s="3"/>
      <c r="E2" s="372" t="s">
        <v>202</v>
      </c>
      <c r="F2" s="373"/>
    </row>
    <row r="3" spans="2:7" ht="45" x14ac:dyDescent="0.25">
      <c r="B3" s="10" t="s">
        <v>215</v>
      </c>
      <c r="C3" s="6" t="s">
        <v>239</v>
      </c>
      <c r="D3" s="6" t="s">
        <v>240</v>
      </c>
      <c r="E3" s="8" t="s">
        <v>216</v>
      </c>
      <c r="F3" s="9" t="s">
        <v>205</v>
      </c>
    </row>
    <row r="4" spans="2:7" x14ac:dyDescent="0.25">
      <c r="B4" s="4" t="s">
        <v>2</v>
      </c>
      <c r="C4" s="8">
        <v>8500</v>
      </c>
      <c r="D4" s="75">
        <v>2</v>
      </c>
      <c r="E4" s="75">
        <v>1</v>
      </c>
      <c r="F4" s="76">
        <v>1</v>
      </c>
    </row>
    <row r="5" spans="2:7" x14ac:dyDescent="0.25">
      <c r="B5" s="4" t="s">
        <v>142</v>
      </c>
      <c r="C5" s="8">
        <v>12000</v>
      </c>
      <c r="D5" s="75">
        <v>2</v>
      </c>
      <c r="E5" s="75">
        <v>1</v>
      </c>
      <c r="F5" s="76">
        <v>1</v>
      </c>
    </row>
    <row r="6" spans="2:7" ht="15.75" thickBot="1" x14ac:dyDescent="0.3">
      <c r="B6" s="19"/>
      <c r="C6" s="20">
        <f>C4+C5</f>
        <v>20500</v>
      </c>
      <c r="D6" s="20">
        <f>D4+D5</f>
        <v>4</v>
      </c>
      <c r="E6" s="20">
        <f t="shared" ref="E6:F6" si="0">E4+E5</f>
        <v>2</v>
      </c>
      <c r="F6" s="44">
        <f t="shared" si="0"/>
        <v>2</v>
      </c>
    </row>
    <row r="9" spans="2:7" x14ac:dyDescent="0.25">
      <c r="B9" s="1" t="s">
        <v>226</v>
      </c>
    </row>
    <row r="10" spans="2:7" ht="15.75" thickBot="1" x14ac:dyDescent="0.3"/>
    <row r="11" spans="2:7" ht="35.25" customHeight="1" x14ac:dyDescent="0.25">
      <c r="B11" s="38" t="s">
        <v>220</v>
      </c>
      <c r="C11" s="3" t="s">
        <v>221</v>
      </c>
      <c r="D11" s="3" t="s">
        <v>202</v>
      </c>
      <c r="E11" s="3" t="s">
        <v>222</v>
      </c>
      <c r="F11" s="3" t="s">
        <v>223</v>
      </c>
      <c r="G11" s="166" t="s">
        <v>224</v>
      </c>
    </row>
    <row r="12" spans="2:7" x14ac:dyDescent="0.25">
      <c r="B12" s="10" t="s">
        <v>2</v>
      </c>
      <c r="C12" s="11">
        <v>429514</v>
      </c>
      <c r="D12" s="11">
        <v>521643</v>
      </c>
      <c r="E12" s="11">
        <f>C12+D12</f>
        <v>951157</v>
      </c>
      <c r="F12" s="11">
        <f>C12/25+D12/7</f>
        <v>91700.988571428563</v>
      </c>
      <c r="G12" s="46">
        <v>51017</v>
      </c>
    </row>
    <row r="13" spans="2:7" ht="15.75" thickBot="1" x14ac:dyDescent="0.3">
      <c r="B13" s="12" t="s">
        <v>142</v>
      </c>
      <c r="C13" s="36">
        <v>371651</v>
      </c>
      <c r="D13" s="36">
        <v>572682</v>
      </c>
      <c r="E13" s="36">
        <f>C13+D13</f>
        <v>944333</v>
      </c>
      <c r="F13" s="36">
        <f>C13/25+D13/7</f>
        <v>96677.754285714298</v>
      </c>
      <c r="G13" s="47">
        <v>51537</v>
      </c>
    </row>
    <row r="15" spans="2:7" ht="15.75" thickBot="1" x14ac:dyDescent="0.3"/>
    <row r="16" spans="2:7" ht="30" x14ac:dyDescent="0.25">
      <c r="B16" s="92" t="s">
        <v>241</v>
      </c>
      <c r="C16" s="34" t="s">
        <v>246</v>
      </c>
      <c r="D16" s="34" t="s">
        <v>247</v>
      </c>
      <c r="E16" s="24" t="s">
        <v>27</v>
      </c>
      <c r="G16" s="98" t="s">
        <v>409</v>
      </c>
    </row>
    <row r="17" spans="2:6" x14ac:dyDescent="0.25">
      <c r="B17" s="10" t="s">
        <v>242</v>
      </c>
      <c r="C17" s="8">
        <v>1</v>
      </c>
      <c r="D17" s="8"/>
      <c r="E17" s="107">
        <v>179112</v>
      </c>
    </row>
    <row r="18" spans="2:6" x14ac:dyDescent="0.25">
      <c r="B18" s="10" t="s">
        <v>251</v>
      </c>
      <c r="C18" s="8">
        <v>1</v>
      </c>
      <c r="D18" s="8"/>
      <c r="E18" s="107">
        <v>140403</v>
      </c>
    </row>
    <row r="19" spans="2:6" x14ac:dyDescent="0.25">
      <c r="B19" s="10" t="s">
        <v>248</v>
      </c>
      <c r="C19" s="8">
        <v>1</v>
      </c>
      <c r="D19" s="8"/>
      <c r="E19" s="107">
        <v>110000</v>
      </c>
    </row>
    <row r="20" spans="2:6" x14ac:dyDescent="0.25">
      <c r="B20" s="10" t="s">
        <v>243</v>
      </c>
      <c r="C20" s="8">
        <f>C4</f>
        <v>8500</v>
      </c>
      <c r="D20" s="78">
        <f t="shared" ref="D20:D25" si="1">E20/C20</f>
        <v>14.95</v>
      </c>
      <c r="E20" s="168">
        <v>127075</v>
      </c>
      <c r="F20" t="s">
        <v>258</v>
      </c>
    </row>
    <row r="21" spans="2:6" ht="30" x14ac:dyDescent="0.25">
      <c r="B21" s="87" t="s">
        <v>244</v>
      </c>
      <c r="C21" s="79">
        <v>2</v>
      </c>
      <c r="D21" s="8">
        <f t="shared" si="1"/>
        <v>3852.5</v>
      </c>
      <c r="E21" s="107">
        <v>7705</v>
      </c>
      <c r="F21" t="s">
        <v>258</v>
      </c>
    </row>
    <row r="22" spans="2:6" x14ac:dyDescent="0.25">
      <c r="B22" s="10" t="s">
        <v>245</v>
      </c>
      <c r="C22" s="8">
        <v>1</v>
      </c>
      <c r="D22" s="8">
        <f t="shared" si="1"/>
        <v>100050</v>
      </c>
      <c r="E22" s="168">
        <v>100050</v>
      </c>
      <c r="F22" t="s">
        <v>256</v>
      </c>
    </row>
    <row r="23" spans="2:6" x14ac:dyDescent="0.25">
      <c r="B23" s="10" t="s">
        <v>205</v>
      </c>
      <c r="C23" s="8">
        <v>1</v>
      </c>
      <c r="D23" s="8">
        <f t="shared" si="1"/>
        <v>109250</v>
      </c>
      <c r="E23" s="107">
        <v>109250</v>
      </c>
      <c r="F23" t="s">
        <v>410</v>
      </c>
    </row>
    <row r="24" spans="2:6" x14ac:dyDescent="0.25">
      <c r="B24" s="10" t="s">
        <v>249</v>
      </c>
      <c r="C24" s="8">
        <v>1</v>
      </c>
      <c r="D24" s="237">
        <f>E24/C24</f>
        <v>25300</v>
      </c>
      <c r="E24" s="168">
        <f>175300-150000</f>
        <v>25300</v>
      </c>
      <c r="F24" t="s">
        <v>256</v>
      </c>
    </row>
    <row r="25" spans="2:6" ht="15.75" thickBot="1" x14ac:dyDescent="0.3">
      <c r="B25" s="82" t="s">
        <v>250</v>
      </c>
      <c r="C25" s="83">
        <v>1</v>
      </c>
      <c r="D25" s="238">
        <f t="shared" si="1"/>
        <v>2263</v>
      </c>
      <c r="E25" s="232">
        <v>2263</v>
      </c>
      <c r="F25" t="s">
        <v>256</v>
      </c>
    </row>
    <row r="26" spans="2:6" ht="15.75" thickBot="1" x14ac:dyDescent="0.3">
      <c r="B26" s="85" t="s">
        <v>252</v>
      </c>
      <c r="C26" s="86"/>
      <c r="D26" s="86"/>
      <c r="E26" s="108">
        <f>SUM(E17:E25)</f>
        <v>801158</v>
      </c>
    </row>
    <row r="27" spans="2:6" x14ac:dyDescent="0.25">
      <c r="B27" s="16" t="s">
        <v>221</v>
      </c>
      <c r="C27" s="17"/>
      <c r="D27" s="17"/>
      <c r="E27" s="109">
        <f>E17+E18+E19</f>
        <v>429515</v>
      </c>
    </row>
    <row r="28" spans="2:6" x14ac:dyDescent="0.25">
      <c r="B28" s="10" t="s">
        <v>253</v>
      </c>
      <c r="C28" s="8"/>
      <c r="D28" s="8"/>
      <c r="E28" s="107">
        <f>E24+E25+E22</f>
        <v>127613</v>
      </c>
    </row>
    <row r="29" spans="2:6" x14ac:dyDescent="0.25">
      <c r="B29" s="10" t="s">
        <v>254</v>
      </c>
      <c r="C29" s="8"/>
      <c r="D29" s="8"/>
      <c r="E29" s="107">
        <f>E23</f>
        <v>109250</v>
      </c>
    </row>
    <row r="30" spans="2:6" ht="15.75" thickBot="1" x14ac:dyDescent="0.3">
      <c r="B30" s="12" t="s">
        <v>255</v>
      </c>
      <c r="C30" s="13"/>
      <c r="D30" s="13"/>
      <c r="E30" s="110">
        <f>E20+E21</f>
        <v>134780</v>
      </c>
      <c r="F30" s="88">
        <f>SUM(E27:E30)-E26</f>
        <v>0</v>
      </c>
    </row>
    <row r="31" spans="2:6" x14ac:dyDescent="0.25">
      <c r="F31" s="88">
        <f>E26+150000</f>
        <v>951158</v>
      </c>
    </row>
    <row r="32" spans="2:6" ht="15.75" thickBot="1" x14ac:dyDescent="0.3"/>
    <row r="33" spans="2:8" x14ac:dyDescent="0.25">
      <c r="B33" s="92" t="s">
        <v>259</v>
      </c>
      <c r="C33" s="34" t="s">
        <v>246</v>
      </c>
      <c r="D33" s="34" t="s">
        <v>247</v>
      </c>
      <c r="E33" s="24" t="s">
        <v>27</v>
      </c>
    </row>
    <row r="34" spans="2:8" x14ac:dyDescent="0.25">
      <c r="B34" s="10" t="s">
        <v>242</v>
      </c>
      <c r="C34" s="8">
        <v>1</v>
      </c>
      <c r="D34" s="8"/>
      <c r="E34" s="80">
        <v>121248</v>
      </c>
    </row>
    <row r="35" spans="2:8" x14ac:dyDescent="0.25">
      <c r="B35" s="10" t="s">
        <v>251</v>
      </c>
      <c r="C35" s="8">
        <v>1</v>
      </c>
      <c r="D35" s="8"/>
      <c r="E35" s="80">
        <v>140403</v>
      </c>
    </row>
    <row r="36" spans="2:8" x14ac:dyDescent="0.25">
      <c r="B36" s="10" t="s">
        <v>248</v>
      </c>
      <c r="C36" s="8">
        <v>1</v>
      </c>
      <c r="D36" s="8"/>
      <c r="E36" s="80">
        <v>110000</v>
      </c>
    </row>
    <row r="37" spans="2:8" x14ac:dyDescent="0.25">
      <c r="B37" s="10" t="s">
        <v>243</v>
      </c>
      <c r="C37" s="8">
        <f>C5</f>
        <v>12000</v>
      </c>
      <c r="D37" s="78">
        <f t="shared" ref="D37:D42" si="2">E37/C37</f>
        <v>14.95</v>
      </c>
      <c r="E37" s="168">
        <v>179400</v>
      </c>
    </row>
    <row r="38" spans="2:8" ht="30" x14ac:dyDescent="0.25">
      <c r="B38" s="87" t="s">
        <v>244</v>
      </c>
      <c r="C38" s="79">
        <v>2</v>
      </c>
      <c r="D38" s="8">
        <f t="shared" si="2"/>
        <v>3852.5</v>
      </c>
      <c r="E38" s="80">
        <v>7705</v>
      </c>
      <c r="G38" s="88">
        <f>E27+E44</f>
        <v>801166</v>
      </c>
    </row>
    <row r="39" spans="2:8" x14ac:dyDescent="0.25">
      <c r="B39" s="10" t="s">
        <v>245</v>
      </c>
      <c r="C39" s="8">
        <v>1</v>
      </c>
      <c r="D39" s="8">
        <f t="shared" si="2"/>
        <v>100050</v>
      </c>
      <c r="E39" s="168">
        <v>100050</v>
      </c>
      <c r="G39" s="88">
        <f>E28+E30+E45+E47</f>
        <v>575825</v>
      </c>
      <c r="H39" s="88">
        <f>G39-875825+150000*2</f>
        <v>0</v>
      </c>
    </row>
    <row r="40" spans="2:8" x14ac:dyDescent="0.25">
      <c r="B40" s="10" t="s">
        <v>205</v>
      </c>
      <c r="C40" s="8">
        <v>1</v>
      </c>
      <c r="D40" s="8">
        <f t="shared" si="2"/>
        <v>109250</v>
      </c>
      <c r="E40" s="80">
        <v>109250</v>
      </c>
      <c r="G40" s="88">
        <f>E29+E46</f>
        <v>218500</v>
      </c>
      <c r="H40" s="88">
        <f>G40-218500</f>
        <v>0</v>
      </c>
    </row>
    <row r="41" spans="2:8" x14ac:dyDescent="0.25">
      <c r="B41" s="10" t="s">
        <v>249</v>
      </c>
      <c r="C41" s="8">
        <v>1</v>
      </c>
      <c r="D41" s="239">
        <f t="shared" si="2"/>
        <v>25300</v>
      </c>
      <c r="E41" s="168">
        <f>175300-150000</f>
        <v>25300</v>
      </c>
    </row>
    <row r="42" spans="2:8" ht="15.75" thickBot="1" x14ac:dyDescent="0.3">
      <c r="B42" s="82" t="s">
        <v>250</v>
      </c>
      <c r="C42" s="83">
        <v>1</v>
      </c>
      <c r="D42" s="238">
        <f t="shared" si="2"/>
        <v>977</v>
      </c>
      <c r="E42" s="232">
        <f>977</f>
        <v>977</v>
      </c>
    </row>
    <row r="43" spans="2:8" ht="15.75" thickBot="1" x14ac:dyDescent="0.3">
      <c r="B43" s="85" t="s">
        <v>252</v>
      </c>
      <c r="C43" s="86"/>
      <c r="D43" s="86"/>
      <c r="E43" s="91">
        <f>SUM(E34:E42)</f>
        <v>794333</v>
      </c>
    </row>
    <row r="44" spans="2:8" x14ac:dyDescent="0.25">
      <c r="B44" s="16" t="s">
        <v>221</v>
      </c>
      <c r="C44" s="17"/>
      <c r="D44" s="17"/>
      <c r="E44" s="84">
        <f>E34+E35+E36</f>
        <v>371651</v>
      </c>
    </row>
    <row r="45" spans="2:8" x14ac:dyDescent="0.25">
      <c r="B45" s="10" t="s">
        <v>253</v>
      </c>
      <c r="C45" s="8"/>
      <c r="D45" s="8"/>
      <c r="E45" s="80">
        <f>E41+E42+E39</f>
        <v>126327</v>
      </c>
    </row>
    <row r="46" spans="2:8" x14ac:dyDescent="0.25">
      <c r="B46" s="10" t="s">
        <v>254</v>
      </c>
      <c r="C46" s="8"/>
      <c r="D46" s="8"/>
      <c r="E46" s="80">
        <f>E40</f>
        <v>109250</v>
      </c>
    </row>
    <row r="47" spans="2:8" ht="15.75" thickBot="1" x14ac:dyDescent="0.3">
      <c r="B47" s="12" t="s">
        <v>255</v>
      </c>
      <c r="C47" s="13"/>
      <c r="D47" s="13"/>
      <c r="E47" s="81">
        <f>E37+E38</f>
        <v>187105</v>
      </c>
      <c r="F47" s="88">
        <f>SUM(E44:E47)-E43</f>
        <v>0</v>
      </c>
    </row>
    <row r="50" spans="2:5" ht="15.75" thickBot="1" x14ac:dyDescent="0.3">
      <c r="B50" s="1" t="s">
        <v>295</v>
      </c>
    </row>
    <row r="51" spans="2:5" x14ac:dyDescent="0.25">
      <c r="B51" s="38" t="s">
        <v>296</v>
      </c>
      <c r="C51" s="34" t="s">
        <v>299</v>
      </c>
      <c r="D51" s="34" t="s">
        <v>295</v>
      </c>
      <c r="E51" s="146" t="s">
        <v>389</v>
      </c>
    </row>
    <row r="52" spans="2:5" x14ac:dyDescent="0.25">
      <c r="B52" s="10" t="s">
        <v>221</v>
      </c>
      <c r="C52" s="111">
        <f>E27</f>
        <v>429515</v>
      </c>
      <c r="D52" s="8">
        <v>25</v>
      </c>
      <c r="E52" s="9"/>
    </row>
    <row r="53" spans="2:5" x14ac:dyDescent="0.25">
      <c r="B53" s="10" t="s">
        <v>297</v>
      </c>
      <c r="C53" s="167">
        <f>E28+E30-E24-E25-E22-E20</f>
        <v>7705</v>
      </c>
      <c r="D53" s="8">
        <v>18</v>
      </c>
      <c r="E53" s="96">
        <f>C53/D53</f>
        <v>428.05555555555554</v>
      </c>
    </row>
    <row r="54" spans="2:5" x14ac:dyDescent="0.25">
      <c r="B54" s="10" t="s">
        <v>298</v>
      </c>
      <c r="C54" s="111">
        <f>E29</f>
        <v>109250</v>
      </c>
      <c r="D54" s="8">
        <v>10</v>
      </c>
      <c r="E54" s="96">
        <f>C54/D54</f>
        <v>10925</v>
      </c>
    </row>
    <row r="55" spans="2:5" ht="15.75" thickBot="1" x14ac:dyDescent="0.3">
      <c r="B55" s="156" t="s">
        <v>27</v>
      </c>
      <c r="C55" s="23">
        <f>SUM(C52:C54)</f>
        <v>546470</v>
      </c>
      <c r="D55" s="20"/>
      <c r="E55" s="73">
        <f>E53+E54</f>
        <v>11353.055555555555</v>
      </c>
    </row>
    <row r="56" spans="2:5" x14ac:dyDescent="0.25">
      <c r="C56" s="88">
        <f>C55+E20+E22+E24+E25</f>
        <v>801158</v>
      </c>
    </row>
    <row r="57" spans="2:5" ht="15.75" thickBot="1" x14ac:dyDescent="0.3">
      <c r="B57" s="1" t="s">
        <v>295</v>
      </c>
    </row>
    <row r="58" spans="2:5" x14ac:dyDescent="0.25">
      <c r="B58" s="38" t="s">
        <v>300</v>
      </c>
      <c r="C58" s="34" t="s">
        <v>299</v>
      </c>
      <c r="D58" s="34" t="s">
        <v>295</v>
      </c>
      <c r="E58" s="146" t="s">
        <v>389</v>
      </c>
    </row>
    <row r="59" spans="2:5" x14ac:dyDescent="0.25">
      <c r="B59" s="10" t="s">
        <v>221</v>
      </c>
      <c r="C59" s="111">
        <f>E44</f>
        <v>371651</v>
      </c>
      <c r="D59" s="8">
        <v>25</v>
      </c>
      <c r="E59" s="9"/>
    </row>
    <row r="60" spans="2:5" x14ac:dyDescent="0.25">
      <c r="B60" s="10" t="s">
        <v>297</v>
      </c>
      <c r="C60" s="167">
        <f>E45+E47-E41-E42-E37-E39</f>
        <v>7705</v>
      </c>
      <c r="D60" s="8">
        <v>18</v>
      </c>
      <c r="E60" s="96">
        <f>C60/D60</f>
        <v>428.05555555555554</v>
      </c>
    </row>
    <row r="61" spans="2:5" x14ac:dyDescent="0.25">
      <c r="B61" s="10" t="s">
        <v>298</v>
      </c>
      <c r="C61" s="111">
        <f>E46</f>
        <v>109250</v>
      </c>
      <c r="D61" s="8">
        <v>10</v>
      </c>
      <c r="E61" s="96">
        <f>C61/D61</f>
        <v>10925</v>
      </c>
    </row>
    <row r="62" spans="2:5" ht="15.75" thickBot="1" x14ac:dyDescent="0.3">
      <c r="B62" s="40" t="s">
        <v>27</v>
      </c>
      <c r="C62" s="23">
        <f>SUM(C59:C61)</f>
        <v>488606</v>
      </c>
      <c r="D62" s="13"/>
      <c r="E62" s="73">
        <f>E60+E61</f>
        <v>11353.055555555555</v>
      </c>
    </row>
    <row r="63" spans="2:5" x14ac:dyDescent="0.25">
      <c r="C63" s="88">
        <f>C62+E37+E39+E41+E42</f>
        <v>794333</v>
      </c>
    </row>
    <row r="64" spans="2:5" ht="15.75" thickBot="1" x14ac:dyDescent="0.3">
      <c r="C64" s="88"/>
    </row>
    <row r="65" spans="2:18" ht="30" x14ac:dyDescent="0.25">
      <c r="B65" s="92" t="s">
        <v>314</v>
      </c>
      <c r="C65" s="34">
        <v>1</v>
      </c>
      <c r="D65" s="34">
        <v>2</v>
      </c>
      <c r="E65" s="34">
        <v>3</v>
      </c>
      <c r="F65" s="34">
        <v>4</v>
      </c>
      <c r="G65" s="34">
        <v>5</v>
      </c>
      <c r="H65" s="34">
        <v>6</v>
      </c>
      <c r="I65" s="34">
        <v>7</v>
      </c>
      <c r="J65" s="34">
        <v>8</v>
      </c>
      <c r="K65" s="34">
        <v>9</v>
      </c>
      <c r="L65" s="34">
        <v>10</v>
      </c>
      <c r="M65" s="34">
        <v>11</v>
      </c>
      <c r="N65" s="34">
        <v>12</v>
      </c>
      <c r="O65" s="34">
        <v>13</v>
      </c>
      <c r="P65" s="34">
        <v>14</v>
      </c>
      <c r="Q65" s="34">
        <v>15</v>
      </c>
      <c r="R65" s="24">
        <v>16</v>
      </c>
    </row>
    <row r="66" spans="2:18" x14ac:dyDescent="0.25">
      <c r="B66" s="10" t="s">
        <v>315</v>
      </c>
      <c r="C66" s="375">
        <f>$C$53/$D$53</f>
        <v>428.05555555555554</v>
      </c>
      <c r="D66" s="11">
        <f t="shared" ref="D66:R66" si="3">$C$53/$D$53</f>
        <v>428.05555555555554</v>
      </c>
      <c r="E66" s="11">
        <f t="shared" si="3"/>
        <v>428.05555555555554</v>
      </c>
      <c r="F66" s="11">
        <f t="shared" si="3"/>
        <v>428.05555555555554</v>
      </c>
      <c r="G66" s="11">
        <f t="shared" si="3"/>
        <v>428.05555555555554</v>
      </c>
      <c r="H66" s="11">
        <f t="shared" si="3"/>
        <v>428.05555555555554</v>
      </c>
      <c r="I66" s="11">
        <f t="shared" si="3"/>
        <v>428.05555555555554</v>
      </c>
      <c r="J66" s="11">
        <f t="shared" si="3"/>
        <v>428.05555555555554</v>
      </c>
      <c r="K66" s="11">
        <f t="shared" si="3"/>
        <v>428.05555555555554</v>
      </c>
      <c r="L66" s="11">
        <f t="shared" si="3"/>
        <v>428.05555555555554</v>
      </c>
      <c r="M66" s="11">
        <f t="shared" si="3"/>
        <v>428.05555555555554</v>
      </c>
      <c r="N66" s="11">
        <f t="shared" si="3"/>
        <v>428.05555555555554</v>
      </c>
      <c r="O66" s="11">
        <f t="shared" si="3"/>
        <v>428.05555555555554</v>
      </c>
      <c r="P66" s="11">
        <f t="shared" si="3"/>
        <v>428.05555555555554</v>
      </c>
      <c r="Q66" s="11">
        <f t="shared" si="3"/>
        <v>428.05555555555554</v>
      </c>
      <c r="R66" s="80">
        <f t="shared" si="3"/>
        <v>428.05555555555554</v>
      </c>
    </row>
    <row r="67" spans="2:18" x14ac:dyDescent="0.25">
      <c r="B67" s="10" t="s">
        <v>316</v>
      </c>
      <c r="C67" s="111">
        <f>$C$54/$D$54</f>
        <v>10925</v>
      </c>
      <c r="D67" s="111">
        <f t="shared" ref="D67:R67" si="4">$C$54/$D$54</f>
        <v>10925</v>
      </c>
      <c r="E67" s="111">
        <f t="shared" si="4"/>
        <v>10925</v>
      </c>
      <c r="F67" s="111">
        <f t="shared" si="4"/>
        <v>10925</v>
      </c>
      <c r="G67" s="111">
        <f t="shared" si="4"/>
        <v>10925</v>
      </c>
      <c r="H67" s="111">
        <f t="shared" si="4"/>
        <v>10925</v>
      </c>
      <c r="I67" s="111">
        <f t="shared" si="4"/>
        <v>10925</v>
      </c>
      <c r="J67" s="111">
        <f t="shared" si="4"/>
        <v>10925</v>
      </c>
      <c r="K67" s="111">
        <f t="shared" si="4"/>
        <v>10925</v>
      </c>
      <c r="L67" s="111">
        <f t="shared" si="4"/>
        <v>10925</v>
      </c>
      <c r="M67" s="111">
        <f t="shared" si="4"/>
        <v>10925</v>
      </c>
      <c r="N67" s="111">
        <f t="shared" si="4"/>
        <v>10925</v>
      </c>
      <c r="O67" s="111">
        <f t="shared" si="4"/>
        <v>10925</v>
      </c>
      <c r="P67" s="111">
        <f t="shared" si="4"/>
        <v>10925</v>
      </c>
      <c r="Q67" s="111">
        <f t="shared" si="4"/>
        <v>10925</v>
      </c>
      <c r="R67" s="96">
        <f t="shared" si="4"/>
        <v>10925</v>
      </c>
    </row>
    <row r="68" spans="2:18" ht="15.75" thickBot="1" x14ac:dyDescent="0.3">
      <c r="B68" s="12"/>
      <c r="C68" s="23">
        <f>C67+C66</f>
        <v>11353.055555555555</v>
      </c>
      <c r="D68" s="23">
        <f t="shared" ref="D68:R68" si="5">D67+D66</f>
        <v>11353.055555555555</v>
      </c>
      <c r="E68" s="23">
        <f t="shared" si="5"/>
        <v>11353.055555555555</v>
      </c>
      <c r="F68" s="23">
        <f t="shared" si="5"/>
        <v>11353.055555555555</v>
      </c>
      <c r="G68" s="23">
        <f t="shared" si="5"/>
        <v>11353.055555555555</v>
      </c>
      <c r="H68" s="23">
        <f t="shared" si="5"/>
        <v>11353.055555555555</v>
      </c>
      <c r="I68" s="23">
        <f t="shared" si="5"/>
        <v>11353.055555555555</v>
      </c>
      <c r="J68" s="23">
        <f t="shared" si="5"/>
        <v>11353.055555555555</v>
      </c>
      <c r="K68" s="23">
        <f t="shared" si="5"/>
        <v>11353.055555555555</v>
      </c>
      <c r="L68" s="23">
        <f t="shared" si="5"/>
        <v>11353.055555555555</v>
      </c>
      <c r="M68" s="23">
        <f t="shared" si="5"/>
        <v>11353.055555555555</v>
      </c>
      <c r="N68" s="23">
        <f t="shared" si="5"/>
        <v>11353.055555555555</v>
      </c>
      <c r="O68" s="23">
        <f t="shared" si="5"/>
        <v>11353.055555555555</v>
      </c>
      <c r="P68" s="23">
        <f t="shared" si="5"/>
        <v>11353.055555555555</v>
      </c>
      <c r="Q68" s="23">
        <f t="shared" si="5"/>
        <v>11353.055555555555</v>
      </c>
      <c r="R68" s="73">
        <f t="shared" si="5"/>
        <v>11353.055555555555</v>
      </c>
    </row>
    <row r="70" spans="2:18" ht="15.75" thickBot="1" x14ac:dyDescent="0.3"/>
    <row r="71" spans="2:18" ht="30" x14ac:dyDescent="0.25">
      <c r="B71" s="92" t="s">
        <v>471</v>
      </c>
      <c r="C71" s="34">
        <v>1</v>
      </c>
      <c r="D71" s="34">
        <v>2</v>
      </c>
      <c r="E71" s="34">
        <v>3</v>
      </c>
      <c r="F71" s="34">
        <v>4</v>
      </c>
      <c r="G71" s="34">
        <v>5</v>
      </c>
      <c r="H71" s="34">
        <v>6</v>
      </c>
      <c r="I71" s="34">
        <v>7</v>
      </c>
      <c r="J71" s="34">
        <v>8</v>
      </c>
      <c r="K71" s="34">
        <v>9</v>
      </c>
      <c r="L71" s="34">
        <v>10</v>
      </c>
      <c r="M71" s="34">
        <v>11</v>
      </c>
      <c r="N71" s="34">
        <v>12</v>
      </c>
      <c r="O71" s="34">
        <v>13</v>
      </c>
      <c r="P71" s="34">
        <v>14</v>
      </c>
      <c r="Q71" s="34">
        <v>15</v>
      </c>
      <c r="R71" s="24">
        <v>16</v>
      </c>
    </row>
    <row r="72" spans="2:18" x14ac:dyDescent="0.25">
      <c r="B72" s="10" t="s">
        <v>315</v>
      </c>
      <c r="C72" s="11">
        <f>$C$60/$D$60</f>
        <v>428.05555555555554</v>
      </c>
      <c r="D72" s="11">
        <f t="shared" ref="D72:R72" si="6">$C$60/$D$60</f>
        <v>428.05555555555554</v>
      </c>
      <c r="E72" s="11">
        <f t="shared" si="6"/>
        <v>428.05555555555554</v>
      </c>
      <c r="F72" s="11">
        <f t="shared" si="6"/>
        <v>428.05555555555554</v>
      </c>
      <c r="G72" s="11">
        <f t="shared" si="6"/>
        <v>428.05555555555554</v>
      </c>
      <c r="H72" s="11">
        <f t="shared" si="6"/>
        <v>428.05555555555554</v>
      </c>
      <c r="I72" s="11">
        <f t="shared" si="6"/>
        <v>428.05555555555554</v>
      </c>
      <c r="J72" s="11">
        <f t="shared" si="6"/>
        <v>428.05555555555554</v>
      </c>
      <c r="K72" s="11">
        <f t="shared" si="6"/>
        <v>428.05555555555554</v>
      </c>
      <c r="L72" s="11">
        <f t="shared" si="6"/>
        <v>428.05555555555554</v>
      </c>
      <c r="M72" s="11">
        <f t="shared" si="6"/>
        <v>428.05555555555554</v>
      </c>
      <c r="N72" s="11">
        <f t="shared" si="6"/>
        <v>428.05555555555554</v>
      </c>
      <c r="O72" s="11">
        <f t="shared" si="6"/>
        <v>428.05555555555554</v>
      </c>
      <c r="P72" s="11">
        <f t="shared" si="6"/>
        <v>428.05555555555554</v>
      </c>
      <c r="Q72" s="11">
        <f t="shared" si="6"/>
        <v>428.05555555555554</v>
      </c>
      <c r="R72" s="11">
        <f t="shared" si="6"/>
        <v>428.05555555555554</v>
      </c>
    </row>
    <row r="73" spans="2:18" x14ac:dyDescent="0.25">
      <c r="B73" s="10" t="s">
        <v>316</v>
      </c>
      <c r="C73" s="111">
        <f>$C$61/$D$61</f>
        <v>10925</v>
      </c>
      <c r="D73" s="111">
        <f t="shared" ref="D73:R73" si="7">$C$61/$D$61</f>
        <v>10925</v>
      </c>
      <c r="E73" s="111">
        <f t="shared" si="7"/>
        <v>10925</v>
      </c>
      <c r="F73" s="111">
        <f t="shared" si="7"/>
        <v>10925</v>
      </c>
      <c r="G73" s="111">
        <f t="shared" si="7"/>
        <v>10925</v>
      </c>
      <c r="H73" s="111">
        <f t="shared" si="7"/>
        <v>10925</v>
      </c>
      <c r="I73" s="111">
        <f t="shared" si="7"/>
        <v>10925</v>
      </c>
      <c r="J73" s="111">
        <f t="shared" si="7"/>
        <v>10925</v>
      </c>
      <c r="K73" s="111">
        <f t="shared" si="7"/>
        <v>10925</v>
      </c>
      <c r="L73" s="111">
        <f t="shared" si="7"/>
        <v>10925</v>
      </c>
      <c r="M73" s="111">
        <f t="shared" si="7"/>
        <v>10925</v>
      </c>
      <c r="N73" s="111">
        <f t="shared" si="7"/>
        <v>10925</v>
      </c>
      <c r="O73" s="111">
        <f t="shared" si="7"/>
        <v>10925</v>
      </c>
      <c r="P73" s="111">
        <f t="shared" si="7"/>
        <v>10925</v>
      </c>
      <c r="Q73" s="111">
        <f t="shared" si="7"/>
        <v>10925</v>
      </c>
      <c r="R73" s="111">
        <f t="shared" si="7"/>
        <v>10925</v>
      </c>
    </row>
    <row r="74" spans="2:18" ht="15.75" thickBot="1" x14ac:dyDescent="0.3">
      <c r="B74" s="12"/>
      <c r="C74" s="23">
        <f>C73+C72</f>
        <v>11353.055555555555</v>
      </c>
      <c r="D74" s="23">
        <f t="shared" ref="D74" si="8">D73+D72</f>
        <v>11353.055555555555</v>
      </c>
      <c r="E74" s="23">
        <f t="shared" ref="E74" si="9">E73+E72</f>
        <v>11353.055555555555</v>
      </c>
      <c r="F74" s="23">
        <f t="shared" ref="F74" si="10">F73+F72</f>
        <v>11353.055555555555</v>
      </c>
      <c r="G74" s="23">
        <f t="shared" ref="G74" si="11">G73+G72</f>
        <v>11353.055555555555</v>
      </c>
      <c r="H74" s="23">
        <f t="shared" ref="H74" si="12">H73+H72</f>
        <v>11353.055555555555</v>
      </c>
      <c r="I74" s="23">
        <f t="shared" ref="I74" si="13">I73+I72</f>
        <v>11353.055555555555</v>
      </c>
      <c r="J74" s="23">
        <f t="shared" ref="J74" si="14">J73+J72</f>
        <v>11353.055555555555</v>
      </c>
      <c r="K74" s="23">
        <f t="shared" ref="K74" si="15">K73+K72</f>
        <v>11353.055555555555</v>
      </c>
      <c r="L74" s="23">
        <f t="shared" ref="L74" si="16">L73+L72</f>
        <v>11353.055555555555</v>
      </c>
      <c r="M74" s="23">
        <f t="shared" ref="M74" si="17">M73+M72</f>
        <v>11353.055555555555</v>
      </c>
      <c r="N74" s="23">
        <f t="shared" ref="N74" si="18">N73+N72</f>
        <v>11353.055555555555</v>
      </c>
      <c r="O74" s="23">
        <f t="shared" ref="O74" si="19">O73+O72</f>
        <v>11353.055555555555</v>
      </c>
      <c r="P74" s="23">
        <f t="shared" ref="P74" si="20">P73+P72</f>
        <v>11353.055555555555</v>
      </c>
      <c r="Q74" s="23">
        <f t="shared" ref="Q74" si="21">Q73+Q72</f>
        <v>11353.055555555555</v>
      </c>
      <c r="R74" s="73">
        <f t="shared" ref="R74" si="22">R73+R72</f>
        <v>11353.055555555555</v>
      </c>
    </row>
    <row r="76" spans="2:18" ht="15.75" thickBot="1" x14ac:dyDescent="0.3"/>
    <row r="77" spans="2:18" ht="15.75" thickBot="1" x14ac:dyDescent="0.3">
      <c r="B77" s="85" t="s">
        <v>317</v>
      </c>
      <c r="C77" s="123">
        <f>C68+C74</f>
        <v>22706.111111111109</v>
      </c>
      <c r="D77" s="123">
        <f t="shared" ref="D77:R77" si="23">D68+D74</f>
        <v>22706.111111111109</v>
      </c>
      <c r="E77" s="123">
        <f t="shared" si="23"/>
        <v>22706.111111111109</v>
      </c>
      <c r="F77" s="123">
        <f t="shared" si="23"/>
        <v>22706.111111111109</v>
      </c>
      <c r="G77" s="123">
        <f t="shared" si="23"/>
        <v>22706.111111111109</v>
      </c>
      <c r="H77" s="123">
        <f t="shared" si="23"/>
        <v>22706.111111111109</v>
      </c>
      <c r="I77" s="123">
        <f t="shared" si="23"/>
        <v>22706.111111111109</v>
      </c>
      <c r="J77" s="123">
        <f t="shared" si="23"/>
        <v>22706.111111111109</v>
      </c>
      <c r="K77" s="123">
        <f t="shared" si="23"/>
        <v>22706.111111111109</v>
      </c>
      <c r="L77" s="123">
        <f t="shared" si="23"/>
        <v>22706.111111111109</v>
      </c>
      <c r="M77" s="123">
        <f t="shared" si="23"/>
        <v>22706.111111111109</v>
      </c>
      <c r="N77" s="123">
        <f t="shared" si="23"/>
        <v>22706.111111111109</v>
      </c>
      <c r="O77" s="123">
        <f t="shared" si="23"/>
        <v>22706.111111111109</v>
      </c>
      <c r="P77" s="123">
        <f t="shared" si="23"/>
        <v>22706.111111111109</v>
      </c>
      <c r="Q77" s="123">
        <f t="shared" si="23"/>
        <v>22706.111111111109</v>
      </c>
      <c r="R77" s="124">
        <f t="shared" si="23"/>
        <v>22706.111111111109</v>
      </c>
    </row>
  </sheetData>
  <mergeCells count="1">
    <mergeCell ref="E2:F2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40"/>
  <sheetViews>
    <sheetView topLeftCell="A28" workbookViewId="0">
      <selection activeCell="B4" sqref="B4:D36"/>
    </sheetView>
  </sheetViews>
  <sheetFormatPr defaultRowHeight="15" x14ac:dyDescent="0.25"/>
  <cols>
    <col min="2" max="2" width="44" customWidth="1"/>
    <col min="3" max="3" width="11" customWidth="1"/>
    <col min="4" max="4" width="11.5703125" customWidth="1"/>
    <col min="5" max="5" width="11.85546875" customWidth="1"/>
  </cols>
  <sheetData>
    <row r="3" spans="2:5" ht="15.75" thickBot="1" x14ac:dyDescent="0.3"/>
    <row r="4" spans="2:5" ht="30" x14ac:dyDescent="0.25">
      <c r="B4" s="41" t="s">
        <v>364</v>
      </c>
      <c r="C4" s="42" t="s">
        <v>361</v>
      </c>
      <c r="D4" s="42" t="s">
        <v>362</v>
      </c>
      <c r="E4" s="125" t="s">
        <v>363</v>
      </c>
    </row>
    <row r="5" spans="2:5" x14ac:dyDescent="0.25">
      <c r="B5" s="131" t="s">
        <v>326</v>
      </c>
      <c r="C5" s="8"/>
      <c r="D5" s="8"/>
      <c r="E5" s="9"/>
    </row>
    <row r="6" spans="2:5" x14ac:dyDescent="0.25">
      <c r="B6" s="87" t="s">
        <v>327</v>
      </c>
      <c r="C6" s="8"/>
      <c r="D6" s="8"/>
      <c r="E6" s="9"/>
    </row>
    <row r="7" spans="2:5" x14ac:dyDescent="0.25">
      <c r="B7" s="87" t="s">
        <v>328</v>
      </c>
      <c r="C7" s="8"/>
      <c r="D7" s="8"/>
      <c r="E7" s="9"/>
    </row>
    <row r="8" spans="2:5" x14ac:dyDescent="0.25">
      <c r="B8" s="87" t="s">
        <v>329</v>
      </c>
      <c r="C8" s="8"/>
      <c r="D8" s="8"/>
      <c r="E8" s="9"/>
    </row>
    <row r="9" spans="2:5" x14ac:dyDescent="0.25">
      <c r="B9" s="87" t="s">
        <v>354</v>
      </c>
      <c r="C9" s="8"/>
      <c r="D9" s="8"/>
      <c r="E9" s="9"/>
    </row>
    <row r="10" spans="2:5" x14ac:dyDescent="0.25">
      <c r="B10" s="87" t="s">
        <v>355</v>
      </c>
      <c r="C10" s="8"/>
      <c r="D10" s="8"/>
      <c r="E10" s="9"/>
    </row>
    <row r="11" spans="2:5" x14ac:dyDescent="0.25">
      <c r="B11" s="87" t="s">
        <v>356</v>
      </c>
      <c r="C11" s="8"/>
      <c r="D11" s="8"/>
      <c r="E11" s="9"/>
    </row>
    <row r="12" spans="2:5" ht="16.5" customHeight="1" x14ac:dyDescent="0.25">
      <c r="B12" s="87" t="s">
        <v>357</v>
      </c>
      <c r="C12" s="8"/>
      <c r="D12" s="8"/>
      <c r="E12" s="9"/>
    </row>
    <row r="13" spans="2:5" x14ac:dyDescent="0.25">
      <c r="B13" s="87" t="s">
        <v>330</v>
      </c>
      <c r="C13" s="8"/>
      <c r="D13" s="8"/>
      <c r="E13" s="9"/>
    </row>
    <row r="14" spans="2:5" x14ac:dyDescent="0.25">
      <c r="B14" s="87" t="s">
        <v>331</v>
      </c>
      <c r="C14" s="8"/>
      <c r="D14" s="8"/>
      <c r="E14" s="9"/>
    </row>
    <row r="15" spans="2:5" x14ac:dyDescent="0.25">
      <c r="B15" s="87" t="s">
        <v>332</v>
      </c>
      <c r="C15" s="8"/>
      <c r="D15" s="8"/>
      <c r="E15" s="9"/>
    </row>
    <row r="16" spans="2:5" x14ac:dyDescent="0.25">
      <c r="B16" s="87" t="s">
        <v>333</v>
      </c>
      <c r="C16" s="8"/>
      <c r="D16" s="8"/>
      <c r="E16" s="9"/>
    </row>
    <row r="17" spans="2:5" x14ac:dyDescent="0.25">
      <c r="B17" s="131" t="s">
        <v>334</v>
      </c>
      <c r="C17" s="8"/>
      <c r="D17" s="8"/>
      <c r="E17" s="9"/>
    </row>
    <row r="18" spans="2:5" x14ac:dyDescent="0.25">
      <c r="B18" s="87" t="s">
        <v>338</v>
      </c>
      <c r="C18" s="8"/>
      <c r="D18" s="8"/>
      <c r="E18" s="9"/>
    </row>
    <row r="19" spans="2:5" x14ac:dyDescent="0.25">
      <c r="B19" s="87" t="s">
        <v>339</v>
      </c>
      <c r="C19" s="8"/>
      <c r="D19" s="8"/>
      <c r="E19" s="9"/>
    </row>
    <row r="20" spans="2:5" x14ac:dyDescent="0.25">
      <c r="B20" s="87" t="s">
        <v>340</v>
      </c>
      <c r="C20" s="8"/>
      <c r="D20" s="8"/>
      <c r="E20" s="9"/>
    </row>
    <row r="21" spans="2:5" x14ac:dyDescent="0.25">
      <c r="B21" s="87" t="s">
        <v>341</v>
      </c>
      <c r="C21" s="8"/>
      <c r="D21" s="8"/>
      <c r="E21" s="9"/>
    </row>
    <row r="22" spans="2:5" x14ac:dyDescent="0.25">
      <c r="B22" s="87" t="s">
        <v>358</v>
      </c>
      <c r="C22" s="8"/>
      <c r="D22" s="8"/>
      <c r="E22" s="9"/>
    </row>
    <row r="23" spans="2:5" ht="30" x14ac:dyDescent="0.25">
      <c r="B23" s="87" t="s">
        <v>342</v>
      </c>
      <c r="C23" s="8"/>
      <c r="D23" s="8"/>
      <c r="E23" s="9"/>
    </row>
    <row r="24" spans="2:5" x14ac:dyDescent="0.25">
      <c r="B24" s="87" t="s">
        <v>359</v>
      </c>
      <c r="C24" s="8"/>
      <c r="D24" s="8"/>
      <c r="E24" s="9"/>
    </row>
    <row r="25" spans="2:5" ht="30" x14ac:dyDescent="0.25">
      <c r="B25" s="87" t="s">
        <v>343</v>
      </c>
      <c r="C25" s="8"/>
      <c r="D25" s="8"/>
      <c r="E25" s="9"/>
    </row>
    <row r="26" spans="2:5" x14ac:dyDescent="0.25">
      <c r="B26" s="131" t="s">
        <v>335</v>
      </c>
      <c r="C26" s="8"/>
      <c r="D26" s="8"/>
      <c r="E26" s="9"/>
    </row>
    <row r="27" spans="2:5" x14ac:dyDescent="0.25">
      <c r="B27" s="131" t="s">
        <v>336</v>
      </c>
      <c r="C27" s="8"/>
      <c r="D27" s="8"/>
      <c r="E27" s="9"/>
    </row>
    <row r="28" spans="2:5" x14ac:dyDescent="0.25">
      <c r="B28" s="131" t="s">
        <v>337</v>
      </c>
      <c r="C28" s="8"/>
      <c r="D28" s="8"/>
      <c r="E28" s="9"/>
    </row>
    <row r="29" spans="2:5" ht="30" x14ac:dyDescent="0.25">
      <c r="B29" s="131" t="s">
        <v>360</v>
      </c>
      <c r="C29" s="8"/>
      <c r="D29" s="8"/>
      <c r="E29" s="9"/>
    </row>
    <row r="30" spans="2:5" x14ac:dyDescent="0.25">
      <c r="B30" s="131" t="s">
        <v>344</v>
      </c>
      <c r="C30" s="8"/>
      <c r="D30" s="8"/>
      <c r="E30" s="9"/>
    </row>
    <row r="31" spans="2:5" x14ac:dyDescent="0.25">
      <c r="B31" s="33" t="s">
        <v>345</v>
      </c>
      <c r="C31" s="8"/>
      <c r="D31" s="8"/>
      <c r="E31" s="9"/>
    </row>
    <row r="32" spans="2:5" x14ac:dyDescent="0.25">
      <c r="B32" s="33" t="s">
        <v>346</v>
      </c>
      <c r="C32" s="8"/>
      <c r="D32" s="8"/>
      <c r="E32" s="9"/>
    </row>
    <row r="33" spans="2:5" ht="15.75" x14ac:dyDescent="0.25">
      <c r="B33" s="132" t="s">
        <v>347</v>
      </c>
      <c r="C33" s="8"/>
      <c r="D33" s="8"/>
      <c r="E33" s="9"/>
    </row>
    <row r="34" spans="2:5" x14ac:dyDescent="0.25">
      <c r="B34" s="33" t="s">
        <v>348</v>
      </c>
      <c r="C34" s="8"/>
      <c r="D34" s="8"/>
      <c r="E34" s="9"/>
    </row>
    <row r="35" spans="2:5" x14ac:dyDescent="0.25">
      <c r="B35" s="33" t="s">
        <v>349</v>
      </c>
      <c r="C35" s="8"/>
      <c r="D35" s="8"/>
      <c r="E35" s="9"/>
    </row>
    <row r="36" spans="2:5" ht="30" x14ac:dyDescent="0.25">
      <c r="B36" s="33" t="s">
        <v>365</v>
      </c>
      <c r="C36" s="8"/>
      <c r="D36" s="8"/>
      <c r="E36" s="9"/>
    </row>
    <row r="37" spans="2:5" x14ac:dyDescent="0.25">
      <c r="B37" s="87" t="s">
        <v>350</v>
      </c>
      <c r="C37" s="8"/>
      <c r="D37" s="8"/>
      <c r="E37" s="9"/>
    </row>
    <row r="38" spans="2:5" x14ac:dyDescent="0.25">
      <c r="B38" s="87" t="s">
        <v>351</v>
      </c>
      <c r="C38" s="8"/>
      <c r="D38" s="8"/>
      <c r="E38" s="9"/>
    </row>
    <row r="39" spans="2:5" x14ac:dyDescent="0.25">
      <c r="B39" s="87" t="s">
        <v>352</v>
      </c>
      <c r="C39" s="8"/>
      <c r="D39" s="8"/>
      <c r="E39" s="9"/>
    </row>
    <row r="40" spans="2:5" ht="15.75" thickBot="1" x14ac:dyDescent="0.3">
      <c r="B40" s="48" t="s">
        <v>353</v>
      </c>
      <c r="C40" s="13"/>
      <c r="D40" s="13"/>
      <c r="E40" s="14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2"/>
  <sheetViews>
    <sheetView workbookViewId="0">
      <selection activeCell="D20" sqref="D20"/>
    </sheetView>
  </sheetViews>
  <sheetFormatPr defaultRowHeight="15" x14ac:dyDescent="0.25"/>
  <cols>
    <col min="2" max="2" width="22.7109375" bestFit="1" customWidth="1"/>
    <col min="3" max="3" width="16.28515625" customWidth="1"/>
    <col min="4" max="4" width="25.42578125" customWidth="1"/>
    <col min="5" max="5" width="22.5703125" customWidth="1"/>
    <col min="6" max="6" width="17.5703125" customWidth="1"/>
    <col min="7" max="7" width="14.28515625" bestFit="1" customWidth="1"/>
    <col min="8" max="8" width="23" customWidth="1"/>
  </cols>
  <sheetData>
    <row r="2" spans="2:7" ht="15.75" thickBot="1" x14ac:dyDescent="0.3">
      <c r="B2" s="1" t="s">
        <v>1</v>
      </c>
    </row>
    <row r="3" spans="2:7" x14ac:dyDescent="0.25">
      <c r="B3" s="2"/>
      <c r="C3" s="3"/>
      <c r="D3" s="3"/>
      <c r="E3" s="106"/>
      <c r="F3" s="2"/>
      <c r="G3" s="106"/>
    </row>
    <row r="4" spans="2:7" ht="63.75" customHeight="1" x14ac:dyDescent="0.25">
      <c r="B4" s="4" t="s">
        <v>16</v>
      </c>
      <c r="C4" s="5" t="s">
        <v>17</v>
      </c>
      <c r="D4" s="5" t="s">
        <v>475</v>
      </c>
      <c r="E4" s="39" t="s">
        <v>476</v>
      </c>
      <c r="F4" s="196" t="s">
        <v>503</v>
      </c>
      <c r="G4" s="197" t="s">
        <v>504</v>
      </c>
    </row>
    <row r="5" spans="2:7" x14ac:dyDescent="0.25">
      <c r="B5" s="10" t="s">
        <v>2</v>
      </c>
      <c r="C5" s="11">
        <f>Populatie!F8</f>
        <v>27359</v>
      </c>
      <c r="D5" s="8" t="s">
        <v>478</v>
      </c>
      <c r="E5" s="9" t="s">
        <v>477</v>
      </c>
      <c r="F5" s="10"/>
      <c r="G5" s="9"/>
    </row>
    <row r="6" spans="2:7" x14ac:dyDescent="0.25">
      <c r="B6" s="10" t="s">
        <v>3</v>
      </c>
      <c r="C6" s="11">
        <f>Populatie!F13</f>
        <v>5456</v>
      </c>
      <c r="D6" s="8" t="s">
        <v>479</v>
      </c>
      <c r="E6" s="9" t="s">
        <v>480</v>
      </c>
      <c r="F6" s="10"/>
      <c r="G6" s="9"/>
    </row>
    <row r="7" spans="2:7" x14ac:dyDescent="0.25">
      <c r="B7" s="10" t="s">
        <v>4</v>
      </c>
      <c r="C7" s="11">
        <f>Populatie!F17</f>
        <v>2405</v>
      </c>
      <c r="D7" s="8" t="s">
        <v>481</v>
      </c>
      <c r="E7" s="9" t="s">
        <v>482</v>
      </c>
      <c r="F7" s="10"/>
      <c r="G7" s="9"/>
    </row>
    <row r="8" spans="2:7" x14ac:dyDescent="0.25">
      <c r="B8" s="10" t="s">
        <v>5</v>
      </c>
      <c r="C8" s="11">
        <f>Populatie!F19</f>
        <v>5826</v>
      </c>
      <c r="D8" s="8" t="s">
        <v>484</v>
      </c>
      <c r="E8" s="9" t="s">
        <v>483</v>
      </c>
      <c r="F8" s="10"/>
      <c r="G8" s="9"/>
    </row>
    <row r="9" spans="2:7" x14ac:dyDescent="0.25">
      <c r="B9" s="10" t="s">
        <v>6</v>
      </c>
      <c r="C9" s="11">
        <f>Populatie!F39</f>
        <v>2107</v>
      </c>
      <c r="D9" s="8" t="s">
        <v>485</v>
      </c>
      <c r="E9" s="9" t="s">
        <v>486</v>
      </c>
      <c r="F9" s="10"/>
      <c r="G9" s="9"/>
    </row>
    <row r="10" spans="2:7" x14ac:dyDescent="0.25">
      <c r="B10" s="10" t="s">
        <v>7</v>
      </c>
      <c r="C10" s="11">
        <f>Populatie!F40</f>
        <v>2326</v>
      </c>
      <c r="D10" s="8" t="s">
        <v>487</v>
      </c>
      <c r="E10" s="9" t="s">
        <v>488</v>
      </c>
      <c r="F10" s="10"/>
      <c r="G10" s="9"/>
    </row>
    <row r="11" spans="2:7" x14ac:dyDescent="0.25">
      <c r="B11" s="10" t="s">
        <v>10</v>
      </c>
      <c r="C11" s="11">
        <f>Populatie!F43</f>
        <v>5384</v>
      </c>
      <c r="D11" s="8" t="s">
        <v>490</v>
      </c>
      <c r="E11" s="9" t="s">
        <v>489</v>
      </c>
      <c r="F11" s="10"/>
      <c r="G11" s="9"/>
    </row>
    <row r="12" spans="2:7" x14ac:dyDescent="0.25">
      <c r="B12" s="10" t="s">
        <v>8</v>
      </c>
      <c r="C12" s="11">
        <f>Populatie!F37</f>
        <v>2289</v>
      </c>
      <c r="D12" s="8" t="s">
        <v>491</v>
      </c>
      <c r="E12" s="9" t="s">
        <v>492</v>
      </c>
      <c r="F12" s="10"/>
      <c r="G12" s="9"/>
    </row>
    <row r="13" spans="2:7" ht="15.75" customHeight="1" x14ac:dyDescent="0.25">
      <c r="B13" s="10" t="s">
        <v>9</v>
      </c>
      <c r="C13" s="11">
        <f>Populatie!F78</f>
        <v>1117</v>
      </c>
      <c r="D13" s="8"/>
      <c r="E13" s="9"/>
      <c r="F13" s="10"/>
      <c r="G13" s="9"/>
    </row>
    <row r="14" spans="2:7" x14ac:dyDescent="0.25">
      <c r="B14" s="10" t="s">
        <v>11</v>
      </c>
      <c r="C14" s="11">
        <f>Populatie!F87</f>
        <v>2220</v>
      </c>
      <c r="D14" s="8" t="s">
        <v>493</v>
      </c>
      <c r="E14" s="9" t="s">
        <v>494</v>
      </c>
      <c r="F14" s="10"/>
      <c r="G14" s="9"/>
    </row>
    <row r="15" spans="2:7" x14ac:dyDescent="0.25">
      <c r="B15" s="10" t="s">
        <v>12</v>
      </c>
      <c r="C15" s="11">
        <f>Populatie!F95</f>
        <v>2561</v>
      </c>
      <c r="D15" s="8" t="s">
        <v>495</v>
      </c>
      <c r="E15" s="9" t="s">
        <v>496</v>
      </c>
      <c r="F15" s="10"/>
      <c r="G15" s="9"/>
    </row>
    <row r="16" spans="2:7" x14ac:dyDescent="0.25">
      <c r="B16" s="10" t="s">
        <v>13</v>
      </c>
      <c r="C16" s="11">
        <f>Populatie!F98</f>
        <v>3444</v>
      </c>
      <c r="D16" s="8" t="s">
        <v>497</v>
      </c>
      <c r="E16" s="9" t="s">
        <v>498</v>
      </c>
      <c r="F16" s="10"/>
      <c r="G16" s="9"/>
    </row>
    <row r="17" spans="2:7" x14ac:dyDescent="0.25">
      <c r="B17" s="10" t="s">
        <v>14</v>
      </c>
      <c r="C17" s="11">
        <f>Populatie!F102</f>
        <v>2802</v>
      </c>
      <c r="D17" s="8" t="s">
        <v>499</v>
      </c>
      <c r="E17" s="9" t="s">
        <v>500</v>
      </c>
      <c r="F17" s="10"/>
      <c r="G17" s="9"/>
    </row>
    <row r="18" spans="2:7" x14ac:dyDescent="0.25">
      <c r="B18" s="10" t="s">
        <v>15</v>
      </c>
      <c r="C18" s="11">
        <f>Populatie!F103</f>
        <v>2533</v>
      </c>
      <c r="D18" s="8" t="s">
        <v>501</v>
      </c>
      <c r="E18" s="9" t="s">
        <v>502</v>
      </c>
      <c r="F18" s="10"/>
      <c r="G18" s="9"/>
    </row>
    <row r="19" spans="2:7" s="1" customFormat="1" ht="15.75" thickBot="1" x14ac:dyDescent="0.3">
      <c r="B19" s="19" t="s">
        <v>27</v>
      </c>
      <c r="C19" s="171">
        <f>SUM(C5:C18)</f>
        <v>67829</v>
      </c>
      <c r="D19" s="20"/>
      <c r="E19" s="44"/>
      <c r="F19" s="19"/>
      <c r="G19" s="44"/>
    </row>
    <row r="23" spans="2:7" ht="15.75" thickBot="1" x14ac:dyDescent="0.3">
      <c r="B23" s="1" t="s">
        <v>132</v>
      </c>
    </row>
    <row r="24" spans="2:7" x14ac:dyDescent="0.25">
      <c r="B24" s="2"/>
      <c r="C24" s="3"/>
      <c r="D24" s="3"/>
      <c r="E24" s="3"/>
      <c r="F24" s="3"/>
      <c r="G24" s="106"/>
    </row>
    <row r="25" spans="2:7" ht="65.25" customHeight="1" x14ac:dyDescent="0.25">
      <c r="B25" s="4" t="s">
        <v>16</v>
      </c>
      <c r="C25" s="5" t="s">
        <v>17</v>
      </c>
      <c r="D25" s="5" t="s">
        <v>475</v>
      </c>
      <c r="E25" s="5" t="s">
        <v>476</v>
      </c>
      <c r="F25" s="198" t="s">
        <v>503</v>
      </c>
      <c r="G25" s="197" t="s">
        <v>504</v>
      </c>
    </row>
    <row r="26" spans="2:7" x14ac:dyDescent="0.25">
      <c r="B26" s="10" t="s">
        <v>133</v>
      </c>
      <c r="C26" s="8">
        <f>Populatie!F16</f>
        <v>3299</v>
      </c>
      <c r="D26" s="8" t="s">
        <v>505</v>
      </c>
      <c r="E26" s="8" t="s">
        <v>506</v>
      </c>
      <c r="F26" s="8"/>
      <c r="G26" s="9"/>
    </row>
    <row r="27" spans="2:7" x14ac:dyDescent="0.25">
      <c r="B27" s="10" t="s">
        <v>134</v>
      </c>
      <c r="C27" s="8">
        <f>Populatie!F29</f>
        <v>1867</v>
      </c>
      <c r="D27" s="8" t="s">
        <v>507</v>
      </c>
      <c r="E27" s="8" t="s">
        <v>508</v>
      </c>
      <c r="F27" s="8"/>
      <c r="G27" s="9"/>
    </row>
    <row r="28" spans="2:7" x14ac:dyDescent="0.25">
      <c r="B28" s="10" t="s">
        <v>135</v>
      </c>
      <c r="C28" s="8">
        <f>Populatie!F44</f>
        <v>3784</v>
      </c>
      <c r="D28" s="8" t="s">
        <v>509</v>
      </c>
      <c r="E28" s="8" t="s">
        <v>510</v>
      </c>
      <c r="F28" s="8"/>
      <c r="G28" s="9"/>
    </row>
    <row r="29" spans="2:7" x14ac:dyDescent="0.25">
      <c r="B29" s="10" t="s">
        <v>136</v>
      </c>
      <c r="C29" s="8">
        <f>Populatie!F52</f>
        <v>3201</v>
      </c>
      <c r="D29" s="8" t="s">
        <v>511</v>
      </c>
      <c r="E29" s="8" t="s">
        <v>512</v>
      </c>
      <c r="F29" s="8"/>
      <c r="G29" s="9"/>
    </row>
    <row r="30" spans="2:7" x14ac:dyDescent="0.25">
      <c r="B30" s="10" t="s">
        <v>137</v>
      </c>
      <c r="C30" s="8">
        <f>Populatie!F72</f>
        <v>3870</v>
      </c>
      <c r="D30" s="8" t="s">
        <v>513</v>
      </c>
      <c r="E30" s="8" t="s">
        <v>514</v>
      </c>
      <c r="F30" s="8"/>
      <c r="G30" s="9"/>
    </row>
    <row r="31" spans="2:7" x14ac:dyDescent="0.25">
      <c r="B31" s="10" t="s">
        <v>138</v>
      </c>
      <c r="C31" s="8">
        <f>Populatie!F74</f>
        <v>1442</v>
      </c>
      <c r="D31" s="8" t="s">
        <v>515</v>
      </c>
      <c r="E31" s="8" t="s">
        <v>516</v>
      </c>
      <c r="F31" s="8"/>
      <c r="G31" s="9"/>
    </row>
    <row r="32" spans="2:7" x14ac:dyDescent="0.25">
      <c r="B32" s="10" t="s">
        <v>139</v>
      </c>
      <c r="C32" s="8">
        <f>Populatie!F76</f>
        <v>5702</v>
      </c>
      <c r="D32" s="8" t="s">
        <v>517</v>
      </c>
      <c r="E32" s="8" t="s">
        <v>518</v>
      </c>
      <c r="F32" s="8"/>
      <c r="G32" s="9"/>
    </row>
    <row r="33" spans="2:7" x14ac:dyDescent="0.25">
      <c r="B33" s="10" t="s">
        <v>140</v>
      </c>
      <c r="C33" s="8">
        <f>Populatie!F106</f>
        <v>3092</v>
      </c>
      <c r="D33" s="8" t="s">
        <v>519</v>
      </c>
      <c r="E33" s="8" t="s">
        <v>520</v>
      </c>
      <c r="F33" s="8"/>
      <c r="G33" s="9"/>
    </row>
    <row r="34" spans="2:7" s="1" customFormat="1" ht="15.75" thickBot="1" x14ac:dyDescent="0.3">
      <c r="B34" s="19" t="s">
        <v>27</v>
      </c>
      <c r="C34" s="20">
        <f>SUM(C26:C33)</f>
        <v>26257</v>
      </c>
      <c r="D34" s="20"/>
      <c r="E34" s="20"/>
      <c r="F34" s="20"/>
      <c r="G34" s="44"/>
    </row>
    <row r="37" spans="2:7" ht="15.75" thickBot="1" x14ac:dyDescent="0.3">
      <c r="B37" s="1" t="s">
        <v>141</v>
      </c>
    </row>
    <row r="38" spans="2:7" x14ac:dyDescent="0.25">
      <c r="B38" s="2"/>
      <c r="C38" s="3"/>
      <c r="D38" s="3"/>
      <c r="E38" s="3"/>
      <c r="F38" s="3"/>
      <c r="G38" s="106"/>
    </row>
    <row r="39" spans="2:7" ht="66" customHeight="1" x14ac:dyDescent="0.25">
      <c r="B39" s="4" t="s">
        <v>16</v>
      </c>
      <c r="C39" s="5" t="s">
        <v>17</v>
      </c>
      <c r="D39" s="5" t="s">
        <v>475</v>
      </c>
      <c r="E39" s="5" t="s">
        <v>476</v>
      </c>
      <c r="F39" s="198" t="s">
        <v>503</v>
      </c>
      <c r="G39" s="197" t="s">
        <v>504</v>
      </c>
    </row>
    <row r="40" spans="2:7" x14ac:dyDescent="0.25">
      <c r="B40" s="10" t="s">
        <v>142</v>
      </c>
      <c r="C40" s="8">
        <f>Populatie!F9</f>
        <v>10375</v>
      </c>
      <c r="D40" s="8" t="s">
        <v>521</v>
      </c>
      <c r="E40" s="8" t="s">
        <v>524</v>
      </c>
      <c r="F40" s="8"/>
      <c r="G40" s="9"/>
    </row>
    <row r="41" spans="2:7" x14ac:dyDescent="0.25">
      <c r="B41" s="10" t="s">
        <v>143</v>
      </c>
      <c r="C41" s="8">
        <f>Populatie!F21</f>
        <v>5142</v>
      </c>
      <c r="D41" s="8" t="s">
        <v>522</v>
      </c>
      <c r="E41" s="8" t="s">
        <v>523</v>
      </c>
      <c r="F41" s="8"/>
      <c r="G41" s="9"/>
    </row>
    <row r="42" spans="2:7" x14ac:dyDescent="0.25">
      <c r="B42" s="10" t="s">
        <v>144</v>
      </c>
      <c r="C42" s="8">
        <f>Populatie!F33</f>
        <v>5975</v>
      </c>
      <c r="D42" s="8" t="s">
        <v>525</v>
      </c>
      <c r="E42" s="8" t="s">
        <v>526</v>
      </c>
      <c r="F42" s="8"/>
      <c r="G42" s="9"/>
    </row>
    <row r="43" spans="2:7" x14ac:dyDescent="0.25">
      <c r="B43" s="10" t="s">
        <v>145</v>
      </c>
      <c r="C43" s="8">
        <f>Populatie!F34</f>
        <v>2562</v>
      </c>
      <c r="D43" s="8" t="s">
        <v>527</v>
      </c>
      <c r="E43" s="8" t="s">
        <v>528</v>
      </c>
      <c r="F43" s="8"/>
      <c r="G43" s="9"/>
    </row>
    <row r="44" spans="2:7" x14ac:dyDescent="0.25">
      <c r="B44" s="10" t="s">
        <v>146</v>
      </c>
      <c r="C44" s="8">
        <f>Populatie!F56</f>
        <v>2480</v>
      </c>
      <c r="D44" s="8" t="s">
        <v>529</v>
      </c>
      <c r="E44" s="8" t="s">
        <v>530</v>
      </c>
      <c r="F44" s="8"/>
      <c r="G44" s="9"/>
    </row>
    <row r="45" spans="2:7" x14ac:dyDescent="0.25">
      <c r="B45" s="15" t="s">
        <v>147</v>
      </c>
      <c r="C45" s="8">
        <f>Populatie!F58</f>
        <v>2292</v>
      </c>
      <c r="D45" s="8" t="s">
        <v>531</v>
      </c>
      <c r="E45" s="8" t="s">
        <v>532</v>
      </c>
      <c r="F45" s="8"/>
      <c r="G45" s="9"/>
    </row>
    <row r="46" spans="2:7" x14ac:dyDescent="0.25">
      <c r="B46" s="10" t="s">
        <v>148</v>
      </c>
      <c r="C46" s="8">
        <f>Populatie!F61</f>
        <v>2954</v>
      </c>
      <c r="D46" s="8" t="s">
        <v>533</v>
      </c>
      <c r="E46" s="8" t="s">
        <v>534</v>
      </c>
      <c r="F46" s="8"/>
      <c r="G46" s="9"/>
    </row>
    <row r="47" spans="2:7" x14ac:dyDescent="0.25">
      <c r="B47" s="10" t="s">
        <v>169</v>
      </c>
      <c r="C47" s="8"/>
      <c r="D47" s="8"/>
      <c r="E47" s="8"/>
      <c r="F47" s="8"/>
      <c r="G47" s="9"/>
    </row>
    <row r="48" spans="2:7" x14ac:dyDescent="0.25">
      <c r="B48" s="10" t="s">
        <v>149</v>
      </c>
      <c r="C48" s="8">
        <f>Populatie!F68</f>
        <v>2544</v>
      </c>
      <c r="D48" s="8" t="s">
        <v>535</v>
      </c>
      <c r="E48" s="8" t="s">
        <v>536</v>
      </c>
      <c r="F48" s="8"/>
      <c r="G48" s="9"/>
    </row>
    <row r="49" spans="2:7" x14ac:dyDescent="0.25">
      <c r="B49" s="10" t="s">
        <v>150</v>
      </c>
      <c r="C49" s="8">
        <f>Populatie!F71</f>
        <v>2242</v>
      </c>
      <c r="D49" s="8" t="s">
        <v>537</v>
      </c>
      <c r="E49" s="8" t="s">
        <v>538</v>
      </c>
      <c r="F49" s="8"/>
      <c r="G49" s="9"/>
    </row>
    <row r="50" spans="2:7" x14ac:dyDescent="0.25">
      <c r="B50" s="10" t="s">
        <v>151</v>
      </c>
      <c r="C50" s="8">
        <f>Populatie!F73</f>
        <v>2387</v>
      </c>
      <c r="D50" s="8" t="s">
        <v>539</v>
      </c>
      <c r="E50" s="8" t="s">
        <v>540</v>
      </c>
      <c r="F50" s="8"/>
      <c r="G50" s="9"/>
    </row>
    <row r="51" spans="2:7" x14ac:dyDescent="0.25">
      <c r="B51" s="10" t="s">
        <v>152</v>
      </c>
      <c r="C51" s="8">
        <f>Populatie!F80</f>
        <v>2191</v>
      </c>
      <c r="D51" s="8" t="s">
        <v>541</v>
      </c>
      <c r="E51" s="8" t="s">
        <v>542</v>
      </c>
      <c r="F51" s="8"/>
      <c r="G51" s="9"/>
    </row>
    <row r="52" spans="2:7" x14ac:dyDescent="0.25">
      <c r="B52" s="10" t="s">
        <v>153</v>
      </c>
      <c r="C52" s="8">
        <f>Populatie!F82</f>
        <v>1271</v>
      </c>
      <c r="D52" s="8" t="s">
        <v>543</v>
      </c>
      <c r="E52" s="8" t="s">
        <v>544</v>
      </c>
      <c r="F52" s="8"/>
      <c r="G52" s="9"/>
    </row>
    <row r="53" spans="2:7" x14ac:dyDescent="0.25">
      <c r="B53" s="10" t="s">
        <v>154</v>
      </c>
      <c r="C53" s="8">
        <f>Populatie!F85</f>
        <v>2673</v>
      </c>
      <c r="D53" s="8" t="s">
        <v>545</v>
      </c>
      <c r="E53" s="8" t="s">
        <v>546</v>
      </c>
      <c r="F53" s="8"/>
      <c r="G53" s="9"/>
    </row>
    <row r="54" spans="2:7" x14ac:dyDescent="0.25">
      <c r="B54" s="10" t="s">
        <v>155</v>
      </c>
      <c r="C54" s="8">
        <f>Populatie!F84</f>
        <v>2992</v>
      </c>
      <c r="D54" s="8" t="s">
        <v>547</v>
      </c>
      <c r="E54" s="8" t="s">
        <v>548</v>
      </c>
      <c r="F54" s="8"/>
      <c r="G54" s="9"/>
    </row>
    <row r="55" spans="2:7" x14ac:dyDescent="0.25">
      <c r="B55" s="10" t="s">
        <v>156</v>
      </c>
      <c r="C55" s="8">
        <f>Populatie!F90</f>
        <v>4619</v>
      </c>
      <c r="D55" s="8" t="s">
        <v>549</v>
      </c>
      <c r="E55" s="8" t="s">
        <v>550</v>
      </c>
      <c r="F55" s="8"/>
      <c r="G55" s="9"/>
    </row>
    <row r="56" spans="2:7" x14ac:dyDescent="0.25">
      <c r="B56" s="10" t="s">
        <v>157</v>
      </c>
      <c r="C56" s="8">
        <f>Populatie!F94</f>
        <v>3382</v>
      </c>
      <c r="D56" s="8" t="s">
        <v>551</v>
      </c>
      <c r="E56" s="8" t="s">
        <v>552</v>
      </c>
      <c r="F56" s="8"/>
      <c r="G56" s="9"/>
    </row>
    <row r="57" spans="2:7" x14ac:dyDescent="0.25">
      <c r="B57" s="10" t="s">
        <v>158</v>
      </c>
      <c r="C57" s="8">
        <f>Populatie!F96</f>
        <v>3467</v>
      </c>
      <c r="D57" s="8" t="s">
        <v>553</v>
      </c>
      <c r="E57" s="8" t="s">
        <v>554</v>
      </c>
      <c r="F57" s="8"/>
      <c r="G57" s="9"/>
    </row>
    <row r="58" spans="2:7" x14ac:dyDescent="0.25">
      <c r="B58" s="10" t="s">
        <v>159</v>
      </c>
      <c r="C58" s="8">
        <f>Populatie!F92</f>
        <v>2443</v>
      </c>
      <c r="D58" s="8" t="s">
        <v>555</v>
      </c>
      <c r="E58" s="8" t="s">
        <v>556</v>
      </c>
      <c r="F58" s="8"/>
      <c r="G58" s="9"/>
    </row>
    <row r="59" spans="2:7" x14ac:dyDescent="0.25">
      <c r="B59" s="10" t="s">
        <v>160</v>
      </c>
      <c r="C59" s="8">
        <f>Populatie!F97</f>
        <v>1594</v>
      </c>
      <c r="D59" s="8" t="s">
        <v>557</v>
      </c>
      <c r="E59" s="8" t="s">
        <v>558</v>
      </c>
      <c r="F59" s="8"/>
      <c r="G59" s="9"/>
    </row>
    <row r="60" spans="2:7" x14ac:dyDescent="0.25">
      <c r="B60" s="10" t="s">
        <v>161</v>
      </c>
      <c r="C60" s="8">
        <f>Populatie!F101</f>
        <v>3187</v>
      </c>
      <c r="D60" s="8" t="s">
        <v>559</v>
      </c>
      <c r="E60" s="8" t="s">
        <v>560</v>
      </c>
      <c r="F60" s="8"/>
      <c r="G60" s="9"/>
    </row>
    <row r="61" spans="2:7" ht="15.75" thickBot="1" x14ac:dyDescent="0.3">
      <c r="B61" s="19" t="s">
        <v>27</v>
      </c>
      <c r="C61" s="20">
        <f>SUM(C40:C60)</f>
        <v>66772</v>
      </c>
      <c r="D61" s="13"/>
      <c r="E61" s="13"/>
      <c r="F61" s="13"/>
      <c r="G61" s="14"/>
    </row>
    <row r="62" spans="2:7" x14ac:dyDescent="0.25">
      <c r="C62">
        <v>66364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5" sqref="F5"/>
    </sheetView>
  </sheetViews>
  <sheetFormatPr defaultRowHeight="15" x14ac:dyDescent="0.25"/>
  <cols>
    <col min="1" max="1" width="4.5703125" customWidth="1"/>
    <col min="2" max="2" width="16.140625" bestFit="1" customWidth="1"/>
    <col min="3" max="3" width="19.42578125" customWidth="1"/>
    <col min="4" max="4" width="17.7109375" customWidth="1"/>
    <col min="5" max="9" width="12.7109375" customWidth="1"/>
    <col min="10" max="10" width="17.140625" customWidth="1"/>
    <col min="11" max="11" width="12.7109375" customWidth="1"/>
    <col min="12" max="12" width="18.5703125" customWidth="1"/>
    <col min="13" max="13" width="12.7109375" customWidth="1"/>
  </cols>
  <sheetData>
    <row r="1" spans="1:14" ht="15.75" thickBot="1" x14ac:dyDescent="0.3"/>
    <row r="2" spans="1:14" ht="60" x14ac:dyDescent="0.25">
      <c r="A2" s="270" t="s">
        <v>647</v>
      </c>
      <c r="B2" s="42" t="s">
        <v>635</v>
      </c>
      <c r="C2" s="42" t="s">
        <v>636</v>
      </c>
      <c r="D2" s="42" t="s">
        <v>637</v>
      </c>
      <c r="E2" s="42" t="s">
        <v>638</v>
      </c>
      <c r="F2" s="42" t="s">
        <v>639</v>
      </c>
      <c r="G2" s="42" t="s">
        <v>640</v>
      </c>
      <c r="H2" s="42" t="s">
        <v>641</v>
      </c>
      <c r="I2" s="42" t="s">
        <v>642</v>
      </c>
      <c r="J2" s="42" t="s">
        <v>643</v>
      </c>
      <c r="K2" s="42" t="s">
        <v>644</v>
      </c>
      <c r="L2" s="42" t="s">
        <v>645</v>
      </c>
      <c r="M2" s="42" t="s">
        <v>646</v>
      </c>
      <c r="N2" s="106"/>
    </row>
    <row r="3" spans="1:14" x14ac:dyDescent="0.25">
      <c r="A3" s="10">
        <v>1</v>
      </c>
      <c r="B3" s="8" t="s">
        <v>158</v>
      </c>
      <c r="C3" s="8" t="s">
        <v>648</v>
      </c>
      <c r="D3" s="8" t="s">
        <v>649</v>
      </c>
      <c r="E3" s="8" t="s">
        <v>650</v>
      </c>
      <c r="F3" s="8" t="s">
        <v>651</v>
      </c>
      <c r="G3" s="8"/>
      <c r="H3" s="8">
        <v>4</v>
      </c>
      <c r="I3" s="8" t="s">
        <v>652</v>
      </c>
      <c r="J3" s="8" t="s">
        <v>656</v>
      </c>
      <c r="K3" s="8" t="s">
        <v>653</v>
      </c>
      <c r="L3" s="8" t="s">
        <v>650</v>
      </c>
      <c r="M3" s="8" t="s">
        <v>650</v>
      </c>
      <c r="N3" s="9"/>
    </row>
    <row r="4" spans="1:14" ht="30" x14ac:dyDescent="0.25">
      <c r="A4" s="10">
        <v>2</v>
      </c>
      <c r="B4" s="8" t="s">
        <v>142</v>
      </c>
      <c r="C4" s="8" t="s">
        <v>658</v>
      </c>
      <c r="D4" s="8" t="s">
        <v>649</v>
      </c>
      <c r="E4" s="8">
        <v>11</v>
      </c>
      <c r="F4" s="8"/>
      <c r="G4" s="6" t="s">
        <v>654</v>
      </c>
      <c r="H4" s="8">
        <v>1</v>
      </c>
      <c r="I4" s="8" t="s">
        <v>655</v>
      </c>
      <c r="J4" s="6" t="s">
        <v>694</v>
      </c>
      <c r="K4" s="6" t="s">
        <v>657</v>
      </c>
      <c r="L4" s="8"/>
      <c r="M4" s="8"/>
      <c r="N4" s="9"/>
    </row>
    <row r="5" spans="1:14" ht="135" x14ac:dyDescent="0.25">
      <c r="A5" s="10">
        <v>3</v>
      </c>
      <c r="B5" s="8" t="s">
        <v>2</v>
      </c>
      <c r="C5" s="6" t="s">
        <v>659</v>
      </c>
      <c r="D5" s="6" t="s">
        <v>660</v>
      </c>
      <c r="E5" s="8">
        <v>74</v>
      </c>
      <c r="F5" s="8">
        <v>36</v>
      </c>
      <c r="G5" s="6" t="s">
        <v>661</v>
      </c>
      <c r="H5" s="6" t="s">
        <v>662</v>
      </c>
      <c r="I5" s="6" t="s">
        <v>655</v>
      </c>
      <c r="J5" s="6" t="s">
        <v>695</v>
      </c>
      <c r="K5" s="6" t="s">
        <v>663</v>
      </c>
      <c r="L5" s="8"/>
      <c r="M5" s="8"/>
      <c r="N5" s="9"/>
    </row>
    <row r="6" spans="1:14" x14ac:dyDescent="0.25">
      <c r="A6" s="10">
        <v>4</v>
      </c>
      <c r="B6" s="8" t="s">
        <v>137</v>
      </c>
      <c r="C6" s="8" t="s">
        <v>648</v>
      </c>
      <c r="D6" s="8" t="s">
        <v>649</v>
      </c>
      <c r="E6" s="8"/>
      <c r="F6" s="8"/>
      <c r="G6" s="8"/>
      <c r="H6" s="8" t="s">
        <v>664</v>
      </c>
      <c r="I6" s="8" t="s">
        <v>665</v>
      </c>
      <c r="J6" s="8" t="s">
        <v>666</v>
      </c>
      <c r="K6" s="8" t="s">
        <v>667</v>
      </c>
      <c r="L6" s="8"/>
      <c r="M6" s="8"/>
      <c r="N6" s="9"/>
    </row>
    <row r="7" spans="1:14" ht="90" x14ac:dyDescent="0.25">
      <c r="A7" s="10">
        <v>5</v>
      </c>
      <c r="B7" s="8" t="s">
        <v>3</v>
      </c>
      <c r="C7" s="8" t="s">
        <v>648</v>
      </c>
      <c r="D7" s="8" t="s">
        <v>649</v>
      </c>
      <c r="E7" s="8"/>
      <c r="F7" s="8">
        <v>1</v>
      </c>
      <c r="G7" s="8" t="s">
        <v>668</v>
      </c>
      <c r="H7" s="8">
        <v>2</v>
      </c>
      <c r="I7" s="8" t="s">
        <v>652</v>
      </c>
      <c r="J7" s="6" t="s">
        <v>696</v>
      </c>
      <c r="K7" s="6" t="s">
        <v>697</v>
      </c>
      <c r="L7" s="8"/>
      <c r="M7" s="8"/>
      <c r="N7" s="9"/>
    </row>
    <row r="8" spans="1:14" ht="30" x14ac:dyDescent="0.25">
      <c r="A8" s="10">
        <v>6</v>
      </c>
      <c r="B8" s="8" t="s">
        <v>669</v>
      </c>
      <c r="C8" s="8" t="s">
        <v>648</v>
      </c>
      <c r="D8" s="8" t="s">
        <v>649</v>
      </c>
      <c r="E8" s="8"/>
      <c r="F8" s="8"/>
      <c r="G8" s="8"/>
      <c r="H8" s="8">
        <v>1</v>
      </c>
      <c r="I8" s="8" t="s">
        <v>652</v>
      </c>
      <c r="J8" s="6" t="s">
        <v>670</v>
      </c>
      <c r="K8" s="8" t="s">
        <v>671</v>
      </c>
      <c r="L8" s="8" t="s">
        <v>672</v>
      </c>
      <c r="M8" s="8"/>
      <c r="N8" s="9"/>
    </row>
    <row r="9" spans="1:14" ht="30" x14ac:dyDescent="0.25">
      <c r="A9" s="10">
        <v>7</v>
      </c>
      <c r="B9" s="8" t="s">
        <v>136</v>
      </c>
      <c r="C9" s="8" t="s">
        <v>648</v>
      </c>
      <c r="D9" s="8" t="s">
        <v>649</v>
      </c>
      <c r="E9" s="8"/>
      <c r="F9" s="8"/>
      <c r="G9" s="8"/>
      <c r="H9" s="8">
        <v>1</v>
      </c>
      <c r="I9" s="8" t="s">
        <v>655</v>
      </c>
      <c r="J9" s="6" t="s">
        <v>673</v>
      </c>
      <c r="K9" s="8" t="s">
        <v>674</v>
      </c>
      <c r="L9" s="8"/>
      <c r="M9" s="8"/>
      <c r="N9" s="9"/>
    </row>
    <row r="10" spans="1:14" ht="30" x14ac:dyDescent="0.25">
      <c r="A10" s="10">
        <v>8</v>
      </c>
      <c r="B10" s="8" t="s">
        <v>138</v>
      </c>
      <c r="C10" s="8" t="s">
        <v>648</v>
      </c>
      <c r="D10" s="8" t="s">
        <v>649</v>
      </c>
      <c r="E10" s="8"/>
      <c r="F10" s="8"/>
      <c r="G10" s="8"/>
      <c r="H10" s="8">
        <v>1</v>
      </c>
      <c r="I10" s="8" t="s">
        <v>655</v>
      </c>
      <c r="J10" s="6" t="s">
        <v>673</v>
      </c>
      <c r="K10" s="8" t="s">
        <v>675</v>
      </c>
      <c r="L10" s="8"/>
      <c r="M10" s="8"/>
      <c r="N10" s="9"/>
    </row>
    <row r="11" spans="1:14" ht="90" x14ac:dyDescent="0.25">
      <c r="A11" s="10">
        <v>9</v>
      </c>
      <c r="B11" s="8" t="s">
        <v>10</v>
      </c>
      <c r="C11" s="8" t="s">
        <v>648</v>
      </c>
      <c r="D11" s="8" t="s">
        <v>649</v>
      </c>
      <c r="E11" s="8"/>
      <c r="F11" s="8">
        <v>1</v>
      </c>
      <c r="G11" s="6" t="s">
        <v>678</v>
      </c>
      <c r="H11" s="8">
        <v>2</v>
      </c>
      <c r="I11" s="8"/>
      <c r="J11" s="6" t="s">
        <v>676</v>
      </c>
      <c r="K11" s="6" t="s">
        <v>677</v>
      </c>
      <c r="L11" s="8"/>
      <c r="M11" s="8"/>
      <c r="N11" s="9"/>
    </row>
    <row r="12" spans="1:14" ht="30" x14ac:dyDescent="0.25">
      <c r="A12" s="10">
        <v>10</v>
      </c>
      <c r="B12" s="8" t="s">
        <v>135</v>
      </c>
      <c r="C12" s="8" t="s">
        <v>648</v>
      </c>
      <c r="D12" s="8" t="s">
        <v>649</v>
      </c>
      <c r="E12" s="8"/>
      <c r="F12" s="8"/>
      <c r="G12" s="8"/>
      <c r="H12" s="8">
        <v>1</v>
      </c>
      <c r="I12" s="8" t="s">
        <v>655</v>
      </c>
      <c r="J12" s="6" t="s">
        <v>673</v>
      </c>
      <c r="K12" s="8" t="s">
        <v>674</v>
      </c>
      <c r="L12" s="8"/>
      <c r="M12" s="8"/>
      <c r="N12" s="9"/>
    </row>
    <row r="13" spans="1:14" ht="30" x14ac:dyDescent="0.25">
      <c r="A13" s="10">
        <v>11</v>
      </c>
      <c r="B13" s="8" t="s">
        <v>15</v>
      </c>
      <c r="C13" s="8" t="s">
        <v>648</v>
      </c>
      <c r="D13" s="8" t="s">
        <v>649</v>
      </c>
      <c r="E13" s="8"/>
      <c r="F13" s="8"/>
      <c r="G13" s="8"/>
      <c r="H13" s="8"/>
      <c r="I13" s="8" t="s">
        <v>655</v>
      </c>
      <c r="J13" s="6" t="s">
        <v>679</v>
      </c>
      <c r="K13" s="8" t="s">
        <v>667</v>
      </c>
      <c r="L13" s="8"/>
      <c r="M13" s="8"/>
      <c r="N13" s="9"/>
    </row>
    <row r="14" spans="1:14" x14ac:dyDescent="0.25">
      <c r="A14" s="10">
        <v>12</v>
      </c>
      <c r="B14" s="8" t="s">
        <v>157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9"/>
    </row>
    <row r="15" spans="1:14" ht="90" x14ac:dyDescent="0.25">
      <c r="A15" s="10">
        <v>13</v>
      </c>
      <c r="B15" s="8" t="s">
        <v>12</v>
      </c>
      <c r="C15" s="8" t="s">
        <v>648</v>
      </c>
      <c r="D15" s="8" t="s">
        <v>649</v>
      </c>
      <c r="E15" s="8"/>
      <c r="F15" s="6" t="s">
        <v>681</v>
      </c>
      <c r="G15" s="6" t="s">
        <v>682</v>
      </c>
      <c r="H15" s="8">
        <v>3</v>
      </c>
      <c r="I15" s="8" t="s">
        <v>652</v>
      </c>
      <c r="J15" s="6" t="s">
        <v>698</v>
      </c>
      <c r="K15" s="8" t="s">
        <v>680</v>
      </c>
      <c r="L15" s="6" t="s">
        <v>683</v>
      </c>
      <c r="M15" s="8"/>
      <c r="N15" s="9"/>
    </row>
    <row r="16" spans="1:14" ht="60" x14ac:dyDescent="0.25">
      <c r="A16" s="10">
        <v>14</v>
      </c>
      <c r="B16" s="8" t="s">
        <v>154</v>
      </c>
      <c r="C16" s="8" t="s">
        <v>648</v>
      </c>
      <c r="D16" s="8" t="s">
        <v>649</v>
      </c>
      <c r="E16" s="8"/>
      <c r="F16" s="8"/>
      <c r="G16" s="8"/>
      <c r="H16" s="8">
        <v>4</v>
      </c>
      <c r="I16" s="8" t="s">
        <v>655</v>
      </c>
      <c r="J16" s="6" t="s">
        <v>684</v>
      </c>
      <c r="K16" s="6" t="s">
        <v>685</v>
      </c>
      <c r="L16" s="8"/>
      <c r="M16" s="8"/>
      <c r="N16" s="9"/>
    </row>
    <row r="17" spans="1:14" ht="45" x14ac:dyDescent="0.25">
      <c r="A17" s="10">
        <v>15</v>
      </c>
      <c r="B17" s="8" t="s">
        <v>7</v>
      </c>
      <c r="C17" s="8" t="s">
        <v>648</v>
      </c>
      <c r="D17" s="8" t="s">
        <v>649</v>
      </c>
      <c r="E17" s="8"/>
      <c r="F17" s="8"/>
      <c r="G17" s="8"/>
      <c r="H17" s="8"/>
      <c r="I17" s="8"/>
      <c r="J17" s="6" t="s">
        <v>687</v>
      </c>
      <c r="K17" s="8" t="s">
        <v>686</v>
      </c>
      <c r="L17" s="8"/>
      <c r="M17" s="8"/>
      <c r="N17" s="9"/>
    </row>
    <row r="18" spans="1:14" ht="90" x14ac:dyDescent="0.25">
      <c r="A18" s="10">
        <v>16</v>
      </c>
      <c r="B18" s="8" t="s">
        <v>8</v>
      </c>
      <c r="C18" s="8" t="s">
        <v>648</v>
      </c>
      <c r="D18" s="8" t="s">
        <v>649</v>
      </c>
      <c r="E18" s="8"/>
      <c r="F18" s="8"/>
      <c r="G18" s="8">
        <v>8</v>
      </c>
      <c r="H18" s="8">
        <v>3</v>
      </c>
      <c r="I18" s="8" t="s">
        <v>652</v>
      </c>
      <c r="J18" s="6" t="s">
        <v>688</v>
      </c>
      <c r="K18" s="8" t="s">
        <v>689</v>
      </c>
      <c r="L18" s="6" t="s">
        <v>690</v>
      </c>
      <c r="M18" s="8" t="s">
        <v>691</v>
      </c>
      <c r="N18" s="9"/>
    </row>
    <row r="19" spans="1:14" ht="15.75" thickBot="1" x14ac:dyDescent="0.3">
      <c r="A19" s="12">
        <v>17</v>
      </c>
      <c r="B19" s="13" t="s">
        <v>692</v>
      </c>
      <c r="C19" s="13" t="s">
        <v>648</v>
      </c>
      <c r="D19" s="13" t="s">
        <v>649</v>
      </c>
      <c r="E19" s="13"/>
      <c r="F19" s="13"/>
      <c r="G19" s="13"/>
      <c r="H19" s="13"/>
      <c r="I19" s="13" t="s">
        <v>652</v>
      </c>
      <c r="J19" s="21" t="s">
        <v>693</v>
      </c>
      <c r="K19" s="13" t="s">
        <v>693</v>
      </c>
      <c r="L19" s="13"/>
      <c r="M19" s="13"/>
      <c r="N19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V22"/>
  <sheetViews>
    <sheetView workbookViewId="0">
      <selection activeCell="F31" sqref="F31"/>
    </sheetView>
  </sheetViews>
  <sheetFormatPr defaultRowHeight="15" x14ac:dyDescent="0.25"/>
  <cols>
    <col min="2" max="2" width="21.140625" customWidth="1"/>
    <col min="4" max="4" width="9.7109375" customWidth="1"/>
    <col min="5" max="11" width="11.5703125" bestFit="1" customWidth="1"/>
    <col min="12" max="12" width="18.42578125" customWidth="1"/>
  </cols>
  <sheetData>
    <row r="5" spans="2:22" ht="15.75" thickBot="1" x14ac:dyDescent="0.3">
      <c r="B5" s="1" t="s">
        <v>569</v>
      </c>
    </row>
    <row r="6" spans="2:22" x14ac:dyDescent="0.25">
      <c r="B6" s="2"/>
      <c r="C6" s="3"/>
      <c r="D6" s="3">
        <v>2010</v>
      </c>
      <c r="E6" s="3">
        <v>2013</v>
      </c>
      <c r="F6" s="3">
        <v>2016</v>
      </c>
      <c r="G6" s="3">
        <v>2020</v>
      </c>
      <c r="H6" s="3">
        <v>2025</v>
      </c>
      <c r="I6" s="3">
        <v>2030</v>
      </c>
      <c r="J6" s="3">
        <v>2035</v>
      </c>
      <c r="K6" s="106">
        <v>2039</v>
      </c>
    </row>
    <row r="7" spans="2:22" s="1" customFormat="1" ht="15.75" thickBot="1" x14ac:dyDescent="0.3">
      <c r="B7" s="33" t="s">
        <v>570</v>
      </c>
      <c r="C7" s="5"/>
      <c r="D7" s="203">
        <f>SUM(D8:D12)</f>
        <v>284062</v>
      </c>
      <c r="E7" s="203">
        <f t="shared" ref="E7:K7" si="0">SUM(E8:E12)</f>
        <v>288324</v>
      </c>
      <c r="F7" s="203">
        <f t="shared" si="0"/>
        <v>291144</v>
      </c>
      <c r="G7" s="203">
        <f t="shared" si="0"/>
        <v>293941</v>
      </c>
      <c r="H7" s="203">
        <f t="shared" si="0"/>
        <v>297479</v>
      </c>
      <c r="I7" s="203">
        <f t="shared" si="0"/>
        <v>297486</v>
      </c>
      <c r="J7" s="203">
        <f t="shared" si="0"/>
        <v>296610</v>
      </c>
      <c r="K7" s="35">
        <f t="shared" si="0"/>
        <v>295914</v>
      </c>
    </row>
    <row r="8" spans="2:22" ht="30" x14ac:dyDescent="0.25">
      <c r="B8" s="87" t="s">
        <v>571</v>
      </c>
      <c r="C8" s="8"/>
      <c r="D8" s="11">
        <v>162279</v>
      </c>
      <c r="E8" s="11">
        <v>164713</v>
      </c>
      <c r="F8" s="11">
        <v>166407</v>
      </c>
      <c r="G8" s="11">
        <v>168171</v>
      </c>
      <c r="H8" s="11">
        <v>170406</v>
      </c>
      <c r="I8" s="11">
        <v>170623</v>
      </c>
      <c r="J8" s="11">
        <v>170335</v>
      </c>
      <c r="K8" s="80">
        <v>170107</v>
      </c>
      <c r="L8" s="94" t="s">
        <v>579</v>
      </c>
      <c r="M8" s="206">
        <f>D8/D7</f>
        <v>0.57128021347452318</v>
      </c>
      <c r="N8" s="206">
        <f>E8/E7</f>
        <v>0.5712774517556638</v>
      </c>
      <c r="O8" s="206">
        <f>F8/$F$7</f>
        <v>0.57156252576044841</v>
      </c>
      <c r="P8" s="206">
        <f>G8/$G$7</f>
        <v>0.57212501828598261</v>
      </c>
      <c r="Q8" s="206">
        <f>H8/$H$7</f>
        <v>0.57283371263181604</v>
      </c>
      <c r="R8" s="206">
        <f>I8/$I$7</f>
        <v>0.57354967964879022</v>
      </c>
      <c r="S8" s="206">
        <f>J8/$J$7</f>
        <v>0.57427261387006512</v>
      </c>
      <c r="T8" s="207">
        <f>K8/$K$7</f>
        <v>0.57485282886243971</v>
      </c>
      <c r="U8" s="202"/>
      <c r="V8" s="202"/>
    </row>
    <row r="9" spans="2:22" x14ac:dyDescent="0.25">
      <c r="B9" s="87" t="s">
        <v>572</v>
      </c>
      <c r="C9" s="8"/>
      <c r="D9" s="11">
        <v>89355</v>
      </c>
      <c r="E9" s="11">
        <v>90696</v>
      </c>
      <c r="F9" s="11">
        <v>91509</v>
      </c>
      <c r="G9" s="11">
        <v>92238</v>
      </c>
      <c r="H9" s="11">
        <v>93157</v>
      </c>
      <c r="I9" s="11">
        <v>92967</v>
      </c>
      <c r="J9" s="11">
        <v>92500</v>
      </c>
      <c r="K9" s="80">
        <v>92129</v>
      </c>
      <c r="L9" s="151" t="str">
        <f>B9</f>
        <v>Deseuri asimilabile</v>
      </c>
      <c r="M9" s="208">
        <f t="shared" ref="M9:M12" si="1">D9/$D$7</f>
        <v>0.31456160978941217</v>
      </c>
      <c r="N9" s="208">
        <f t="shared" ref="N9:N12" si="2">E9/$E$7</f>
        <v>0.31456278353518957</v>
      </c>
      <c r="O9" s="208">
        <f t="shared" ref="O9:O12" si="3">F9/$F$7</f>
        <v>0.31430838348033963</v>
      </c>
      <c r="P9" s="208">
        <f t="shared" ref="P9:P12" si="4">G9/$G$7</f>
        <v>0.31379766687872734</v>
      </c>
      <c r="Q9" s="208">
        <f t="shared" ref="Q9:Q12" si="5">H9/$H$7</f>
        <v>0.31315487815946674</v>
      </c>
      <c r="R9" s="208">
        <f t="shared" ref="R9:R12" si="6">I9/$I$7</f>
        <v>0.31250882394465623</v>
      </c>
      <c r="S9" s="208">
        <f t="shared" ref="S9:S12" si="7">J9/$J$7</f>
        <v>0.3118573210613263</v>
      </c>
      <c r="T9" s="209">
        <f t="shared" ref="T9:T12" si="8">K9/$K$7</f>
        <v>0.31133707766445656</v>
      </c>
    </row>
    <row r="10" spans="2:22" ht="30" x14ac:dyDescent="0.25">
      <c r="B10" s="87" t="s">
        <v>574</v>
      </c>
      <c r="C10" s="8"/>
      <c r="D10" s="11">
        <v>9407</v>
      </c>
      <c r="E10" s="11">
        <v>9548</v>
      </c>
      <c r="F10" s="11">
        <v>9652</v>
      </c>
      <c r="G10" s="11">
        <v>9768</v>
      </c>
      <c r="H10" s="11">
        <v>9915</v>
      </c>
      <c r="I10" s="11">
        <v>9944</v>
      </c>
      <c r="J10" s="11">
        <v>9943</v>
      </c>
      <c r="K10" s="80">
        <v>9943</v>
      </c>
      <c r="L10" s="151" t="str">
        <f t="shared" ref="L10:L12" si="9">B10</f>
        <v>Deseuri din gradini, parcuri</v>
      </c>
      <c r="M10" s="208">
        <f t="shared" si="1"/>
        <v>3.3116009885165915E-2</v>
      </c>
      <c r="N10" s="208">
        <f t="shared" si="2"/>
        <v>3.3115522814611338E-2</v>
      </c>
      <c r="O10" s="208">
        <f t="shared" si="3"/>
        <v>3.3151979776330616E-2</v>
      </c>
      <c r="P10" s="208">
        <f t="shared" si="4"/>
        <v>3.3231158633875504E-2</v>
      </c>
      <c r="Q10" s="208">
        <f t="shared" si="5"/>
        <v>3.3330083804234918E-2</v>
      </c>
      <c r="R10" s="208">
        <f t="shared" si="6"/>
        <v>3.3426783109121103E-2</v>
      </c>
      <c r="S10" s="208">
        <f t="shared" si="7"/>
        <v>3.3522133441219112E-2</v>
      </c>
      <c r="T10" s="209">
        <f t="shared" si="8"/>
        <v>3.3600978662719577E-2</v>
      </c>
    </row>
    <row r="11" spans="2:22" x14ac:dyDescent="0.25">
      <c r="B11" s="87" t="s">
        <v>573</v>
      </c>
      <c r="C11" s="8"/>
      <c r="D11" s="11">
        <v>2514</v>
      </c>
      <c r="E11" s="11">
        <v>2552</v>
      </c>
      <c r="F11" s="11">
        <v>2575</v>
      </c>
      <c r="G11" s="11">
        <v>2595</v>
      </c>
      <c r="H11" s="11">
        <v>2621</v>
      </c>
      <c r="I11" s="11">
        <v>2616</v>
      </c>
      <c r="J11" s="11">
        <v>2603</v>
      </c>
      <c r="K11" s="80">
        <v>2592</v>
      </c>
      <c r="L11" s="151" t="str">
        <f t="shared" si="9"/>
        <v>Deseuri din piete</v>
      </c>
      <c r="M11" s="208">
        <f t="shared" si="1"/>
        <v>8.8501805943772844E-3</v>
      </c>
      <c r="N11" s="208">
        <f t="shared" si="2"/>
        <v>8.8511535633523392E-3</v>
      </c>
      <c r="O11" s="208">
        <f t="shared" si="3"/>
        <v>8.8444206303410003E-3</v>
      </c>
      <c r="P11" s="208">
        <f t="shared" si="4"/>
        <v>8.8283022783483753E-3</v>
      </c>
      <c r="Q11" s="208">
        <f t="shared" si="5"/>
        <v>8.8107059657992672E-3</v>
      </c>
      <c r="R11" s="208">
        <f t="shared" si="6"/>
        <v>8.7936911316835072E-3</v>
      </c>
      <c r="S11" s="208">
        <f t="shared" si="7"/>
        <v>8.7758335861906206E-3</v>
      </c>
      <c r="T11" s="209">
        <f t="shared" si="8"/>
        <v>8.7593016890042379E-3</v>
      </c>
    </row>
    <row r="12" spans="2:22" ht="15.75" thickBot="1" x14ac:dyDescent="0.3">
      <c r="B12" s="48" t="s">
        <v>575</v>
      </c>
      <c r="C12" s="13"/>
      <c r="D12" s="36">
        <v>20507</v>
      </c>
      <c r="E12" s="36">
        <v>20815</v>
      </c>
      <c r="F12" s="36">
        <v>21001</v>
      </c>
      <c r="G12" s="36">
        <v>21169</v>
      </c>
      <c r="H12" s="36">
        <v>21380</v>
      </c>
      <c r="I12" s="36">
        <v>21336</v>
      </c>
      <c r="J12" s="36">
        <v>21229</v>
      </c>
      <c r="K12" s="81">
        <v>21143</v>
      </c>
      <c r="L12" s="151" t="str">
        <f t="shared" si="9"/>
        <v>Deseuri stradale</v>
      </c>
      <c r="M12" s="215">
        <f t="shared" si="1"/>
        <v>7.219198625652147E-2</v>
      </c>
      <c r="N12" s="215">
        <f t="shared" si="2"/>
        <v>7.2193088331182972E-2</v>
      </c>
      <c r="O12" s="215">
        <f t="shared" si="3"/>
        <v>7.213269035254033E-2</v>
      </c>
      <c r="P12" s="215">
        <f t="shared" si="4"/>
        <v>7.20178539230662E-2</v>
      </c>
      <c r="Q12" s="215">
        <f t="shared" si="5"/>
        <v>7.1870619438683073E-2</v>
      </c>
      <c r="R12" s="215">
        <f t="shared" si="6"/>
        <v>7.1721022165748979E-2</v>
      </c>
      <c r="S12" s="215">
        <f t="shared" si="7"/>
        <v>7.1572098041198878E-2</v>
      </c>
      <c r="T12" s="216">
        <f t="shared" si="8"/>
        <v>7.1449813121379865E-2</v>
      </c>
    </row>
    <row r="13" spans="2:22" ht="45.75" thickBot="1" x14ac:dyDescent="0.3">
      <c r="L13" s="217" t="s">
        <v>580</v>
      </c>
      <c r="M13" s="218">
        <f>SUM(M9:M12)</f>
        <v>0.42871978652547688</v>
      </c>
      <c r="N13" s="218">
        <f t="shared" ref="N13:T13" si="10">SUM(N9:N12)</f>
        <v>0.42872254824433625</v>
      </c>
      <c r="O13" s="218">
        <f t="shared" si="10"/>
        <v>0.42843747423955159</v>
      </c>
      <c r="P13" s="218">
        <f t="shared" si="10"/>
        <v>0.42787498171401739</v>
      </c>
      <c r="Q13" s="218">
        <f t="shared" si="10"/>
        <v>0.42716628736818396</v>
      </c>
      <c r="R13" s="218">
        <f t="shared" si="10"/>
        <v>0.42645032035120983</v>
      </c>
      <c r="S13" s="218">
        <f t="shared" si="10"/>
        <v>0.42572738612993488</v>
      </c>
      <c r="T13" s="219">
        <f t="shared" si="10"/>
        <v>0.42514717113756023</v>
      </c>
    </row>
    <row r="14" spans="2:22" ht="15.75" thickBot="1" x14ac:dyDescent="0.3"/>
    <row r="15" spans="2:22" ht="45" x14ac:dyDescent="0.25">
      <c r="B15" s="119" t="s">
        <v>576</v>
      </c>
      <c r="C15" s="3"/>
      <c r="D15" s="204">
        <f>SUM(D16:D22)</f>
        <v>199084</v>
      </c>
      <c r="E15" s="204">
        <f t="shared" ref="E15:K15" si="11">SUM(E16:E22)</f>
        <v>224779</v>
      </c>
      <c r="F15" s="204">
        <f t="shared" si="11"/>
        <v>225569</v>
      </c>
      <c r="G15" s="204">
        <f t="shared" si="11"/>
        <v>227138</v>
      </c>
      <c r="H15" s="204">
        <f t="shared" si="11"/>
        <v>226087</v>
      </c>
      <c r="I15" s="204">
        <f t="shared" si="11"/>
        <v>222581</v>
      </c>
      <c r="J15" s="204">
        <f t="shared" si="11"/>
        <v>214334</v>
      </c>
      <c r="K15" s="205">
        <f t="shared" si="11"/>
        <v>207687</v>
      </c>
      <c r="L15" s="2" t="s">
        <v>581</v>
      </c>
      <c r="M15" s="3"/>
      <c r="N15" s="3"/>
      <c r="O15" s="3"/>
      <c r="P15" s="3"/>
      <c r="Q15" s="3"/>
      <c r="R15" s="3"/>
      <c r="S15" s="3"/>
      <c r="T15" s="106"/>
    </row>
    <row r="16" spans="2:22" x14ac:dyDescent="0.25">
      <c r="B16" s="117" t="s">
        <v>577</v>
      </c>
      <c r="C16" s="8"/>
      <c r="D16" s="8">
        <v>9872</v>
      </c>
      <c r="E16" s="8">
        <v>11428</v>
      </c>
      <c r="F16" s="8">
        <v>12978</v>
      </c>
      <c r="G16" s="8">
        <v>14607</v>
      </c>
      <c r="H16" s="8">
        <v>15352</v>
      </c>
      <c r="I16" s="8">
        <v>16135</v>
      </c>
      <c r="J16" s="8">
        <v>15344</v>
      </c>
      <c r="K16" s="9">
        <v>14444</v>
      </c>
      <c r="L16" s="117" t="s">
        <v>577</v>
      </c>
      <c r="M16" s="210">
        <f>D16/D15</f>
        <v>4.9587108959032365E-2</v>
      </c>
      <c r="N16" s="210">
        <f>E16/$E$15</f>
        <v>5.0841048318570684E-2</v>
      </c>
      <c r="O16" s="210">
        <f>F16/$F$15</f>
        <v>5.7534501638079702E-2</v>
      </c>
      <c r="P16" s="210">
        <f>G16/$G$15</f>
        <v>6.430892232915672E-2</v>
      </c>
      <c r="Q16" s="210">
        <f>H16/$H$15</f>
        <v>6.7903063864795415E-2</v>
      </c>
      <c r="R16" s="210">
        <f>I16/$I$15</f>
        <v>7.2490464145636868E-2</v>
      </c>
      <c r="S16" s="210">
        <f>J16/$J$15</f>
        <v>7.158920189983857E-2</v>
      </c>
      <c r="T16" s="211">
        <f>K16/$K$15</f>
        <v>6.9546962496448983E-2</v>
      </c>
    </row>
    <row r="17" spans="2:20" x14ac:dyDescent="0.25">
      <c r="B17" s="117" t="s">
        <v>192</v>
      </c>
      <c r="C17" s="8"/>
      <c r="D17" s="8">
        <v>9119</v>
      </c>
      <c r="E17" s="8">
        <v>10557</v>
      </c>
      <c r="F17" s="8">
        <v>11988</v>
      </c>
      <c r="G17" s="8">
        <v>13493</v>
      </c>
      <c r="H17" s="8">
        <v>14181</v>
      </c>
      <c r="I17" s="8">
        <v>14904</v>
      </c>
      <c r="J17" s="8">
        <v>14174</v>
      </c>
      <c r="K17" s="9">
        <v>13342</v>
      </c>
      <c r="L17" s="117" t="s">
        <v>192</v>
      </c>
      <c r="M17" s="210">
        <f t="shared" ref="M17:M22" si="12">D17/$D$15</f>
        <v>4.5804785919511364E-2</v>
      </c>
      <c r="N17" s="210">
        <f t="shared" ref="N17:N22" si="13">E17/$E$15</f>
        <v>4.6966131177734578E-2</v>
      </c>
      <c r="O17" s="210">
        <f t="shared" ref="O17:O22" si="14">F17/$F$15</f>
        <v>5.3145600680944635E-2</v>
      </c>
      <c r="P17" s="210">
        <f t="shared" ref="P17:P22" si="15">G17/$G$15</f>
        <v>5.9404414937174757E-2</v>
      </c>
      <c r="Q17" s="210">
        <f t="shared" ref="Q17:Q22" si="16">H17/$H$15</f>
        <v>6.2723641783915041E-2</v>
      </c>
      <c r="R17" s="210">
        <f t="shared" ref="R17:R22" si="17">I17/$I$15</f>
        <v>6.6959893252344097E-2</v>
      </c>
      <c r="S17" s="210">
        <f t="shared" ref="S17:S22" si="18">J17/$J$15</f>
        <v>6.6130431942668919E-2</v>
      </c>
      <c r="T17" s="211">
        <f t="shared" ref="T17:T21" si="19">K17/$K$15</f>
        <v>6.4240900971172965E-2</v>
      </c>
    </row>
    <row r="18" spans="2:20" x14ac:dyDescent="0.25">
      <c r="B18" s="117" t="s">
        <v>193</v>
      </c>
      <c r="C18" s="8"/>
      <c r="D18" s="8">
        <v>5689</v>
      </c>
      <c r="E18" s="8">
        <v>6586</v>
      </c>
      <c r="F18" s="8">
        <v>7479</v>
      </c>
      <c r="G18" s="8">
        <v>8417</v>
      </c>
      <c r="H18" s="8">
        <v>8847</v>
      </c>
      <c r="I18" s="8">
        <v>9298</v>
      </c>
      <c r="J18" s="8">
        <v>8842</v>
      </c>
      <c r="K18" s="9">
        <v>8324</v>
      </c>
      <c r="L18" s="117" t="s">
        <v>193</v>
      </c>
      <c r="M18" s="210">
        <f t="shared" si="12"/>
        <v>2.8575877519037191E-2</v>
      </c>
      <c r="N18" s="210">
        <f t="shared" si="13"/>
        <v>2.9299890114290034E-2</v>
      </c>
      <c r="O18" s="210">
        <f t="shared" si="14"/>
        <v>3.3156151776174918E-2</v>
      </c>
      <c r="P18" s="210">
        <f t="shared" si="15"/>
        <v>3.7056767251626765E-2</v>
      </c>
      <c r="Q18" s="210">
        <f t="shared" si="16"/>
        <v>3.9130954013278076E-2</v>
      </c>
      <c r="R18" s="210">
        <f t="shared" si="17"/>
        <v>4.1773556592880796E-2</v>
      </c>
      <c r="S18" s="210">
        <f t="shared" si="18"/>
        <v>4.1253370907088936E-2</v>
      </c>
      <c r="T18" s="211">
        <f t="shared" si="19"/>
        <v>4.0079542773500509E-2</v>
      </c>
    </row>
    <row r="19" spans="2:20" x14ac:dyDescent="0.25">
      <c r="B19" s="117" t="s">
        <v>194</v>
      </c>
      <c r="C19" s="8"/>
      <c r="D19" s="8">
        <v>12131</v>
      </c>
      <c r="E19" s="8">
        <v>14043</v>
      </c>
      <c r="F19" s="8">
        <v>15947</v>
      </c>
      <c r="G19" s="8">
        <v>17949</v>
      </c>
      <c r="H19" s="8">
        <v>18864</v>
      </c>
      <c r="I19" s="8">
        <v>19827</v>
      </c>
      <c r="J19" s="8">
        <v>18855</v>
      </c>
      <c r="K19" s="9">
        <v>17749</v>
      </c>
      <c r="L19" s="117" t="s">
        <v>194</v>
      </c>
      <c r="M19" s="210">
        <f t="shared" si="12"/>
        <v>6.0934078077595384E-2</v>
      </c>
      <c r="N19" s="210">
        <f t="shared" si="13"/>
        <v>6.2474697369416181E-2</v>
      </c>
      <c r="O19" s="210">
        <f t="shared" si="14"/>
        <v>7.0696771276194864E-2</v>
      </c>
      <c r="P19" s="210">
        <f t="shared" si="15"/>
        <v>7.9022444505102624E-2</v>
      </c>
      <c r="Q19" s="210">
        <f t="shared" si="16"/>
        <v>8.3436907031364027E-2</v>
      </c>
      <c r="R19" s="210">
        <f t="shared" si="17"/>
        <v>8.9077684079054364E-2</v>
      </c>
      <c r="S19" s="210">
        <f t="shared" si="18"/>
        <v>8.7970177386695533E-2</v>
      </c>
      <c r="T19" s="211">
        <f t="shared" si="19"/>
        <v>8.5460332134413799E-2</v>
      </c>
    </row>
    <row r="20" spans="2:20" x14ac:dyDescent="0.25">
      <c r="B20" s="117" t="s">
        <v>195</v>
      </c>
      <c r="C20" s="8"/>
      <c r="D20" s="8">
        <v>5020</v>
      </c>
      <c r="E20" s="8">
        <v>5811</v>
      </c>
      <c r="F20" s="8">
        <v>6599</v>
      </c>
      <c r="G20" s="8">
        <v>7427</v>
      </c>
      <c r="H20" s="8">
        <v>7806</v>
      </c>
      <c r="I20" s="8">
        <v>8204</v>
      </c>
      <c r="J20" s="8">
        <v>7802</v>
      </c>
      <c r="K20" s="9">
        <v>7344</v>
      </c>
      <c r="L20" s="117" t="s">
        <v>195</v>
      </c>
      <c r="M20" s="210">
        <f t="shared" si="12"/>
        <v>2.521548693014004E-2</v>
      </c>
      <c r="N20" s="210">
        <f t="shared" si="13"/>
        <v>2.5852059133637927E-2</v>
      </c>
      <c r="O20" s="210">
        <f t="shared" si="14"/>
        <v>2.9254906480943747E-2</v>
      </c>
      <c r="P20" s="210">
        <f t="shared" si="15"/>
        <v>3.2698183483168823E-2</v>
      </c>
      <c r="Q20" s="210">
        <f t="shared" si="16"/>
        <v>3.4526531821820805E-2</v>
      </c>
      <c r="R20" s="210">
        <f t="shared" si="17"/>
        <v>3.6858491964722954E-2</v>
      </c>
      <c r="S20" s="210">
        <f t="shared" si="18"/>
        <v>3.6401130945160357E-2</v>
      </c>
      <c r="T20" s="211">
        <f t="shared" si="19"/>
        <v>3.536090366753817E-2</v>
      </c>
    </row>
    <row r="21" spans="2:20" x14ac:dyDescent="0.25">
      <c r="B21" s="117" t="s">
        <v>578</v>
      </c>
      <c r="C21" s="8"/>
      <c r="D21" s="8">
        <v>120419</v>
      </c>
      <c r="E21" s="8">
        <v>135952</v>
      </c>
      <c r="F21" s="8">
        <v>130373</v>
      </c>
      <c r="G21" s="8">
        <v>125437</v>
      </c>
      <c r="H21" s="8">
        <v>121699</v>
      </c>
      <c r="I21" s="8">
        <v>115779</v>
      </c>
      <c r="J21" s="8">
        <v>111856</v>
      </c>
      <c r="K21" s="9">
        <v>109769</v>
      </c>
      <c r="L21" s="117" t="s">
        <v>578</v>
      </c>
      <c r="M21" s="210">
        <f t="shared" si="12"/>
        <v>0.60486528299612219</v>
      </c>
      <c r="N21" s="210">
        <f t="shared" si="13"/>
        <v>0.60482518384724548</v>
      </c>
      <c r="O21" s="210">
        <f t="shared" si="14"/>
        <v>0.57797392372178802</v>
      </c>
      <c r="P21" s="210">
        <f t="shared" si="15"/>
        <v>0.55225017390308972</v>
      </c>
      <c r="Q21" s="210">
        <f t="shared" si="16"/>
        <v>0.53828393494539717</v>
      </c>
      <c r="R21" s="210">
        <f t="shared" si="17"/>
        <v>0.52016569248947575</v>
      </c>
      <c r="S21" s="210">
        <f t="shared" si="18"/>
        <v>0.52187707036681064</v>
      </c>
      <c r="T21" s="211">
        <f t="shared" si="19"/>
        <v>0.52853091430855081</v>
      </c>
    </row>
    <row r="22" spans="2:20" ht="15.75" thickBot="1" x14ac:dyDescent="0.3">
      <c r="B22" s="118" t="s">
        <v>196</v>
      </c>
      <c r="C22" s="13"/>
      <c r="D22" s="13">
        <v>36834</v>
      </c>
      <c r="E22" s="13">
        <v>40402</v>
      </c>
      <c r="F22" s="13">
        <v>40205</v>
      </c>
      <c r="G22" s="13">
        <v>39808</v>
      </c>
      <c r="H22" s="13">
        <v>39338</v>
      </c>
      <c r="I22" s="13">
        <v>38434</v>
      </c>
      <c r="J22" s="13">
        <v>37461</v>
      </c>
      <c r="K22" s="14">
        <v>36715</v>
      </c>
      <c r="L22" s="118" t="s">
        <v>196</v>
      </c>
      <c r="M22" s="212">
        <f t="shared" si="12"/>
        <v>0.1850173795985614</v>
      </c>
      <c r="N22" s="212">
        <f t="shared" si="13"/>
        <v>0.17974099003910507</v>
      </c>
      <c r="O22" s="212">
        <f t="shared" si="14"/>
        <v>0.17823814442587413</v>
      </c>
      <c r="P22" s="212">
        <f t="shared" si="15"/>
        <v>0.17525909359068056</v>
      </c>
      <c r="Q22" s="212">
        <f t="shared" si="16"/>
        <v>0.1739949665394295</v>
      </c>
      <c r="R22" s="212">
        <f t="shared" si="17"/>
        <v>0.17267421747588518</v>
      </c>
      <c r="S22" s="212">
        <f t="shared" si="18"/>
        <v>0.17477861655173701</v>
      </c>
      <c r="T22" s="213">
        <f>K22/$K$15</f>
        <v>0.17678044364837472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102"/>
  <sheetViews>
    <sheetView tabSelected="1" workbookViewId="0">
      <selection activeCell="J5" sqref="J5"/>
    </sheetView>
  </sheetViews>
  <sheetFormatPr defaultRowHeight="15" x14ac:dyDescent="0.25"/>
  <cols>
    <col min="2" max="3" width="24.28515625" customWidth="1"/>
    <col min="4" max="4" width="12.7109375" bestFit="1" customWidth="1"/>
    <col min="5" max="19" width="11.5703125" bestFit="1" customWidth="1"/>
  </cols>
  <sheetData>
    <row r="2" spans="2:20" ht="15.75" thickBot="1" x14ac:dyDescent="0.3"/>
    <row r="3" spans="2:20" s="1" customFormat="1" x14ac:dyDescent="0.25">
      <c r="B3" s="38" t="s">
        <v>472</v>
      </c>
      <c r="C3" s="276"/>
      <c r="D3" s="34">
        <v>1</v>
      </c>
      <c r="E3" s="34">
        <v>2</v>
      </c>
      <c r="F3" s="34">
        <v>3</v>
      </c>
      <c r="G3" s="34">
        <v>4</v>
      </c>
      <c r="H3" s="34">
        <v>5</v>
      </c>
      <c r="I3" s="34">
        <v>6</v>
      </c>
      <c r="J3" s="34">
        <v>7</v>
      </c>
      <c r="K3" s="34">
        <v>8</v>
      </c>
      <c r="L3" s="34">
        <v>9</v>
      </c>
      <c r="M3" s="34">
        <v>10</v>
      </c>
      <c r="N3" s="34">
        <v>11</v>
      </c>
      <c r="O3" s="34">
        <v>12</v>
      </c>
      <c r="P3" s="34">
        <v>13</v>
      </c>
      <c r="Q3" s="34">
        <v>14</v>
      </c>
      <c r="R3" s="34">
        <v>15</v>
      </c>
      <c r="S3" s="24">
        <v>16</v>
      </c>
    </row>
    <row r="4" spans="2:20" x14ac:dyDescent="0.25">
      <c r="B4" s="10" t="s">
        <v>319</v>
      </c>
      <c r="C4" s="31"/>
      <c r="D4" s="100">
        <f>'Sistem colectare'!C122</f>
        <v>34406.083333333328</v>
      </c>
      <c r="E4" s="100">
        <f>'Sistem colectare'!D122</f>
        <v>34406.083333333328</v>
      </c>
      <c r="F4" s="100">
        <f>'Sistem colectare'!E122</f>
        <v>34406.083333333328</v>
      </c>
      <c r="G4" s="100">
        <f>'Sistem colectare'!F122</f>
        <v>34406.083333333328</v>
      </c>
      <c r="H4" s="100">
        <f>'Sistem colectare'!G122</f>
        <v>34406.083333333328</v>
      </c>
      <c r="I4" s="100">
        <f>'Sistem colectare'!H122</f>
        <v>34406.083333333328</v>
      </c>
      <c r="J4" s="100">
        <f>'Sistem colectare'!I122</f>
        <v>34406.083333333328</v>
      </c>
      <c r="K4" s="100">
        <f>'Sistem colectare'!J122</f>
        <v>34406.083333333328</v>
      </c>
      <c r="L4" s="100">
        <f>'Sistem colectare'!K122</f>
        <v>34406.083333333328</v>
      </c>
      <c r="M4" s="100">
        <f>'Sistem colectare'!L122</f>
        <v>34406.083333333328</v>
      </c>
      <c r="N4" s="100">
        <f>'Sistem colectare'!M122</f>
        <v>34406.083333333328</v>
      </c>
      <c r="O4" s="100">
        <f>'Sistem colectare'!N122</f>
        <v>34406.083333333328</v>
      </c>
      <c r="P4" s="100">
        <f>'Sistem colectare'!O122</f>
        <v>34406.083333333328</v>
      </c>
      <c r="Q4" s="100">
        <f>'Sistem colectare'!P122</f>
        <v>34406.083333333328</v>
      </c>
      <c r="R4" s="100">
        <f>'Sistem colectare'!Q122</f>
        <v>34406.083333333328</v>
      </c>
      <c r="S4" s="100">
        <f>'Sistem colectare'!R122</f>
        <v>34406.083333333328</v>
      </c>
      <c r="T4" s="99"/>
    </row>
    <row r="5" spans="2:20" x14ac:dyDescent="0.25">
      <c r="B5" s="10" t="s">
        <v>320</v>
      </c>
      <c r="C5" s="31"/>
      <c r="D5" s="100">
        <f>'Sistem colectare'!C123</f>
        <v>15532.291666666668</v>
      </c>
      <c r="E5" s="100">
        <f>'Sistem colectare'!D123</f>
        <v>15532.291666666668</v>
      </c>
      <c r="F5" s="100">
        <f>'Sistem colectare'!E123</f>
        <v>15532.291666666668</v>
      </c>
      <c r="G5" s="100">
        <f>'Sistem colectare'!F123</f>
        <v>15532.291666666668</v>
      </c>
      <c r="H5" s="100">
        <f>'Sistem colectare'!G123</f>
        <v>15532.291666666668</v>
      </c>
      <c r="I5" s="100">
        <f>'Sistem colectare'!H123</f>
        <v>15532.291666666668</v>
      </c>
      <c r="J5" s="100">
        <f>'Sistem colectare'!I123</f>
        <v>15532.291666666668</v>
      </c>
      <c r="K5" s="100">
        <f>'Sistem colectare'!J123</f>
        <v>15532.291666666668</v>
      </c>
      <c r="L5" s="100">
        <f>'Sistem colectare'!K123</f>
        <v>15532.291666666668</v>
      </c>
      <c r="M5" s="100">
        <f>'Sistem colectare'!L123</f>
        <v>15532.291666666668</v>
      </c>
      <c r="N5" s="100">
        <f>'Sistem colectare'!M123</f>
        <v>15532.291666666668</v>
      </c>
      <c r="O5" s="100">
        <f>'Sistem colectare'!N123</f>
        <v>15532.291666666668</v>
      </c>
      <c r="P5" s="100">
        <f>'Sistem colectare'!O123</f>
        <v>15532.291666666668</v>
      </c>
      <c r="Q5" s="100">
        <f>'Sistem colectare'!P123</f>
        <v>15532.291666666668</v>
      </c>
      <c r="R5" s="100">
        <f>'Sistem colectare'!Q123</f>
        <v>15532.291666666668</v>
      </c>
      <c r="S5" s="100">
        <f>'Sistem colectare'!R123</f>
        <v>15532.291666666668</v>
      </c>
    </row>
    <row r="6" spans="2:20" x14ac:dyDescent="0.25">
      <c r="B6" s="10" t="s">
        <v>367</v>
      </c>
      <c r="C6" s="31"/>
      <c r="D6" s="100">
        <f>'Sistem colectare'!C124</f>
        <v>39506.916666666672</v>
      </c>
      <c r="E6" s="100">
        <f>'Sistem colectare'!D124</f>
        <v>39506.916666666672</v>
      </c>
      <c r="F6" s="100">
        <f>'Sistem colectare'!E124</f>
        <v>39506.916666666672</v>
      </c>
      <c r="G6" s="100">
        <f>'Sistem colectare'!F124</f>
        <v>39506.916666666672</v>
      </c>
      <c r="H6" s="100">
        <f>'Sistem colectare'!G124</f>
        <v>39506.916666666672</v>
      </c>
      <c r="I6" s="100">
        <f>'Sistem colectare'!H124</f>
        <v>39506.916666666672</v>
      </c>
      <c r="J6" s="100">
        <f>'Sistem colectare'!I124</f>
        <v>39506.916666666672</v>
      </c>
      <c r="K6" s="100">
        <f>'Sistem colectare'!J124</f>
        <v>39506.916666666672</v>
      </c>
      <c r="L6" s="100">
        <f>'Sistem colectare'!K124</f>
        <v>39506.916666666672</v>
      </c>
      <c r="M6" s="100">
        <f>'Sistem colectare'!L124</f>
        <v>39506.916666666672</v>
      </c>
      <c r="N6" s="100">
        <f>'Sistem colectare'!M124</f>
        <v>39506.916666666672</v>
      </c>
      <c r="O6" s="100">
        <f>'Sistem colectare'!N124</f>
        <v>39506.916666666672</v>
      </c>
      <c r="P6" s="100">
        <f>'Sistem colectare'!O124</f>
        <v>39506.916666666672</v>
      </c>
      <c r="Q6" s="100">
        <f>'Sistem colectare'!P124</f>
        <v>39506.916666666672</v>
      </c>
      <c r="R6" s="100">
        <f>'Sistem colectare'!Q124</f>
        <v>39506.916666666672</v>
      </c>
      <c r="S6" s="100">
        <f>'Sistem colectare'!R124</f>
        <v>39506.916666666672</v>
      </c>
    </row>
    <row r="7" spans="2:20" ht="15.75" thickBot="1" x14ac:dyDescent="0.3">
      <c r="B7" s="12" t="s">
        <v>27</v>
      </c>
      <c r="C7" s="32"/>
      <c r="D7" s="112">
        <f>SUM(D4:D6)</f>
        <v>89445.291666666672</v>
      </c>
      <c r="E7" s="112">
        <f t="shared" ref="E7:S7" si="0">SUM(E4:E6)</f>
        <v>89445.291666666672</v>
      </c>
      <c r="F7" s="112">
        <f t="shared" si="0"/>
        <v>89445.291666666672</v>
      </c>
      <c r="G7" s="112">
        <f t="shared" si="0"/>
        <v>89445.291666666672</v>
      </c>
      <c r="H7" s="112">
        <f t="shared" si="0"/>
        <v>89445.291666666672</v>
      </c>
      <c r="I7" s="112">
        <f t="shared" si="0"/>
        <v>89445.291666666672</v>
      </c>
      <c r="J7" s="112">
        <f t="shared" si="0"/>
        <v>89445.291666666672</v>
      </c>
      <c r="K7" s="112">
        <f t="shared" si="0"/>
        <v>89445.291666666672</v>
      </c>
      <c r="L7" s="112">
        <f t="shared" si="0"/>
        <v>89445.291666666672</v>
      </c>
      <c r="M7" s="112">
        <f t="shared" si="0"/>
        <v>89445.291666666672</v>
      </c>
      <c r="N7" s="112">
        <f t="shared" si="0"/>
        <v>89445.291666666672</v>
      </c>
      <c r="O7" s="112">
        <f t="shared" si="0"/>
        <v>89445.291666666672</v>
      </c>
      <c r="P7" s="112">
        <f t="shared" si="0"/>
        <v>89445.291666666672</v>
      </c>
      <c r="Q7" s="112">
        <f t="shared" si="0"/>
        <v>89445.291666666672</v>
      </c>
      <c r="R7" s="112">
        <f t="shared" si="0"/>
        <v>89445.291666666672</v>
      </c>
      <c r="S7" s="97">
        <f t="shared" si="0"/>
        <v>89445.291666666672</v>
      </c>
    </row>
    <row r="8" spans="2:20" ht="15.75" thickBot="1" x14ac:dyDescent="0.3"/>
    <row r="9" spans="2:20" ht="45" x14ac:dyDescent="0.25">
      <c r="B9" s="92" t="s">
        <v>607</v>
      </c>
      <c r="C9" s="277"/>
      <c r="D9" s="34">
        <v>1</v>
      </c>
      <c r="E9" s="34">
        <v>2</v>
      </c>
      <c r="F9" s="34">
        <v>3</v>
      </c>
      <c r="G9" s="34">
        <v>4</v>
      </c>
      <c r="H9" s="34">
        <v>5</v>
      </c>
      <c r="I9" s="34">
        <v>6</v>
      </c>
      <c r="J9" s="34">
        <v>7</v>
      </c>
      <c r="K9" s="34">
        <v>8</v>
      </c>
      <c r="L9" s="34">
        <v>9</v>
      </c>
      <c r="M9" s="34">
        <v>10</v>
      </c>
      <c r="N9" s="34">
        <v>11</v>
      </c>
      <c r="O9" s="34">
        <v>12</v>
      </c>
      <c r="P9" s="34">
        <v>13</v>
      </c>
      <c r="Q9" s="34">
        <v>14</v>
      </c>
      <c r="R9" s="34">
        <v>15</v>
      </c>
      <c r="S9" s="24">
        <v>16</v>
      </c>
    </row>
    <row r="10" spans="2:20" x14ac:dyDescent="0.25">
      <c r="B10" s="10" t="s">
        <v>319</v>
      </c>
      <c r="C10" s="31"/>
      <c r="D10" s="8">
        <f>'Masini colecta necesare'!$G$11</f>
        <v>3500</v>
      </c>
      <c r="E10" s="8">
        <f>'Masini colecta necesare'!$G$11</f>
        <v>3500</v>
      </c>
      <c r="F10" s="8">
        <f>'Masini colecta necesare'!$G$11</f>
        <v>3500</v>
      </c>
      <c r="G10" s="8">
        <f>'Masini colecta necesare'!$G$11</f>
        <v>3500</v>
      </c>
      <c r="H10" s="8">
        <f>'Masini colecta necesare'!$G$11</f>
        <v>3500</v>
      </c>
      <c r="I10" s="8">
        <f>'Masini colecta necesare'!$G$11</f>
        <v>3500</v>
      </c>
      <c r="J10" s="8">
        <f>'Masini colecta necesare'!$G$11</f>
        <v>3500</v>
      </c>
      <c r="K10" s="8">
        <f>'Masini colecta necesare'!$G$11</f>
        <v>3500</v>
      </c>
      <c r="L10" s="8">
        <f>'Masini colecta necesare'!$G$11</f>
        <v>3500</v>
      </c>
      <c r="M10" s="8">
        <f>'Masini colecta necesare'!$G$11</f>
        <v>3500</v>
      </c>
      <c r="N10" s="8">
        <f>'Masini colecta necesare'!$G$11</f>
        <v>3500</v>
      </c>
      <c r="O10" s="8">
        <f>'Masini colecta necesare'!$G$11</f>
        <v>3500</v>
      </c>
      <c r="P10" s="8">
        <f>'Masini colecta necesare'!$G$11</f>
        <v>3500</v>
      </c>
      <c r="Q10" s="8">
        <f>'Masini colecta necesare'!$G$11</f>
        <v>3500</v>
      </c>
      <c r="R10" s="8">
        <f>'Masini colecta necesare'!$G$11</f>
        <v>3500</v>
      </c>
      <c r="S10" s="9">
        <f>'Masini colecta necesare'!$G$11</f>
        <v>3500</v>
      </c>
    </row>
    <row r="11" spans="2:20" x14ac:dyDescent="0.25">
      <c r="B11" s="10" t="s">
        <v>320</v>
      </c>
      <c r="C11" s="31"/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</row>
    <row r="12" spans="2:20" x14ac:dyDescent="0.25">
      <c r="B12" s="10" t="s">
        <v>367</v>
      </c>
      <c r="C12" s="31"/>
      <c r="D12" s="8">
        <f>'Masini colecta necesare'!$G$12</f>
        <v>3500</v>
      </c>
      <c r="E12" s="8">
        <f>'Masini colecta necesare'!$G$12</f>
        <v>3500</v>
      </c>
      <c r="F12" s="8">
        <f>'Masini colecta necesare'!$G$12</f>
        <v>3500</v>
      </c>
      <c r="G12" s="8">
        <f>'Masini colecta necesare'!$G$12</f>
        <v>3500</v>
      </c>
      <c r="H12" s="8">
        <f>'Masini colecta necesare'!$G$12</f>
        <v>3500</v>
      </c>
      <c r="I12" s="8">
        <f>'Masini colecta necesare'!$G$12</f>
        <v>3500</v>
      </c>
      <c r="J12" s="8">
        <f>'Masini colecta necesare'!$G$12</f>
        <v>3500</v>
      </c>
      <c r="K12" s="8">
        <f>'Masini colecta necesare'!$G$12</f>
        <v>3500</v>
      </c>
      <c r="L12" s="8">
        <f>'Masini colecta necesare'!$G$12</f>
        <v>3500</v>
      </c>
      <c r="M12" s="8">
        <f>'Masini colecta necesare'!$G$12</f>
        <v>3500</v>
      </c>
      <c r="N12" s="8">
        <f>'Masini colecta necesare'!$G$12</f>
        <v>3500</v>
      </c>
      <c r="O12" s="8">
        <f>'Masini colecta necesare'!$G$12</f>
        <v>3500</v>
      </c>
      <c r="P12" s="8">
        <f>'Masini colecta necesare'!$G$12</f>
        <v>3500</v>
      </c>
      <c r="Q12" s="8">
        <f>'Masini colecta necesare'!$G$12</f>
        <v>3500</v>
      </c>
      <c r="R12" s="8">
        <f>'Masini colecta necesare'!$G$12</f>
        <v>3500</v>
      </c>
      <c r="S12" s="9">
        <f>'Masini colecta necesare'!$G$12</f>
        <v>3500</v>
      </c>
    </row>
    <row r="13" spans="2:20" ht="15.75" thickBot="1" x14ac:dyDescent="0.3">
      <c r="B13" s="12" t="s">
        <v>27</v>
      </c>
      <c r="C13" s="32"/>
      <c r="D13" s="13">
        <f>SUM(D10:D12)</f>
        <v>7000</v>
      </c>
      <c r="E13" s="13">
        <f t="shared" ref="E13:S13" si="1">SUM(E10:E12)</f>
        <v>7000</v>
      </c>
      <c r="F13" s="13">
        <f t="shared" si="1"/>
        <v>7000</v>
      </c>
      <c r="G13" s="13">
        <f t="shared" si="1"/>
        <v>7000</v>
      </c>
      <c r="H13" s="13">
        <f t="shared" si="1"/>
        <v>7000</v>
      </c>
      <c r="I13" s="13">
        <f t="shared" si="1"/>
        <v>7000</v>
      </c>
      <c r="J13" s="13">
        <f t="shared" si="1"/>
        <v>7000</v>
      </c>
      <c r="K13" s="13">
        <f t="shared" si="1"/>
        <v>7000</v>
      </c>
      <c r="L13" s="13">
        <f t="shared" si="1"/>
        <v>7000</v>
      </c>
      <c r="M13" s="13">
        <f t="shared" si="1"/>
        <v>7000</v>
      </c>
      <c r="N13" s="13">
        <f t="shared" si="1"/>
        <v>7000</v>
      </c>
      <c r="O13" s="13">
        <f t="shared" si="1"/>
        <v>7000</v>
      </c>
      <c r="P13" s="13">
        <f t="shared" si="1"/>
        <v>7000</v>
      </c>
      <c r="Q13" s="13">
        <f t="shared" si="1"/>
        <v>7000</v>
      </c>
      <c r="R13" s="13">
        <f t="shared" si="1"/>
        <v>7000</v>
      </c>
      <c r="S13" s="14">
        <f t="shared" si="1"/>
        <v>7000</v>
      </c>
    </row>
    <row r="14" spans="2:20" ht="15.75" thickBot="1" x14ac:dyDescent="0.3"/>
    <row r="15" spans="2:20" x14ac:dyDescent="0.25">
      <c r="B15" s="92" t="s">
        <v>608</v>
      </c>
      <c r="C15" s="277"/>
      <c r="D15" s="34">
        <v>1</v>
      </c>
      <c r="E15" s="34">
        <v>2</v>
      </c>
      <c r="F15" s="34">
        <v>3</v>
      </c>
      <c r="G15" s="34">
        <v>4</v>
      </c>
      <c r="H15" s="34">
        <v>5</v>
      </c>
      <c r="I15" s="34">
        <v>6</v>
      </c>
      <c r="J15" s="34">
        <v>7</v>
      </c>
      <c r="K15" s="34">
        <v>8</v>
      </c>
      <c r="L15" s="34">
        <v>9</v>
      </c>
      <c r="M15" s="34">
        <v>10</v>
      </c>
      <c r="N15" s="34">
        <v>11</v>
      </c>
      <c r="O15" s="34">
        <v>12</v>
      </c>
      <c r="P15" s="34">
        <v>13</v>
      </c>
      <c r="Q15" s="34">
        <v>14</v>
      </c>
      <c r="R15" s="34">
        <v>15</v>
      </c>
      <c r="S15" s="24">
        <v>16</v>
      </c>
    </row>
    <row r="16" spans="2:20" x14ac:dyDescent="0.25">
      <c r="B16" s="10" t="s">
        <v>319</v>
      </c>
      <c r="C16" s="31"/>
      <c r="D16" s="11">
        <f>'Investitii statii de transfer'!C110</f>
        <v>13286.555555555555</v>
      </c>
      <c r="E16" s="11">
        <f>'Investitii statii de transfer'!D110</f>
        <v>13286.555555555555</v>
      </c>
      <c r="F16" s="11">
        <f>'Investitii statii de transfer'!E110</f>
        <v>13286.555555555555</v>
      </c>
      <c r="G16" s="11">
        <f>'Investitii statii de transfer'!F110</f>
        <v>13286.555555555555</v>
      </c>
      <c r="H16" s="11">
        <f>'Investitii statii de transfer'!G110</f>
        <v>13286.555555555555</v>
      </c>
      <c r="I16" s="11">
        <f>'Investitii statii de transfer'!H110</f>
        <v>13286.555555555555</v>
      </c>
      <c r="J16" s="11">
        <f>'Investitii statii de transfer'!I110</f>
        <v>13286.555555555555</v>
      </c>
      <c r="K16" s="11">
        <f>'Investitii statii de transfer'!J110</f>
        <v>13286.555555555555</v>
      </c>
      <c r="L16" s="11">
        <f>'Investitii statii de transfer'!K110</f>
        <v>13286.555555555555</v>
      </c>
      <c r="M16" s="11">
        <f>'Investitii statii de transfer'!L110</f>
        <v>13286.555555555555</v>
      </c>
      <c r="N16" s="11">
        <f>'Investitii statii de transfer'!M110</f>
        <v>13286.555555555555</v>
      </c>
      <c r="O16" s="11">
        <f>'Investitii statii de transfer'!N110</f>
        <v>13286.555555555555</v>
      </c>
      <c r="P16" s="11">
        <f>'Investitii statii de transfer'!O110</f>
        <v>13286.555555555555</v>
      </c>
      <c r="Q16" s="11">
        <f>'Investitii statii de transfer'!P110</f>
        <v>13286.555555555555</v>
      </c>
      <c r="R16" s="11">
        <f>'Investitii statii de transfer'!Q110</f>
        <v>13286.555555555555</v>
      </c>
      <c r="S16" s="80">
        <f>'Investitii statii de transfer'!R110</f>
        <v>13286.555555555555</v>
      </c>
    </row>
    <row r="17" spans="2:19" x14ac:dyDescent="0.25">
      <c r="B17" s="10" t="s">
        <v>320</v>
      </c>
      <c r="C17" s="31"/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80">
        <v>0</v>
      </c>
    </row>
    <row r="18" spans="2:19" x14ac:dyDescent="0.25">
      <c r="B18" s="10" t="s">
        <v>367</v>
      </c>
      <c r="C18" s="31"/>
      <c r="D18" s="11">
        <f>'Investitii statii de transfer'!C117</f>
        <v>10504.166666666666</v>
      </c>
      <c r="E18" s="11">
        <f>'Investitii statii de transfer'!D117</f>
        <v>10504.166666666666</v>
      </c>
      <c r="F18" s="11">
        <f>'Investitii statii de transfer'!E117</f>
        <v>10504.166666666666</v>
      </c>
      <c r="G18" s="11">
        <f>'Investitii statii de transfer'!F117</f>
        <v>10504.166666666666</v>
      </c>
      <c r="H18" s="11">
        <f>'Investitii statii de transfer'!G117</f>
        <v>10504.166666666666</v>
      </c>
      <c r="I18" s="11">
        <f>'Investitii statii de transfer'!H117</f>
        <v>10504.166666666666</v>
      </c>
      <c r="J18" s="11">
        <f>'Investitii statii de transfer'!I117</f>
        <v>10504.166666666666</v>
      </c>
      <c r="K18" s="11">
        <f>'Investitii statii de transfer'!J117</f>
        <v>10504.166666666666</v>
      </c>
      <c r="L18" s="11">
        <f>'Investitii statii de transfer'!K117</f>
        <v>10504.166666666666</v>
      </c>
      <c r="M18" s="11">
        <f>'Investitii statii de transfer'!L117</f>
        <v>10504.166666666666</v>
      </c>
      <c r="N18" s="11">
        <f>'Investitii statii de transfer'!M117</f>
        <v>10504.166666666666</v>
      </c>
      <c r="O18" s="11">
        <f>'Investitii statii de transfer'!N117</f>
        <v>10504.166666666666</v>
      </c>
      <c r="P18" s="11">
        <f>'Investitii statii de transfer'!O117</f>
        <v>10504.166666666666</v>
      </c>
      <c r="Q18" s="11">
        <f>'Investitii statii de transfer'!P117</f>
        <v>10504.166666666666</v>
      </c>
      <c r="R18" s="11">
        <f>'Investitii statii de transfer'!Q117</f>
        <v>10504.166666666666</v>
      </c>
      <c r="S18" s="80">
        <f>'Investitii statii de transfer'!R117</f>
        <v>10504.166666666666</v>
      </c>
    </row>
    <row r="19" spans="2:19" ht="15.75" thickBot="1" x14ac:dyDescent="0.3">
      <c r="B19" s="12" t="s">
        <v>27</v>
      </c>
      <c r="C19" s="32"/>
      <c r="D19" s="171">
        <f>SUM(D16:D18)</f>
        <v>23790.722222222219</v>
      </c>
      <c r="E19" s="171">
        <f t="shared" ref="E19:S19" si="2">SUM(E16:E18)</f>
        <v>23790.722222222219</v>
      </c>
      <c r="F19" s="171">
        <f t="shared" si="2"/>
        <v>23790.722222222219</v>
      </c>
      <c r="G19" s="171">
        <f t="shared" si="2"/>
        <v>23790.722222222219</v>
      </c>
      <c r="H19" s="171">
        <f t="shared" si="2"/>
        <v>23790.722222222219</v>
      </c>
      <c r="I19" s="171">
        <f t="shared" si="2"/>
        <v>23790.722222222219</v>
      </c>
      <c r="J19" s="171">
        <f t="shared" si="2"/>
        <v>23790.722222222219</v>
      </c>
      <c r="K19" s="171">
        <f t="shared" si="2"/>
        <v>23790.722222222219</v>
      </c>
      <c r="L19" s="171">
        <f t="shared" si="2"/>
        <v>23790.722222222219</v>
      </c>
      <c r="M19" s="171">
        <f t="shared" si="2"/>
        <v>23790.722222222219</v>
      </c>
      <c r="N19" s="171">
        <f t="shared" si="2"/>
        <v>23790.722222222219</v>
      </c>
      <c r="O19" s="171">
        <f t="shared" si="2"/>
        <v>23790.722222222219</v>
      </c>
      <c r="P19" s="171">
        <f t="shared" si="2"/>
        <v>23790.722222222219</v>
      </c>
      <c r="Q19" s="171">
        <f t="shared" si="2"/>
        <v>23790.722222222219</v>
      </c>
      <c r="R19" s="171">
        <f t="shared" si="2"/>
        <v>23790.722222222219</v>
      </c>
      <c r="S19" s="37">
        <f t="shared" si="2"/>
        <v>23790.722222222219</v>
      </c>
    </row>
    <row r="20" spans="2:19" ht="15.75" thickBot="1" x14ac:dyDescent="0.3"/>
    <row r="21" spans="2:19" x14ac:dyDescent="0.25">
      <c r="B21" s="92" t="s">
        <v>609</v>
      </c>
      <c r="C21" s="277"/>
      <c r="D21" s="34">
        <v>1</v>
      </c>
      <c r="E21" s="34">
        <v>2</v>
      </c>
      <c r="F21" s="34">
        <v>3</v>
      </c>
      <c r="G21" s="34">
        <v>4</v>
      </c>
      <c r="H21" s="34">
        <v>5</v>
      </c>
      <c r="I21" s="34">
        <v>6</v>
      </c>
      <c r="J21" s="34">
        <v>7</v>
      </c>
      <c r="K21" s="34">
        <v>8</v>
      </c>
      <c r="L21" s="34">
        <v>9</v>
      </c>
      <c r="M21" s="34">
        <v>10</v>
      </c>
      <c r="N21" s="34">
        <v>11</v>
      </c>
      <c r="O21" s="34">
        <v>12</v>
      </c>
      <c r="P21" s="34">
        <v>13</v>
      </c>
      <c r="Q21" s="34">
        <v>14</v>
      </c>
      <c r="R21" s="34">
        <v>15</v>
      </c>
      <c r="S21" s="24">
        <v>16</v>
      </c>
    </row>
    <row r="22" spans="2:19" x14ac:dyDescent="0.25">
      <c r="B22" s="10" t="s">
        <v>319</v>
      </c>
      <c r="C22" s="31"/>
      <c r="D22" s="11">
        <f>'Investitii statii compost'!C68</f>
        <v>11353.055555555555</v>
      </c>
      <c r="E22" s="11">
        <f>'Investitii statii compost'!D68</f>
        <v>11353.055555555555</v>
      </c>
      <c r="F22" s="11">
        <f>'Investitii statii compost'!E68</f>
        <v>11353.055555555555</v>
      </c>
      <c r="G22" s="11">
        <f>'Investitii statii compost'!F68</f>
        <v>11353.055555555555</v>
      </c>
      <c r="H22" s="11">
        <f>'Investitii statii compost'!G68</f>
        <v>11353.055555555555</v>
      </c>
      <c r="I22" s="11">
        <f>'Investitii statii compost'!H68</f>
        <v>11353.055555555555</v>
      </c>
      <c r="J22" s="11">
        <f>'Investitii statii compost'!I68</f>
        <v>11353.055555555555</v>
      </c>
      <c r="K22" s="11">
        <f>'Investitii statii compost'!J68</f>
        <v>11353.055555555555</v>
      </c>
      <c r="L22" s="11">
        <f>'Investitii statii compost'!K68</f>
        <v>11353.055555555555</v>
      </c>
      <c r="M22" s="11">
        <f>'Investitii statii compost'!L68</f>
        <v>11353.055555555555</v>
      </c>
      <c r="N22" s="11">
        <f>'Investitii statii compost'!M68</f>
        <v>11353.055555555555</v>
      </c>
      <c r="O22" s="11">
        <f>'Investitii statii compost'!N68</f>
        <v>11353.055555555555</v>
      </c>
      <c r="P22" s="11">
        <f>'Investitii statii compost'!O68</f>
        <v>11353.055555555555</v>
      </c>
      <c r="Q22" s="11">
        <f>'Investitii statii compost'!P68</f>
        <v>11353.055555555555</v>
      </c>
      <c r="R22" s="11">
        <f>'Investitii statii compost'!Q68</f>
        <v>11353.055555555555</v>
      </c>
      <c r="S22" s="80">
        <f>'Investitii statii compost'!R68</f>
        <v>11353.055555555555</v>
      </c>
    </row>
    <row r="23" spans="2:19" x14ac:dyDescent="0.25">
      <c r="B23" s="10" t="s">
        <v>320</v>
      </c>
      <c r="C23" s="31"/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80">
        <v>0</v>
      </c>
    </row>
    <row r="24" spans="2:19" x14ac:dyDescent="0.25">
      <c r="B24" s="10" t="s">
        <v>367</v>
      </c>
      <c r="C24" s="31"/>
      <c r="D24" s="11">
        <f>'Investitii statii compost'!C74</f>
        <v>11353.055555555555</v>
      </c>
      <c r="E24" s="11">
        <f>'Investitii statii compost'!D74</f>
        <v>11353.055555555555</v>
      </c>
      <c r="F24" s="11">
        <f>'Investitii statii compost'!E74</f>
        <v>11353.055555555555</v>
      </c>
      <c r="G24" s="11">
        <f>'Investitii statii compost'!F74</f>
        <v>11353.055555555555</v>
      </c>
      <c r="H24" s="11">
        <f>'Investitii statii compost'!G74</f>
        <v>11353.055555555555</v>
      </c>
      <c r="I24" s="11">
        <f>'Investitii statii compost'!H74</f>
        <v>11353.055555555555</v>
      </c>
      <c r="J24" s="11">
        <f>'Investitii statii compost'!I74</f>
        <v>11353.055555555555</v>
      </c>
      <c r="K24" s="11">
        <f>'Investitii statii compost'!J74</f>
        <v>11353.055555555555</v>
      </c>
      <c r="L24" s="11">
        <f>'Investitii statii compost'!K74</f>
        <v>11353.055555555555</v>
      </c>
      <c r="M24" s="11">
        <f>'Investitii statii compost'!L74</f>
        <v>11353.055555555555</v>
      </c>
      <c r="N24" s="11">
        <f>'Investitii statii compost'!M74</f>
        <v>11353.055555555555</v>
      </c>
      <c r="O24" s="11">
        <f>'Investitii statii compost'!N74</f>
        <v>11353.055555555555</v>
      </c>
      <c r="P24" s="11">
        <f>'Investitii statii compost'!O74</f>
        <v>11353.055555555555</v>
      </c>
      <c r="Q24" s="11">
        <f>'Investitii statii compost'!P74</f>
        <v>11353.055555555555</v>
      </c>
      <c r="R24" s="11">
        <f>'Investitii statii compost'!Q74</f>
        <v>11353.055555555555</v>
      </c>
      <c r="S24" s="80">
        <f>'Investitii statii compost'!R74</f>
        <v>11353.055555555555</v>
      </c>
    </row>
    <row r="25" spans="2:19" ht="15.75" thickBot="1" x14ac:dyDescent="0.3">
      <c r="B25" s="12" t="s">
        <v>27</v>
      </c>
      <c r="C25" s="32"/>
      <c r="D25" s="171">
        <f>SUM(D22:D24)</f>
        <v>22706.111111111109</v>
      </c>
      <c r="E25" s="171">
        <f t="shared" ref="E25:S25" si="3">SUM(E22:E24)</f>
        <v>22706.111111111109</v>
      </c>
      <c r="F25" s="171">
        <f t="shared" si="3"/>
        <v>22706.111111111109</v>
      </c>
      <c r="G25" s="171">
        <f t="shared" si="3"/>
        <v>22706.111111111109</v>
      </c>
      <c r="H25" s="171">
        <f t="shared" si="3"/>
        <v>22706.111111111109</v>
      </c>
      <c r="I25" s="171">
        <f t="shared" si="3"/>
        <v>22706.111111111109</v>
      </c>
      <c r="J25" s="171">
        <f t="shared" si="3"/>
        <v>22706.111111111109</v>
      </c>
      <c r="K25" s="171">
        <f t="shared" si="3"/>
        <v>22706.111111111109</v>
      </c>
      <c r="L25" s="171">
        <f t="shared" si="3"/>
        <v>22706.111111111109</v>
      </c>
      <c r="M25" s="171">
        <f t="shared" si="3"/>
        <v>22706.111111111109</v>
      </c>
      <c r="N25" s="171">
        <f t="shared" si="3"/>
        <v>22706.111111111109</v>
      </c>
      <c r="O25" s="171">
        <f t="shared" si="3"/>
        <v>22706.111111111109</v>
      </c>
      <c r="P25" s="171">
        <f t="shared" si="3"/>
        <v>22706.111111111109</v>
      </c>
      <c r="Q25" s="171">
        <f t="shared" si="3"/>
        <v>22706.111111111109</v>
      </c>
      <c r="R25" s="171">
        <f t="shared" si="3"/>
        <v>22706.111111111109</v>
      </c>
      <c r="S25" s="37">
        <f t="shared" si="3"/>
        <v>22706.111111111109</v>
      </c>
    </row>
    <row r="27" spans="2:19" ht="15.75" thickBot="1" x14ac:dyDescent="0.3"/>
    <row r="28" spans="2:19" ht="30" x14ac:dyDescent="0.25">
      <c r="B28" s="94" t="s">
        <v>710</v>
      </c>
      <c r="C28" s="276" t="s">
        <v>27</v>
      </c>
      <c r="D28" s="34">
        <v>1</v>
      </c>
      <c r="E28" s="34">
        <v>2</v>
      </c>
      <c r="F28" s="34">
        <v>3</v>
      </c>
      <c r="G28" s="34">
        <v>4</v>
      </c>
      <c r="H28" s="34">
        <v>5</v>
      </c>
      <c r="I28" s="34">
        <v>6</v>
      </c>
      <c r="J28" s="34">
        <v>7</v>
      </c>
      <c r="K28" s="34">
        <v>8</v>
      </c>
      <c r="L28" s="34">
        <v>9</v>
      </c>
      <c r="M28" s="34">
        <v>10</v>
      </c>
      <c r="N28" s="34">
        <v>11</v>
      </c>
      <c r="O28" s="34">
        <v>12</v>
      </c>
      <c r="P28" s="34">
        <v>13</v>
      </c>
      <c r="Q28" s="34">
        <v>14</v>
      </c>
      <c r="R28" s="34">
        <v>15</v>
      </c>
      <c r="S28" s="24">
        <v>16</v>
      </c>
    </row>
    <row r="29" spans="2:19" x14ac:dyDescent="0.25">
      <c r="B29" s="10" t="s">
        <v>610</v>
      </c>
      <c r="C29" s="282">
        <f>SUM(D29:K29)</f>
        <v>624623.88888888899</v>
      </c>
      <c r="D29" s="111">
        <f>D4+D5+D10+D11+D16+D17+D22+D23</f>
        <v>78077.986111111124</v>
      </c>
      <c r="E29" s="111">
        <f t="shared" ref="E29:S29" si="4">E4+E5+E10+E11+E16+E17+E22+E23</f>
        <v>78077.986111111124</v>
      </c>
      <c r="F29" s="111">
        <f t="shared" si="4"/>
        <v>78077.986111111124</v>
      </c>
      <c r="G29" s="111">
        <f t="shared" si="4"/>
        <v>78077.986111111124</v>
      </c>
      <c r="H29" s="111">
        <f t="shared" si="4"/>
        <v>78077.986111111124</v>
      </c>
      <c r="I29" s="111">
        <f t="shared" si="4"/>
        <v>78077.986111111124</v>
      </c>
      <c r="J29" s="111">
        <f t="shared" si="4"/>
        <v>78077.986111111124</v>
      </c>
      <c r="K29" s="111">
        <f t="shared" si="4"/>
        <v>78077.986111111124</v>
      </c>
      <c r="L29" s="111">
        <f>L4+L5+L10+L11+L16+L17+L22+L23</f>
        <v>78077.986111111124</v>
      </c>
      <c r="M29" s="111">
        <f t="shared" si="4"/>
        <v>78077.986111111124</v>
      </c>
      <c r="N29" s="111">
        <f t="shared" si="4"/>
        <v>78077.986111111124</v>
      </c>
      <c r="O29" s="111">
        <f t="shared" si="4"/>
        <v>78077.986111111124</v>
      </c>
      <c r="P29" s="111">
        <f t="shared" si="4"/>
        <v>78077.986111111124</v>
      </c>
      <c r="Q29" s="111">
        <f t="shared" si="4"/>
        <v>78077.986111111124</v>
      </c>
      <c r="R29" s="111">
        <f t="shared" si="4"/>
        <v>78077.986111111124</v>
      </c>
      <c r="S29" s="96">
        <f t="shared" si="4"/>
        <v>78077.986111111124</v>
      </c>
    </row>
    <row r="30" spans="2:19" x14ac:dyDescent="0.25">
      <c r="B30" s="10" t="s">
        <v>367</v>
      </c>
      <c r="C30" s="282">
        <f>SUM(D30:K30)</f>
        <v>518913.11111111107</v>
      </c>
      <c r="D30" s="111">
        <f>D6+D12+D18+D24</f>
        <v>64864.138888888891</v>
      </c>
      <c r="E30" s="111">
        <f t="shared" ref="E30:S30" si="5">E6+E12+E18+E24</f>
        <v>64864.138888888891</v>
      </c>
      <c r="F30" s="111">
        <f t="shared" si="5"/>
        <v>64864.138888888891</v>
      </c>
      <c r="G30" s="111">
        <f t="shared" si="5"/>
        <v>64864.138888888891</v>
      </c>
      <c r="H30" s="111">
        <f t="shared" si="5"/>
        <v>64864.138888888891</v>
      </c>
      <c r="I30" s="111">
        <f t="shared" si="5"/>
        <v>64864.138888888891</v>
      </c>
      <c r="J30" s="111">
        <f t="shared" si="5"/>
        <v>64864.138888888891</v>
      </c>
      <c r="K30" s="111">
        <f t="shared" si="5"/>
        <v>64864.138888888891</v>
      </c>
      <c r="L30" s="111">
        <f t="shared" si="5"/>
        <v>64864.138888888891</v>
      </c>
      <c r="M30" s="111">
        <f t="shared" si="5"/>
        <v>64864.138888888891</v>
      </c>
      <c r="N30" s="111">
        <f t="shared" si="5"/>
        <v>64864.138888888891</v>
      </c>
      <c r="O30" s="111">
        <f t="shared" si="5"/>
        <v>64864.138888888891</v>
      </c>
      <c r="P30" s="111">
        <f t="shared" si="5"/>
        <v>64864.138888888891</v>
      </c>
      <c r="Q30" s="111">
        <f t="shared" si="5"/>
        <v>64864.138888888891</v>
      </c>
      <c r="R30" s="111">
        <f t="shared" si="5"/>
        <v>64864.138888888891</v>
      </c>
      <c r="S30" s="96">
        <f t="shared" si="5"/>
        <v>64864.138888888891</v>
      </c>
    </row>
    <row r="31" spans="2:19" ht="15.75" thickBot="1" x14ac:dyDescent="0.3">
      <c r="B31" s="156" t="s">
        <v>27</v>
      </c>
      <c r="C31" s="278"/>
      <c r="D31" s="23">
        <f>D29+D30</f>
        <v>142942.125</v>
      </c>
      <c r="E31" s="23">
        <f t="shared" ref="E31:S31" si="6">E29+E30</f>
        <v>142942.125</v>
      </c>
      <c r="F31" s="23">
        <f t="shared" si="6"/>
        <v>142942.125</v>
      </c>
      <c r="G31" s="23">
        <f t="shared" si="6"/>
        <v>142942.125</v>
      </c>
      <c r="H31" s="23">
        <f t="shared" si="6"/>
        <v>142942.125</v>
      </c>
      <c r="I31" s="23">
        <f t="shared" si="6"/>
        <v>142942.125</v>
      </c>
      <c r="J31" s="23">
        <f t="shared" si="6"/>
        <v>142942.125</v>
      </c>
      <c r="K31" s="23">
        <f t="shared" si="6"/>
        <v>142942.125</v>
      </c>
      <c r="L31" s="23">
        <f t="shared" si="6"/>
        <v>142942.125</v>
      </c>
      <c r="M31" s="23">
        <f t="shared" si="6"/>
        <v>142942.125</v>
      </c>
      <c r="N31" s="23">
        <f t="shared" si="6"/>
        <v>142942.125</v>
      </c>
      <c r="O31" s="23">
        <f t="shared" si="6"/>
        <v>142942.125</v>
      </c>
      <c r="P31" s="23">
        <f t="shared" si="6"/>
        <v>142942.125</v>
      </c>
      <c r="Q31" s="23">
        <f t="shared" si="6"/>
        <v>142942.125</v>
      </c>
      <c r="R31" s="23">
        <f t="shared" si="6"/>
        <v>142942.125</v>
      </c>
      <c r="S31" s="73">
        <f t="shared" si="6"/>
        <v>142942.125</v>
      </c>
    </row>
    <row r="32" spans="2:19" ht="15.75" thickBot="1" x14ac:dyDescent="0.3"/>
    <row r="33" spans="2:19" x14ac:dyDescent="0.25">
      <c r="B33" s="38" t="s">
        <v>711</v>
      </c>
      <c r="C33" s="276" t="s">
        <v>27</v>
      </c>
      <c r="D33" s="34">
        <v>1</v>
      </c>
      <c r="E33" s="34">
        <v>2</v>
      </c>
      <c r="F33" s="34">
        <v>3</v>
      </c>
      <c r="G33" s="34">
        <v>4</v>
      </c>
      <c r="H33" s="34">
        <v>5</v>
      </c>
      <c r="I33" s="34">
        <v>6</v>
      </c>
      <c r="J33" s="34">
        <v>7</v>
      </c>
      <c r="K33" s="34">
        <v>8</v>
      </c>
      <c r="L33" s="34">
        <v>9</v>
      </c>
      <c r="M33" s="34">
        <v>10</v>
      </c>
      <c r="N33" s="34">
        <v>11</v>
      </c>
      <c r="O33" s="34">
        <v>12</v>
      </c>
      <c r="P33" s="34">
        <v>13</v>
      </c>
      <c r="Q33" s="34">
        <v>14</v>
      </c>
      <c r="R33" s="34">
        <v>15</v>
      </c>
      <c r="S33" s="24">
        <v>16</v>
      </c>
    </row>
    <row r="34" spans="2:19" x14ac:dyDescent="0.25">
      <c r="B34" s="10" t="s">
        <v>8</v>
      </c>
      <c r="C34" s="31"/>
      <c r="D34" s="11">
        <f>47670/'Curs mediu pe anul 2015'!$C$12/5</f>
        <v>2144.3374492736857</v>
      </c>
      <c r="E34" s="11">
        <f>47670/'Curs mediu pe anul 2015'!$C$12/5</f>
        <v>2144.3374492736857</v>
      </c>
      <c r="F34" s="11">
        <f>47670/'Curs mediu pe anul 2015'!$C$12/5</f>
        <v>2144.3374492736857</v>
      </c>
      <c r="G34" s="11">
        <f>47670/'Curs mediu pe anul 2015'!$C$12/5</f>
        <v>2144.3374492736857</v>
      </c>
      <c r="H34" s="11">
        <f>47670/'Curs mediu pe anul 2015'!$C$12/5</f>
        <v>2144.3374492736857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9"/>
    </row>
    <row r="35" spans="2:19" x14ac:dyDescent="0.25">
      <c r="B35" s="10" t="s">
        <v>12</v>
      </c>
      <c r="C35" s="31"/>
      <c r="D35" s="11">
        <f>47670/'Curs mediu pe anul 2015'!$C$12/5</f>
        <v>2144.3374492736857</v>
      </c>
      <c r="E35" s="11">
        <f>47670/'Curs mediu pe anul 2015'!$C$12/5</f>
        <v>2144.3374492736857</v>
      </c>
      <c r="F35" s="11">
        <f>47670/'Curs mediu pe anul 2015'!$C$12/5</f>
        <v>2144.3374492736857</v>
      </c>
      <c r="G35" s="11">
        <f>47670/'Curs mediu pe anul 2015'!$C$12/5</f>
        <v>2144.3374492736857</v>
      </c>
      <c r="H35" s="11">
        <f>47670/'Curs mediu pe anul 2015'!$C$12/5</f>
        <v>2144.3374492736857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9"/>
    </row>
    <row r="36" spans="2:19" x14ac:dyDescent="0.25">
      <c r="B36" s="10" t="s">
        <v>3</v>
      </c>
      <c r="C36" s="31"/>
      <c r="D36" s="11">
        <f>47670/'Curs mediu pe anul 2015'!$C$12/5</f>
        <v>2144.3374492736857</v>
      </c>
      <c r="E36" s="11">
        <f>47670/'Curs mediu pe anul 2015'!$C$12/5</f>
        <v>2144.3374492736857</v>
      </c>
      <c r="F36" s="11">
        <f>47670/'Curs mediu pe anul 2015'!$C$12/5</f>
        <v>2144.3374492736857</v>
      </c>
      <c r="G36" s="11">
        <f>47670/'Curs mediu pe anul 2015'!$C$12/5</f>
        <v>2144.3374492736857</v>
      </c>
      <c r="H36" s="11">
        <f>47670/'Curs mediu pe anul 2015'!$C$12/5</f>
        <v>2144.3374492736857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9"/>
    </row>
    <row r="37" spans="2:19" x14ac:dyDescent="0.25">
      <c r="B37" s="10" t="s">
        <v>10</v>
      </c>
      <c r="C37" s="31"/>
      <c r="D37" s="11">
        <f>47670/'Curs mediu pe anul 2015'!$C$12/5</f>
        <v>2144.3374492736857</v>
      </c>
      <c r="E37" s="11">
        <f>47670/'Curs mediu pe anul 2015'!$C$12/5</f>
        <v>2144.3374492736857</v>
      </c>
      <c r="F37" s="11">
        <f>47670/'Curs mediu pe anul 2015'!$C$12/5</f>
        <v>2144.3374492736857</v>
      </c>
      <c r="G37" s="11">
        <f>47670/'Curs mediu pe anul 2015'!$C$12/5</f>
        <v>2144.3374492736857</v>
      </c>
      <c r="H37" s="11">
        <f>47670/'Curs mediu pe anul 2015'!$C$12/5</f>
        <v>2144.3374492736857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9"/>
    </row>
    <row r="38" spans="2:19" x14ac:dyDescent="0.25">
      <c r="B38" s="10" t="s">
        <v>5</v>
      </c>
      <c r="C38" s="31"/>
      <c r="D38" s="11">
        <f>47670/'Curs mediu pe anul 2015'!$C$12/5</f>
        <v>2144.3374492736857</v>
      </c>
      <c r="E38" s="11">
        <f>47670/'Curs mediu pe anul 2015'!$C$12/5</f>
        <v>2144.3374492736857</v>
      </c>
      <c r="F38" s="11">
        <f>47670/'Curs mediu pe anul 2015'!$C$12/5</f>
        <v>2144.3374492736857</v>
      </c>
      <c r="G38" s="11">
        <f>47670/'Curs mediu pe anul 2015'!$C$12/5</f>
        <v>2144.3374492736857</v>
      </c>
      <c r="H38" s="11">
        <f>47670/'Curs mediu pe anul 2015'!$C$12/5</f>
        <v>2144.3374492736857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9"/>
    </row>
    <row r="39" spans="2:19" ht="15.75" thickBot="1" x14ac:dyDescent="0.3">
      <c r="B39" s="273" t="s">
        <v>27</v>
      </c>
      <c r="C39" s="279"/>
      <c r="D39" s="274">
        <f>SUM(D34:D38)</f>
        <v>10721.687246368429</v>
      </c>
      <c r="E39" s="274">
        <f t="shared" ref="E39:S39" si="7">SUM(E34:E38)</f>
        <v>10721.687246368429</v>
      </c>
      <c r="F39" s="274">
        <f t="shared" si="7"/>
        <v>10721.687246368429</v>
      </c>
      <c r="G39" s="274">
        <f t="shared" si="7"/>
        <v>10721.687246368429</v>
      </c>
      <c r="H39" s="274">
        <f t="shared" si="7"/>
        <v>10721.687246368429</v>
      </c>
      <c r="I39" s="274">
        <f t="shared" si="7"/>
        <v>0</v>
      </c>
      <c r="J39" s="274">
        <f t="shared" si="7"/>
        <v>0</v>
      </c>
      <c r="K39" s="274">
        <f t="shared" si="7"/>
        <v>0</v>
      </c>
      <c r="L39" s="274">
        <f t="shared" si="7"/>
        <v>0</v>
      </c>
      <c r="M39" s="274">
        <f t="shared" si="7"/>
        <v>0</v>
      </c>
      <c r="N39" s="274">
        <f t="shared" si="7"/>
        <v>0</v>
      </c>
      <c r="O39" s="274">
        <f t="shared" si="7"/>
        <v>0</v>
      </c>
      <c r="P39" s="274">
        <f t="shared" si="7"/>
        <v>0</v>
      </c>
      <c r="Q39" s="274">
        <f t="shared" si="7"/>
        <v>0</v>
      </c>
      <c r="R39" s="274">
        <f t="shared" si="7"/>
        <v>0</v>
      </c>
      <c r="S39" s="275">
        <f t="shared" si="7"/>
        <v>0</v>
      </c>
    </row>
    <row r="40" spans="2:19" ht="15.75" thickBot="1" x14ac:dyDescent="0.3"/>
    <row r="41" spans="2:19" ht="30" x14ac:dyDescent="0.25">
      <c r="B41" s="303" t="s">
        <v>710</v>
      </c>
      <c r="C41" s="304"/>
      <c r="D41" s="285">
        <v>1</v>
      </c>
      <c r="E41" s="285">
        <v>2</v>
      </c>
      <c r="F41" s="285">
        <v>3</v>
      </c>
      <c r="G41" s="285">
        <v>4</v>
      </c>
      <c r="H41" s="285">
        <v>5</v>
      </c>
      <c r="I41" s="285">
        <v>6</v>
      </c>
      <c r="J41" s="285">
        <v>7</v>
      </c>
      <c r="K41" s="285">
        <v>8</v>
      </c>
      <c r="L41" s="285">
        <v>9</v>
      </c>
      <c r="M41" s="285">
        <v>10</v>
      </c>
      <c r="N41" s="285">
        <v>11</v>
      </c>
      <c r="O41" s="285">
        <v>12</v>
      </c>
      <c r="P41" s="285">
        <v>13</v>
      </c>
      <c r="Q41" s="285">
        <v>14</v>
      </c>
      <c r="R41" s="285">
        <v>15</v>
      </c>
      <c r="S41" s="286">
        <v>16</v>
      </c>
    </row>
    <row r="42" spans="2:19" x14ac:dyDescent="0.25">
      <c r="B42" s="287" t="s">
        <v>610</v>
      </c>
      <c r="C42" s="305">
        <f>SUM(D42:K42)+2</f>
        <v>2777160.1187857152</v>
      </c>
      <c r="D42" s="298">
        <f>D29*'Curs mediu pe anul 2015'!$C$12</f>
        <v>347144.7648482144</v>
      </c>
      <c r="E42" s="298">
        <f>E29*'Curs mediu pe anul 2015'!$C$12</f>
        <v>347144.7648482144</v>
      </c>
      <c r="F42" s="298">
        <f>F29*'Curs mediu pe anul 2015'!$C$12</f>
        <v>347144.7648482144</v>
      </c>
      <c r="G42" s="298">
        <f>G29*'Curs mediu pe anul 2015'!$C$12</f>
        <v>347144.7648482144</v>
      </c>
      <c r="H42" s="298">
        <f>H29*'Curs mediu pe anul 2015'!$C$12</f>
        <v>347144.7648482144</v>
      </c>
      <c r="I42" s="298">
        <f>I29*'Curs mediu pe anul 2015'!$C$12</f>
        <v>347144.7648482144</v>
      </c>
      <c r="J42" s="298">
        <f>J29*'Curs mediu pe anul 2015'!$C$12</f>
        <v>347144.7648482144</v>
      </c>
      <c r="K42" s="298">
        <f>K29*'Curs mediu pe anul 2015'!$C$12</f>
        <v>347144.7648482144</v>
      </c>
      <c r="L42" s="298">
        <f>L29*'Curs mediu pe anul 2015'!$C$12</f>
        <v>347144.7648482144</v>
      </c>
      <c r="M42" s="298">
        <f>M29*'Curs mediu pe anul 2015'!$C$12</f>
        <v>347144.7648482144</v>
      </c>
      <c r="N42" s="298">
        <f>N29*'Curs mediu pe anul 2015'!$C$12</f>
        <v>347144.7648482144</v>
      </c>
      <c r="O42" s="298">
        <f>O29*'Curs mediu pe anul 2015'!$C$12</f>
        <v>347144.7648482144</v>
      </c>
      <c r="P42" s="298">
        <f>P29*'Curs mediu pe anul 2015'!$C$12</f>
        <v>347144.7648482144</v>
      </c>
      <c r="Q42" s="298">
        <f>Q29*'Curs mediu pe anul 2015'!$C$12</f>
        <v>347144.7648482144</v>
      </c>
      <c r="R42" s="298">
        <f>R29*'Curs mediu pe anul 2015'!$C$12</f>
        <v>347144.7648482144</v>
      </c>
      <c r="S42" s="298">
        <f>S29*'Curs mediu pe anul 2015'!$C$12</f>
        <v>347144.7648482144</v>
      </c>
    </row>
    <row r="43" spans="2:19" x14ac:dyDescent="0.25">
      <c r="B43" s="287" t="s">
        <v>367</v>
      </c>
      <c r="C43" s="305">
        <f>SUM(D43:K43)-2</f>
        <v>2307152.4094000007</v>
      </c>
      <c r="D43" s="298">
        <f>D30*'Curs mediu pe anul 2015'!$C$12</f>
        <v>288394.30117500003</v>
      </c>
      <c r="E43" s="298">
        <f>E30*'Curs mediu pe anul 2015'!$C$12</f>
        <v>288394.30117500003</v>
      </c>
      <c r="F43" s="298">
        <f>F30*'Curs mediu pe anul 2015'!$C$12</f>
        <v>288394.30117500003</v>
      </c>
      <c r="G43" s="298">
        <f>G30*'Curs mediu pe anul 2015'!$C$12</f>
        <v>288394.30117500003</v>
      </c>
      <c r="H43" s="298">
        <f>H30*'Curs mediu pe anul 2015'!$C$12</f>
        <v>288394.30117500003</v>
      </c>
      <c r="I43" s="298">
        <f>I30*'Curs mediu pe anul 2015'!$C$12</f>
        <v>288394.30117500003</v>
      </c>
      <c r="J43" s="298">
        <f>J30*'Curs mediu pe anul 2015'!$C$12</f>
        <v>288394.30117500003</v>
      </c>
      <c r="K43" s="298">
        <f>K30*'Curs mediu pe anul 2015'!$C$12</f>
        <v>288394.30117500003</v>
      </c>
      <c r="L43" s="298">
        <f>L30*'Curs mediu pe anul 2015'!$C$12</f>
        <v>288394.30117500003</v>
      </c>
      <c r="M43" s="298">
        <f>M30*'Curs mediu pe anul 2015'!$C$12</f>
        <v>288394.30117500003</v>
      </c>
      <c r="N43" s="298">
        <f>N30*'Curs mediu pe anul 2015'!$C$12</f>
        <v>288394.30117500003</v>
      </c>
      <c r="O43" s="298">
        <f>O30*'Curs mediu pe anul 2015'!$C$12</f>
        <v>288394.30117500003</v>
      </c>
      <c r="P43" s="298">
        <f>P30*'Curs mediu pe anul 2015'!$C$12</f>
        <v>288394.30117500003</v>
      </c>
      <c r="Q43" s="298">
        <f>Q30*'Curs mediu pe anul 2015'!$C$12</f>
        <v>288394.30117500003</v>
      </c>
      <c r="R43" s="298">
        <f>R30*'Curs mediu pe anul 2015'!$C$12</f>
        <v>288394.30117500003</v>
      </c>
      <c r="S43" s="298">
        <f>S30*'Curs mediu pe anul 2015'!$C$12</f>
        <v>288394.30117500003</v>
      </c>
    </row>
    <row r="44" spans="2:19" ht="15.75" thickBot="1" x14ac:dyDescent="0.3">
      <c r="B44" s="291" t="s">
        <v>27</v>
      </c>
      <c r="C44" s="306"/>
      <c r="D44" s="307">
        <f>D42+D43</f>
        <v>635539.06602321449</v>
      </c>
      <c r="E44" s="307">
        <f t="shared" ref="E44:S44" si="8">E42+E43</f>
        <v>635539.06602321449</v>
      </c>
      <c r="F44" s="307">
        <f t="shared" si="8"/>
        <v>635539.06602321449</v>
      </c>
      <c r="G44" s="307">
        <f t="shared" si="8"/>
        <v>635539.06602321449</v>
      </c>
      <c r="H44" s="307">
        <f t="shared" si="8"/>
        <v>635539.06602321449</v>
      </c>
      <c r="I44" s="307">
        <f t="shared" si="8"/>
        <v>635539.06602321449</v>
      </c>
      <c r="J44" s="307">
        <f t="shared" si="8"/>
        <v>635539.06602321449</v>
      </c>
      <c r="K44" s="307">
        <f t="shared" si="8"/>
        <v>635539.06602321449</v>
      </c>
      <c r="L44" s="307">
        <f t="shared" si="8"/>
        <v>635539.06602321449</v>
      </c>
      <c r="M44" s="307">
        <f t="shared" si="8"/>
        <v>635539.06602321449</v>
      </c>
      <c r="N44" s="307">
        <f t="shared" si="8"/>
        <v>635539.06602321449</v>
      </c>
      <c r="O44" s="307">
        <f t="shared" si="8"/>
        <v>635539.06602321449</v>
      </c>
      <c r="P44" s="307">
        <f t="shared" si="8"/>
        <v>635539.06602321449</v>
      </c>
      <c r="Q44" s="307">
        <f t="shared" si="8"/>
        <v>635539.06602321449</v>
      </c>
      <c r="R44" s="307">
        <f t="shared" si="8"/>
        <v>635539.06602321449</v>
      </c>
      <c r="S44" s="308">
        <f t="shared" si="8"/>
        <v>635539.06602321449</v>
      </c>
    </row>
    <row r="45" spans="2:19" ht="15.75" thickBot="1" x14ac:dyDescent="0.3"/>
    <row r="46" spans="2:19" x14ac:dyDescent="0.25">
      <c r="B46" s="283" t="s">
        <v>711</v>
      </c>
      <c r="C46" s="284"/>
      <c r="D46" s="285">
        <v>1</v>
      </c>
      <c r="E46" s="285">
        <v>2</v>
      </c>
      <c r="F46" s="285">
        <v>3</v>
      </c>
      <c r="G46" s="285">
        <v>4</v>
      </c>
      <c r="H46" s="285">
        <v>5</v>
      </c>
      <c r="I46" s="285">
        <v>6</v>
      </c>
      <c r="J46" s="285">
        <v>7</v>
      </c>
      <c r="K46" s="285">
        <v>8</v>
      </c>
      <c r="L46" s="285">
        <v>9</v>
      </c>
      <c r="M46" s="285">
        <v>10</v>
      </c>
      <c r="N46" s="285">
        <v>11</v>
      </c>
      <c r="O46" s="285">
        <v>12</v>
      </c>
      <c r="P46" s="285">
        <v>13</v>
      </c>
      <c r="Q46" s="285">
        <v>14</v>
      </c>
      <c r="R46" s="285">
        <v>15</v>
      </c>
      <c r="S46" s="286">
        <v>16</v>
      </c>
    </row>
    <row r="47" spans="2:19" x14ac:dyDescent="0.25">
      <c r="B47" s="287" t="s">
        <v>8</v>
      </c>
      <c r="C47" s="288">
        <f>SUM(D47:K47)</f>
        <v>47670</v>
      </c>
      <c r="D47" s="298">
        <f>D34*'Curs mediu pe anul 2015'!$C$12</f>
        <v>9534</v>
      </c>
      <c r="E47" s="298">
        <f>E34*'Curs mediu pe anul 2015'!$C$12</f>
        <v>9534</v>
      </c>
      <c r="F47" s="298">
        <f>F34*'Curs mediu pe anul 2015'!$C$12</f>
        <v>9534</v>
      </c>
      <c r="G47" s="298">
        <f>G34*'Curs mediu pe anul 2015'!$C$12</f>
        <v>9534</v>
      </c>
      <c r="H47" s="298">
        <f>H34*'Curs mediu pe anul 2015'!$C$12</f>
        <v>9534</v>
      </c>
      <c r="I47" s="298">
        <f>I34*'Curs mediu pe anul 2015'!$C$12</f>
        <v>0</v>
      </c>
      <c r="J47" s="298">
        <f>J34*'Curs mediu pe anul 2015'!$C$12</f>
        <v>0</v>
      </c>
      <c r="K47" s="298">
        <f>K34*'Curs mediu pe anul 2015'!$C$12</f>
        <v>0</v>
      </c>
      <c r="L47" s="298">
        <f>L34*'Curs mediu pe anul 2015'!$C$12</f>
        <v>0</v>
      </c>
      <c r="M47" s="298">
        <f>M34*'Curs mediu pe anul 2015'!$C$12</f>
        <v>0</v>
      </c>
      <c r="N47" s="298">
        <f>N34*'Curs mediu pe anul 2015'!$C$12</f>
        <v>0</v>
      </c>
      <c r="O47" s="298">
        <f>O34*'Curs mediu pe anul 2015'!$C$12</f>
        <v>0</v>
      </c>
      <c r="P47" s="298">
        <f>P34*'Curs mediu pe anul 2015'!$C$12</f>
        <v>0</v>
      </c>
      <c r="Q47" s="298">
        <f>Q34*'Curs mediu pe anul 2015'!$C$12</f>
        <v>0</v>
      </c>
      <c r="R47" s="298">
        <f>R34*'Curs mediu pe anul 2015'!$C$12</f>
        <v>0</v>
      </c>
      <c r="S47" s="298">
        <f>S34*'Curs mediu pe anul 2015'!$C$12</f>
        <v>0</v>
      </c>
    </row>
    <row r="48" spans="2:19" x14ac:dyDescent="0.25">
      <c r="B48" s="287" t="s">
        <v>12</v>
      </c>
      <c r="C48" s="288">
        <f t="shared" ref="C48:C51" si="9">SUM(D48:K48)</f>
        <v>47670</v>
      </c>
      <c r="D48" s="298">
        <f>D35*'Curs mediu pe anul 2015'!$C$12</f>
        <v>9534</v>
      </c>
      <c r="E48" s="298">
        <f>E35*'Curs mediu pe anul 2015'!$C$12</f>
        <v>9534</v>
      </c>
      <c r="F48" s="298">
        <f>F35*'Curs mediu pe anul 2015'!$C$12</f>
        <v>9534</v>
      </c>
      <c r="G48" s="298">
        <f>G35*'Curs mediu pe anul 2015'!$C$12</f>
        <v>9534</v>
      </c>
      <c r="H48" s="298">
        <f>H35*'Curs mediu pe anul 2015'!$C$12</f>
        <v>9534</v>
      </c>
      <c r="I48" s="298">
        <f>I35*'Curs mediu pe anul 2015'!$C$12</f>
        <v>0</v>
      </c>
      <c r="J48" s="298">
        <f>J35*'Curs mediu pe anul 2015'!$C$12</f>
        <v>0</v>
      </c>
      <c r="K48" s="298">
        <f>K35*'Curs mediu pe anul 2015'!$C$12</f>
        <v>0</v>
      </c>
      <c r="L48" s="298">
        <f>L35*'Curs mediu pe anul 2015'!$C$12</f>
        <v>0</v>
      </c>
      <c r="M48" s="298">
        <f>M35*'Curs mediu pe anul 2015'!$C$12</f>
        <v>0</v>
      </c>
      <c r="N48" s="298">
        <f>N35*'Curs mediu pe anul 2015'!$C$12</f>
        <v>0</v>
      </c>
      <c r="O48" s="298">
        <f>O35*'Curs mediu pe anul 2015'!$C$12</f>
        <v>0</v>
      </c>
      <c r="P48" s="298">
        <f>P35*'Curs mediu pe anul 2015'!$C$12</f>
        <v>0</v>
      </c>
      <c r="Q48" s="298">
        <f>Q35*'Curs mediu pe anul 2015'!$C$12</f>
        <v>0</v>
      </c>
      <c r="R48" s="298">
        <f>R35*'Curs mediu pe anul 2015'!$C$12</f>
        <v>0</v>
      </c>
      <c r="S48" s="298">
        <f>S35*'Curs mediu pe anul 2015'!$C$12</f>
        <v>0</v>
      </c>
    </row>
    <row r="49" spans="2:19" x14ac:dyDescent="0.25">
      <c r="B49" s="287" t="s">
        <v>3</v>
      </c>
      <c r="C49" s="288">
        <f t="shared" si="9"/>
        <v>47670</v>
      </c>
      <c r="D49" s="298">
        <f>D36*'Curs mediu pe anul 2015'!$C$12</f>
        <v>9534</v>
      </c>
      <c r="E49" s="298">
        <f>E36*'Curs mediu pe anul 2015'!$C$12</f>
        <v>9534</v>
      </c>
      <c r="F49" s="298">
        <f>F36*'Curs mediu pe anul 2015'!$C$12</f>
        <v>9534</v>
      </c>
      <c r="G49" s="298">
        <f>G36*'Curs mediu pe anul 2015'!$C$12</f>
        <v>9534</v>
      </c>
      <c r="H49" s="298">
        <f>H36*'Curs mediu pe anul 2015'!$C$12</f>
        <v>9534</v>
      </c>
      <c r="I49" s="298">
        <f>I36*'Curs mediu pe anul 2015'!$C$12</f>
        <v>0</v>
      </c>
      <c r="J49" s="298">
        <f>J36*'Curs mediu pe anul 2015'!$C$12</f>
        <v>0</v>
      </c>
      <c r="K49" s="298">
        <f>K36*'Curs mediu pe anul 2015'!$C$12</f>
        <v>0</v>
      </c>
      <c r="L49" s="298">
        <f>L36*'Curs mediu pe anul 2015'!$C$12</f>
        <v>0</v>
      </c>
      <c r="M49" s="298">
        <f>M36*'Curs mediu pe anul 2015'!$C$12</f>
        <v>0</v>
      </c>
      <c r="N49" s="298">
        <f>N36*'Curs mediu pe anul 2015'!$C$12</f>
        <v>0</v>
      </c>
      <c r="O49" s="298">
        <f>O36*'Curs mediu pe anul 2015'!$C$12</f>
        <v>0</v>
      </c>
      <c r="P49" s="298">
        <f>P36*'Curs mediu pe anul 2015'!$C$12</f>
        <v>0</v>
      </c>
      <c r="Q49" s="298">
        <f>Q36*'Curs mediu pe anul 2015'!$C$12</f>
        <v>0</v>
      </c>
      <c r="R49" s="298">
        <f>R36*'Curs mediu pe anul 2015'!$C$12</f>
        <v>0</v>
      </c>
      <c r="S49" s="298">
        <f>S36*'Curs mediu pe anul 2015'!$C$12</f>
        <v>0</v>
      </c>
    </row>
    <row r="50" spans="2:19" x14ac:dyDescent="0.25">
      <c r="B50" s="287" t="s">
        <v>10</v>
      </c>
      <c r="C50" s="288">
        <f t="shared" si="9"/>
        <v>47670</v>
      </c>
      <c r="D50" s="298">
        <f>D37*'Curs mediu pe anul 2015'!$C$12</f>
        <v>9534</v>
      </c>
      <c r="E50" s="298">
        <f>E37*'Curs mediu pe anul 2015'!$C$12</f>
        <v>9534</v>
      </c>
      <c r="F50" s="298">
        <f>F37*'Curs mediu pe anul 2015'!$C$12</f>
        <v>9534</v>
      </c>
      <c r="G50" s="298">
        <f>G37*'Curs mediu pe anul 2015'!$C$12</f>
        <v>9534</v>
      </c>
      <c r="H50" s="298">
        <f>H37*'Curs mediu pe anul 2015'!$C$12</f>
        <v>9534</v>
      </c>
      <c r="I50" s="298">
        <f>I37*'Curs mediu pe anul 2015'!$C$12</f>
        <v>0</v>
      </c>
      <c r="J50" s="298">
        <f>J37*'Curs mediu pe anul 2015'!$C$12</f>
        <v>0</v>
      </c>
      <c r="K50" s="298">
        <f>K37*'Curs mediu pe anul 2015'!$C$12</f>
        <v>0</v>
      </c>
      <c r="L50" s="298">
        <f>L37*'Curs mediu pe anul 2015'!$C$12</f>
        <v>0</v>
      </c>
      <c r="M50" s="298">
        <f>M37*'Curs mediu pe anul 2015'!$C$12</f>
        <v>0</v>
      </c>
      <c r="N50" s="298">
        <f>N37*'Curs mediu pe anul 2015'!$C$12</f>
        <v>0</v>
      </c>
      <c r="O50" s="298">
        <f>O37*'Curs mediu pe anul 2015'!$C$12</f>
        <v>0</v>
      </c>
      <c r="P50" s="298">
        <f>P37*'Curs mediu pe anul 2015'!$C$12</f>
        <v>0</v>
      </c>
      <c r="Q50" s="298">
        <f>Q37*'Curs mediu pe anul 2015'!$C$12</f>
        <v>0</v>
      </c>
      <c r="R50" s="298">
        <f>R37*'Curs mediu pe anul 2015'!$C$12</f>
        <v>0</v>
      </c>
      <c r="S50" s="298">
        <f>S37*'Curs mediu pe anul 2015'!$C$12</f>
        <v>0</v>
      </c>
    </row>
    <row r="51" spans="2:19" x14ac:dyDescent="0.25">
      <c r="B51" s="287" t="s">
        <v>5</v>
      </c>
      <c r="C51" s="288">
        <f t="shared" si="9"/>
        <v>47670</v>
      </c>
      <c r="D51" s="298">
        <f>D38*'Curs mediu pe anul 2015'!$C$12</f>
        <v>9534</v>
      </c>
      <c r="E51" s="298">
        <f>E38*'Curs mediu pe anul 2015'!$C$12</f>
        <v>9534</v>
      </c>
      <c r="F51" s="298">
        <f>F38*'Curs mediu pe anul 2015'!$C$12</f>
        <v>9534</v>
      </c>
      <c r="G51" s="298">
        <f>G38*'Curs mediu pe anul 2015'!$C$12</f>
        <v>9534</v>
      </c>
      <c r="H51" s="298">
        <f>H38*'Curs mediu pe anul 2015'!$C$12</f>
        <v>9534</v>
      </c>
      <c r="I51" s="298">
        <f>I38*'Curs mediu pe anul 2015'!$C$12</f>
        <v>0</v>
      </c>
      <c r="J51" s="298">
        <f>J38*'Curs mediu pe anul 2015'!$C$12</f>
        <v>0</v>
      </c>
      <c r="K51" s="298">
        <f>K38*'Curs mediu pe anul 2015'!$C$12</f>
        <v>0</v>
      </c>
      <c r="L51" s="298">
        <f>L38*'Curs mediu pe anul 2015'!$C$12</f>
        <v>0</v>
      </c>
      <c r="M51" s="298">
        <f>M38*'Curs mediu pe anul 2015'!$C$12</f>
        <v>0</v>
      </c>
      <c r="N51" s="298">
        <f>N38*'Curs mediu pe anul 2015'!$C$12</f>
        <v>0</v>
      </c>
      <c r="O51" s="298">
        <f>O38*'Curs mediu pe anul 2015'!$C$12</f>
        <v>0</v>
      </c>
      <c r="P51" s="298">
        <f>P38*'Curs mediu pe anul 2015'!$C$12</f>
        <v>0</v>
      </c>
      <c r="Q51" s="298">
        <f>Q38*'Curs mediu pe anul 2015'!$C$12</f>
        <v>0</v>
      </c>
      <c r="R51" s="298">
        <f>R38*'Curs mediu pe anul 2015'!$C$12</f>
        <v>0</v>
      </c>
      <c r="S51" s="298">
        <f>S38*'Curs mediu pe anul 2015'!$C$12</f>
        <v>0</v>
      </c>
    </row>
    <row r="52" spans="2:19" ht="15.75" thickBot="1" x14ac:dyDescent="0.3">
      <c r="B52" s="299" t="s">
        <v>27</v>
      </c>
      <c r="C52" s="300"/>
      <c r="D52" s="301">
        <f>SUM(D47:D51)</f>
        <v>47670</v>
      </c>
      <c r="E52" s="301">
        <f t="shared" ref="E52" si="10">SUM(E47:E51)</f>
        <v>47670</v>
      </c>
      <c r="F52" s="301">
        <f t="shared" ref="F52" si="11">SUM(F47:F51)</f>
        <v>47670</v>
      </c>
      <c r="G52" s="301">
        <f t="shared" ref="G52" si="12">SUM(G47:G51)</f>
        <v>47670</v>
      </c>
      <c r="H52" s="301">
        <f t="shared" ref="H52" si="13">SUM(H47:H51)</f>
        <v>47670</v>
      </c>
      <c r="I52" s="301">
        <f t="shared" ref="I52" si="14">SUM(I47:I51)</f>
        <v>0</v>
      </c>
      <c r="J52" s="301">
        <f t="shared" ref="J52" si="15">SUM(J47:J51)</f>
        <v>0</v>
      </c>
      <c r="K52" s="301">
        <f t="shared" ref="K52" si="16">SUM(K47:K51)</f>
        <v>0</v>
      </c>
      <c r="L52" s="301">
        <f t="shared" ref="L52" si="17">SUM(L47:L51)</f>
        <v>0</v>
      </c>
      <c r="M52" s="301">
        <f t="shared" ref="M52" si="18">SUM(M47:M51)</f>
        <v>0</v>
      </c>
      <c r="N52" s="301">
        <f t="shared" ref="N52" si="19">SUM(N47:N51)</f>
        <v>0</v>
      </c>
      <c r="O52" s="301">
        <f t="shared" ref="O52" si="20">SUM(O47:O51)</f>
        <v>0</v>
      </c>
      <c r="P52" s="301">
        <f t="shared" ref="P52" si="21">SUM(P47:P51)</f>
        <v>0</v>
      </c>
      <c r="Q52" s="301">
        <f t="shared" ref="Q52" si="22">SUM(Q47:Q51)</f>
        <v>0</v>
      </c>
      <c r="R52" s="301">
        <f t="shared" ref="R52" si="23">SUM(R47:R51)</f>
        <v>0</v>
      </c>
      <c r="S52" s="302">
        <f t="shared" ref="S52" si="24">SUM(S47:S51)</f>
        <v>0</v>
      </c>
    </row>
    <row r="54" spans="2:19" ht="15.75" thickBot="1" x14ac:dyDescent="0.3"/>
    <row r="55" spans="2:19" x14ac:dyDescent="0.25">
      <c r="B55" s="38" t="s">
        <v>611</v>
      </c>
      <c r="C55" s="276"/>
      <c r="D55" s="34">
        <v>1</v>
      </c>
      <c r="E55" s="34">
        <v>2</v>
      </c>
      <c r="F55" s="34">
        <v>3</v>
      </c>
      <c r="G55" s="34">
        <v>4</v>
      </c>
      <c r="H55" s="34">
        <v>5</v>
      </c>
      <c r="I55" s="34">
        <v>6</v>
      </c>
      <c r="J55" s="34">
        <v>7</v>
      </c>
      <c r="K55" s="34">
        <v>8</v>
      </c>
      <c r="L55" s="34">
        <v>9</v>
      </c>
      <c r="M55" s="34">
        <v>10</v>
      </c>
      <c r="N55" s="34">
        <v>11</v>
      </c>
      <c r="O55" s="34">
        <v>12</v>
      </c>
      <c r="P55" s="34">
        <v>13</v>
      </c>
      <c r="Q55" s="34">
        <v>14</v>
      </c>
      <c r="R55" s="34">
        <v>15</v>
      </c>
      <c r="S55" s="24">
        <v>16</v>
      </c>
    </row>
    <row r="56" spans="2:19" x14ac:dyDescent="0.25">
      <c r="B56" s="10" t="s">
        <v>612</v>
      </c>
      <c r="C56" s="31"/>
      <c r="D56" s="8">
        <f>'Sistem colectare'!C130</f>
        <v>25000</v>
      </c>
      <c r="E56" s="8">
        <f>'Sistem colectare'!D130</f>
        <v>25000</v>
      </c>
      <c r="F56" s="8">
        <f>'Sistem colectare'!E130</f>
        <v>25000</v>
      </c>
      <c r="G56" s="8">
        <f>'Sistem colectare'!F130</f>
        <v>25000</v>
      </c>
      <c r="H56" s="8">
        <f>'Sistem colectare'!G130</f>
        <v>25000</v>
      </c>
      <c r="I56" s="8">
        <f>'Sistem colectare'!H130</f>
        <v>25000</v>
      </c>
      <c r="J56" s="8">
        <f>'Sistem colectare'!I130</f>
        <v>25000</v>
      </c>
      <c r="K56" s="8">
        <f>'Sistem colectare'!J130</f>
        <v>25000</v>
      </c>
      <c r="L56" s="8">
        <f>'Sistem colectare'!K130</f>
        <v>25000</v>
      </c>
      <c r="M56" s="8">
        <f>'Sistem colectare'!L130</f>
        <v>25000</v>
      </c>
      <c r="N56" s="8">
        <f>'Sistem colectare'!M130</f>
        <v>25000</v>
      </c>
      <c r="O56" s="8">
        <f>'Sistem colectare'!N130</f>
        <v>25000</v>
      </c>
      <c r="P56" s="8">
        <f>'Sistem colectare'!O130</f>
        <v>25000</v>
      </c>
      <c r="Q56" s="8">
        <f>'Sistem colectare'!P130</f>
        <v>25000</v>
      </c>
      <c r="R56" s="8">
        <f>'Sistem colectare'!Q130</f>
        <v>25000</v>
      </c>
      <c r="S56" s="9">
        <f>'Sistem colectare'!R130</f>
        <v>25000</v>
      </c>
    </row>
    <row r="57" spans="2:19" x14ac:dyDescent="0.25">
      <c r="B57" s="10" t="s">
        <v>187</v>
      </c>
      <c r="C57" s="31"/>
      <c r="D57" s="8">
        <f>'Sistem colectare'!C131</f>
        <v>5000</v>
      </c>
      <c r="E57" s="8">
        <f>'Sistem colectare'!D131</f>
        <v>5000</v>
      </c>
      <c r="F57" s="8">
        <f>'Sistem colectare'!E131</f>
        <v>5000</v>
      </c>
      <c r="G57" s="8">
        <f>'Sistem colectare'!F131</f>
        <v>5000</v>
      </c>
      <c r="H57" s="8">
        <f>'Sistem colectare'!G131</f>
        <v>5000</v>
      </c>
      <c r="I57" s="8">
        <f>'Sistem colectare'!H131</f>
        <v>5000</v>
      </c>
      <c r="J57" s="8">
        <f>'Sistem colectare'!I131</f>
        <v>5000</v>
      </c>
      <c r="K57" s="8">
        <f>'Sistem colectare'!J131</f>
        <v>5000</v>
      </c>
      <c r="L57" s="8">
        <f>'Sistem colectare'!K131</f>
        <v>5000</v>
      </c>
      <c r="M57" s="8">
        <f>'Sistem colectare'!L131</f>
        <v>5000</v>
      </c>
      <c r="N57" s="8">
        <f>'Sistem colectare'!M131</f>
        <v>5000</v>
      </c>
      <c r="O57" s="8">
        <f>'Sistem colectare'!N131</f>
        <v>5000</v>
      </c>
      <c r="P57" s="8">
        <f>'Sistem colectare'!O131</f>
        <v>5000</v>
      </c>
      <c r="Q57" s="8">
        <f>'Sistem colectare'!P131</f>
        <v>5000</v>
      </c>
      <c r="R57" s="8">
        <f>'Sistem colectare'!Q131</f>
        <v>5000</v>
      </c>
      <c r="S57" s="9">
        <f>'Sistem colectare'!R131</f>
        <v>5000</v>
      </c>
    </row>
    <row r="58" spans="2:19" s="1" customFormat="1" ht="15.75" thickBot="1" x14ac:dyDescent="0.3">
      <c r="B58" s="19" t="s">
        <v>27</v>
      </c>
      <c r="C58" s="280"/>
      <c r="D58" s="20">
        <f>D56+D57</f>
        <v>30000</v>
      </c>
      <c r="E58" s="20">
        <f t="shared" ref="E58:S58" si="25">E56+E57</f>
        <v>30000</v>
      </c>
      <c r="F58" s="20">
        <f t="shared" si="25"/>
        <v>30000</v>
      </c>
      <c r="G58" s="20">
        <f t="shared" si="25"/>
        <v>30000</v>
      </c>
      <c r="H58" s="20">
        <f t="shared" si="25"/>
        <v>30000</v>
      </c>
      <c r="I58" s="20">
        <f t="shared" si="25"/>
        <v>30000</v>
      </c>
      <c r="J58" s="20">
        <f t="shared" si="25"/>
        <v>30000</v>
      </c>
      <c r="K58" s="20">
        <f t="shared" si="25"/>
        <v>30000</v>
      </c>
      <c r="L58" s="20">
        <f t="shared" si="25"/>
        <v>30000</v>
      </c>
      <c r="M58" s="20">
        <f t="shared" si="25"/>
        <v>30000</v>
      </c>
      <c r="N58" s="20">
        <f t="shared" si="25"/>
        <v>30000</v>
      </c>
      <c r="O58" s="20">
        <f t="shared" si="25"/>
        <v>30000</v>
      </c>
      <c r="P58" s="20">
        <f t="shared" si="25"/>
        <v>30000</v>
      </c>
      <c r="Q58" s="20">
        <f t="shared" si="25"/>
        <v>30000</v>
      </c>
      <c r="R58" s="20">
        <f t="shared" si="25"/>
        <v>30000</v>
      </c>
      <c r="S58" s="44">
        <f t="shared" si="25"/>
        <v>30000</v>
      </c>
    </row>
    <row r="59" spans="2:19" ht="15.75" thickBot="1" x14ac:dyDescent="0.3"/>
    <row r="60" spans="2:19" x14ac:dyDescent="0.25">
      <c r="B60" s="38" t="s">
        <v>613</v>
      </c>
      <c r="C60" s="276"/>
      <c r="D60" s="34">
        <v>1</v>
      </c>
      <c r="E60" s="34">
        <v>2</v>
      </c>
      <c r="F60" s="34">
        <v>3</v>
      </c>
      <c r="G60" s="34">
        <v>4</v>
      </c>
      <c r="H60" s="34">
        <v>5</v>
      </c>
      <c r="I60" s="34">
        <v>6</v>
      </c>
      <c r="J60" s="34">
        <v>7</v>
      </c>
      <c r="K60" s="34">
        <v>8</v>
      </c>
      <c r="L60" s="34">
        <v>9</v>
      </c>
      <c r="M60" s="34">
        <v>10</v>
      </c>
      <c r="N60" s="34">
        <v>11</v>
      </c>
      <c r="O60" s="34">
        <v>12</v>
      </c>
      <c r="P60" s="34">
        <v>13</v>
      </c>
      <c r="Q60" s="34">
        <v>14</v>
      </c>
      <c r="R60" s="34">
        <v>15</v>
      </c>
      <c r="S60" s="24">
        <v>16</v>
      </c>
    </row>
    <row r="61" spans="2:19" x14ac:dyDescent="0.25">
      <c r="B61" s="10" t="s">
        <v>612</v>
      </c>
      <c r="C61" s="31"/>
      <c r="D61" s="111">
        <f>D29+D39</f>
        <v>88799.673357479551</v>
      </c>
      <c r="E61" s="111">
        <f t="shared" ref="E61:S61" si="26">E29+E39</f>
        <v>88799.673357479551</v>
      </c>
      <c r="F61" s="111">
        <f t="shared" si="26"/>
        <v>88799.673357479551</v>
      </c>
      <c r="G61" s="111">
        <f t="shared" si="26"/>
        <v>88799.673357479551</v>
      </c>
      <c r="H61" s="111">
        <f t="shared" si="26"/>
        <v>88799.673357479551</v>
      </c>
      <c r="I61" s="111">
        <f t="shared" si="26"/>
        <v>78077.986111111124</v>
      </c>
      <c r="J61" s="111">
        <f t="shared" si="26"/>
        <v>78077.986111111124</v>
      </c>
      <c r="K61" s="111">
        <f t="shared" si="26"/>
        <v>78077.986111111124</v>
      </c>
      <c r="L61" s="111">
        <f t="shared" si="26"/>
        <v>78077.986111111124</v>
      </c>
      <c r="M61" s="111">
        <f t="shared" si="26"/>
        <v>78077.986111111124</v>
      </c>
      <c r="N61" s="111">
        <f t="shared" si="26"/>
        <v>78077.986111111124</v>
      </c>
      <c r="O61" s="111">
        <f t="shared" si="26"/>
        <v>78077.986111111124</v>
      </c>
      <c r="P61" s="111">
        <f t="shared" si="26"/>
        <v>78077.986111111124</v>
      </c>
      <c r="Q61" s="111">
        <f t="shared" si="26"/>
        <v>78077.986111111124</v>
      </c>
      <c r="R61" s="111">
        <f t="shared" si="26"/>
        <v>78077.986111111124</v>
      </c>
      <c r="S61" s="111">
        <f t="shared" si="26"/>
        <v>78077.986111111124</v>
      </c>
    </row>
    <row r="62" spans="2:19" x14ac:dyDescent="0.25">
      <c r="B62" s="10" t="s">
        <v>187</v>
      </c>
      <c r="C62" s="31"/>
      <c r="D62" s="111">
        <f>D30</f>
        <v>64864.138888888891</v>
      </c>
      <c r="E62" s="111">
        <f t="shared" ref="E62:S62" si="27">E30</f>
        <v>64864.138888888891</v>
      </c>
      <c r="F62" s="111">
        <f t="shared" si="27"/>
        <v>64864.138888888891</v>
      </c>
      <c r="G62" s="111">
        <f t="shared" si="27"/>
        <v>64864.138888888891</v>
      </c>
      <c r="H62" s="111">
        <f t="shared" si="27"/>
        <v>64864.138888888891</v>
      </c>
      <c r="I62" s="111">
        <f t="shared" si="27"/>
        <v>64864.138888888891</v>
      </c>
      <c r="J62" s="111">
        <f t="shared" si="27"/>
        <v>64864.138888888891</v>
      </c>
      <c r="K62" s="111">
        <f t="shared" si="27"/>
        <v>64864.138888888891</v>
      </c>
      <c r="L62" s="111">
        <f t="shared" si="27"/>
        <v>64864.138888888891</v>
      </c>
      <c r="M62" s="111">
        <f t="shared" si="27"/>
        <v>64864.138888888891</v>
      </c>
      <c r="N62" s="111">
        <f t="shared" si="27"/>
        <v>64864.138888888891</v>
      </c>
      <c r="O62" s="111">
        <f t="shared" si="27"/>
        <v>64864.138888888891</v>
      </c>
      <c r="P62" s="111">
        <f t="shared" si="27"/>
        <v>64864.138888888891</v>
      </c>
      <c r="Q62" s="111">
        <f t="shared" si="27"/>
        <v>64864.138888888891</v>
      </c>
      <c r="R62" s="111">
        <f t="shared" si="27"/>
        <v>64864.138888888891</v>
      </c>
      <c r="S62" s="111">
        <f t="shared" si="27"/>
        <v>64864.138888888891</v>
      </c>
    </row>
    <row r="63" spans="2:19" s="1" customFormat="1" ht="15" customHeight="1" thickBot="1" x14ac:dyDescent="0.3">
      <c r="B63" s="19" t="s">
        <v>27</v>
      </c>
      <c r="C63" s="280"/>
      <c r="D63" s="23">
        <f>D61+D62</f>
        <v>153663.81224636844</v>
      </c>
      <c r="E63" s="23">
        <f t="shared" ref="E63:S63" si="28">E61+E62</f>
        <v>153663.81224636844</v>
      </c>
      <c r="F63" s="23">
        <f t="shared" si="28"/>
        <v>153663.81224636844</v>
      </c>
      <c r="G63" s="23">
        <f t="shared" si="28"/>
        <v>153663.81224636844</v>
      </c>
      <c r="H63" s="23">
        <f t="shared" si="28"/>
        <v>153663.81224636844</v>
      </c>
      <c r="I63" s="23">
        <f t="shared" si="28"/>
        <v>142942.125</v>
      </c>
      <c r="J63" s="23">
        <f t="shared" si="28"/>
        <v>142942.125</v>
      </c>
      <c r="K63" s="23">
        <f t="shared" si="28"/>
        <v>142942.125</v>
      </c>
      <c r="L63" s="23">
        <f t="shared" si="28"/>
        <v>142942.125</v>
      </c>
      <c r="M63" s="23">
        <f t="shared" si="28"/>
        <v>142942.125</v>
      </c>
      <c r="N63" s="23">
        <f t="shared" si="28"/>
        <v>142942.125</v>
      </c>
      <c r="O63" s="23">
        <f t="shared" si="28"/>
        <v>142942.125</v>
      </c>
      <c r="P63" s="23">
        <f t="shared" si="28"/>
        <v>142942.125</v>
      </c>
      <c r="Q63" s="23">
        <f t="shared" si="28"/>
        <v>142942.125</v>
      </c>
      <c r="R63" s="23">
        <f t="shared" si="28"/>
        <v>142942.125</v>
      </c>
      <c r="S63" s="73">
        <f t="shared" si="28"/>
        <v>142942.125</v>
      </c>
    </row>
    <row r="64" spans="2:19" ht="15.75" thickBot="1" x14ac:dyDescent="0.3"/>
    <row r="65" spans="2:19" x14ac:dyDescent="0.25">
      <c r="B65" s="283" t="s">
        <v>614</v>
      </c>
      <c r="C65" s="284"/>
      <c r="D65" s="285">
        <v>1</v>
      </c>
      <c r="E65" s="285">
        <v>2</v>
      </c>
      <c r="F65" s="285">
        <v>3</v>
      </c>
      <c r="G65" s="285">
        <v>4</v>
      </c>
      <c r="H65" s="285">
        <v>5</v>
      </c>
      <c r="I65" s="285">
        <v>6</v>
      </c>
      <c r="J65" s="285">
        <v>7</v>
      </c>
      <c r="K65" s="285">
        <v>8</v>
      </c>
      <c r="L65" s="285">
        <v>9</v>
      </c>
      <c r="M65" s="285">
        <v>10</v>
      </c>
      <c r="N65" s="285">
        <v>11</v>
      </c>
      <c r="O65" s="285">
        <v>12</v>
      </c>
      <c r="P65" s="285">
        <v>13</v>
      </c>
      <c r="Q65" s="285">
        <v>14</v>
      </c>
      <c r="R65" s="285">
        <v>15</v>
      </c>
      <c r="S65" s="286">
        <v>16</v>
      </c>
    </row>
    <row r="66" spans="2:19" x14ac:dyDescent="0.25">
      <c r="B66" s="287" t="s">
        <v>713</v>
      </c>
      <c r="C66" s="288">
        <f>SUM(D66:K66)+2</f>
        <v>3015510.1187857157</v>
      </c>
      <c r="D66" s="289">
        <f>D42+D52</f>
        <v>394814.7648482144</v>
      </c>
      <c r="E66" s="289">
        <f>E42+E52</f>
        <v>394814.7648482144</v>
      </c>
      <c r="F66" s="289">
        <f t="shared" ref="F66:S66" si="29">F42+F52</f>
        <v>394814.7648482144</v>
      </c>
      <c r="G66" s="289">
        <f>G42+G52</f>
        <v>394814.7648482144</v>
      </c>
      <c r="H66" s="289">
        <f t="shared" si="29"/>
        <v>394814.7648482144</v>
      </c>
      <c r="I66" s="289">
        <f t="shared" si="29"/>
        <v>347144.7648482144</v>
      </c>
      <c r="J66" s="289">
        <f t="shared" si="29"/>
        <v>347144.7648482144</v>
      </c>
      <c r="K66" s="289">
        <f t="shared" si="29"/>
        <v>347144.7648482144</v>
      </c>
      <c r="L66" s="289">
        <f t="shared" si="29"/>
        <v>347144.7648482144</v>
      </c>
      <c r="M66" s="289">
        <f t="shared" si="29"/>
        <v>347144.7648482144</v>
      </c>
      <c r="N66" s="289">
        <f t="shared" si="29"/>
        <v>347144.7648482144</v>
      </c>
      <c r="O66" s="289">
        <f t="shared" si="29"/>
        <v>347144.7648482144</v>
      </c>
      <c r="P66" s="289">
        <f t="shared" si="29"/>
        <v>347144.7648482144</v>
      </c>
      <c r="Q66" s="289">
        <f t="shared" si="29"/>
        <v>347144.7648482144</v>
      </c>
      <c r="R66" s="289">
        <f t="shared" si="29"/>
        <v>347144.7648482144</v>
      </c>
      <c r="S66" s="289">
        <f t="shared" si="29"/>
        <v>347144.7648482144</v>
      </c>
    </row>
    <row r="67" spans="2:19" x14ac:dyDescent="0.25">
      <c r="B67" s="287" t="s">
        <v>187</v>
      </c>
      <c r="C67" s="288">
        <f>SUM(D67:K67)-2</f>
        <v>2307152.4094000007</v>
      </c>
      <c r="D67" s="374">
        <f>D62*'Curs mediu pe anul 2015'!$C$12</f>
        <v>288394.30117500003</v>
      </c>
      <c r="E67" s="290">
        <f>E62*'Curs mediu pe anul 2015'!$C$12</f>
        <v>288394.30117500003</v>
      </c>
      <c r="F67" s="290">
        <f>F62*'Curs mediu pe anul 2015'!$C$12</f>
        <v>288394.30117500003</v>
      </c>
      <c r="G67" s="290">
        <f>G62*'Curs mediu pe anul 2015'!$C$12</f>
        <v>288394.30117500003</v>
      </c>
      <c r="H67" s="290">
        <f>H62*'Curs mediu pe anul 2015'!$C$12</f>
        <v>288394.30117500003</v>
      </c>
      <c r="I67" s="290">
        <f>I62*'Curs mediu pe anul 2015'!$C$12</f>
        <v>288394.30117500003</v>
      </c>
      <c r="J67" s="290">
        <f>J62*'Curs mediu pe anul 2015'!$C$12</f>
        <v>288394.30117500003</v>
      </c>
      <c r="K67" s="290">
        <f>K62*'Curs mediu pe anul 2015'!$C$12</f>
        <v>288394.30117500003</v>
      </c>
      <c r="L67" s="290">
        <f>L62*'Curs mediu pe anul 2015'!$C$12</f>
        <v>288394.30117500003</v>
      </c>
      <c r="M67" s="290">
        <f>M62*'Curs mediu pe anul 2015'!$C$12</f>
        <v>288394.30117500003</v>
      </c>
      <c r="N67" s="290">
        <f>N62*'Curs mediu pe anul 2015'!$C$12</f>
        <v>288394.30117500003</v>
      </c>
      <c r="O67" s="290">
        <f>O62*'Curs mediu pe anul 2015'!$C$12</f>
        <v>288394.30117500003</v>
      </c>
      <c r="P67" s="290">
        <f>P62*'Curs mediu pe anul 2015'!$C$12</f>
        <v>288394.30117500003</v>
      </c>
      <c r="Q67" s="290">
        <f>Q62*'Curs mediu pe anul 2015'!$C$12</f>
        <v>288394.30117500003</v>
      </c>
      <c r="R67" s="290">
        <f>R62*'Curs mediu pe anul 2015'!$C$12</f>
        <v>288394.30117500003</v>
      </c>
      <c r="S67" s="290">
        <f>S62*'Curs mediu pe anul 2015'!$C$12</f>
        <v>288394.30117500003</v>
      </c>
    </row>
    <row r="68" spans="2:19" s="1" customFormat="1" ht="15.75" thickBot="1" x14ac:dyDescent="0.3">
      <c r="B68" s="291" t="s">
        <v>27</v>
      </c>
      <c r="C68" s="292"/>
      <c r="D68" s="293">
        <f>D66+D67</f>
        <v>683209.06602321449</v>
      </c>
      <c r="E68" s="293">
        <f t="shared" ref="E68:S68" si="30">E66+E67</f>
        <v>683209.06602321449</v>
      </c>
      <c r="F68" s="293">
        <f t="shared" si="30"/>
        <v>683209.06602321449</v>
      </c>
      <c r="G68" s="293">
        <f t="shared" si="30"/>
        <v>683209.06602321449</v>
      </c>
      <c r="H68" s="293">
        <f t="shared" si="30"/>
        <v>683209.06602321449</v>
      </c>
      <c r="I68" s="293">
        <f t="shared" si="30"/>
        <v>635539.06602321449</v>
      </c>
      <c r="J68" s="293">
        <f t="shared" si="30"/>
        <v>635539.06602321449</v>
      </c>
      <c r="K68" s="293">
        <f t="shared" si="30"/>
        <v>635539.06602321449</v>
      </c>
      <c r="L68" s="293">
        <f t="shared" si="30"/>
        <v>635539.06602321449</v>
      </c>
      <c r="M68" s="293">
        <f t="shared" si="30"/>
        <v>635539.06602321449</v>
      </c>
      <c r="N68" s="293">
        <f t="shared" si="30"/>
        <v>635539.06602321449</v>
      </c>
      <c r="O68" s="293">
        <f t="shared" si="30"/>
        <v>635539.06602321449</v>
      </c>
      <c r="P68" s="293">
        <f t="shared" si="30"/>
        <v>635539.06602321449</v>
      </c>
      <c r="Q68" s="293">
        <f t="shared" si="30"/>
        <v>635539.06602321449</v>
      </c>
      <c r="R68" s="293">
        <f t="shared" si="30"/>
        <v>635539.06602321449</v>
      </c>
      <c r="S68" s="294">
        <f t="shared" si="30"/>
        <v>635539.06602321449</v>
      </c>
    </row>
    <row r="70" spans="2:19" ht="15.75" thickBot="1" x14ac:dyDescent="0.3"/>
    <row r="71" spans="2:19" ht="30" x14ac:dyDescent="0.25">
      <c r="B71" s="296" t="s">
        <v>712</v>
      </c>
      <c r="C71" s="297"/>
      <c r="D71" s="285">
        <v>1</v>
      </c>
      <c r="E71" s="285">
        <v>2</v>
      </c>
      <c r="F71" s="285">
        <v>3</v>
      </c>
      <c r="G71" s="285">
        <v>4</v>
      </c>
      <c r="H71" s="285">
        <v>5</v>
      </c>
      <c r="I71" s="285">
        <v>6</v>
      </c>
      <c r="J71" s="285">
        <v>7</v>
      </c>
      <c r="K71" s="285">
        <v>8</v>
      </c>
      <c r="L71" s="285">
        <v>9</v>
      </c>
      <c r="M71" s="285">
        <v>10</v>
      </c>
      <c r="N71" s="285">
        <v>11</v>
      </c>
      <c r="O71" s="285">
        <v>12</v>
      </c>
      <c r="P71" s="285">
        <v>13</v>
      </c>
      <c r="Q71" s="285">
        <v>14</v>
      </c>
      <c r="R71" s="285">
        <v>15</v>
      </c>
      <c r="S71" s="286">
        <v>16</v>
      </c>
    </row>
    <row r="72" spans="2:19" x14ac:dyDescent="0.25">
      <c r="B72" s="287" t="s">
        <v>612</v>
      </c>
      <c r="C72" s="288">
        <f>SUM(D72:K72)-2</f>
        <v>889223.71428571444</v>
      </c>
      <c r="D72" s="290">
        <f>D56*'Curs mediu pe anul 2015'!$C$12</f>
        <v>111153.21428571429</v>
      </c>
      <c r="E72" s="290">
        <f>E56*'Curs mediu pe anul 2015'!$C$12</f>
        <v>111153.21428571429</v>
      </c>
      <c r="F72" s="290">
        <f>F56*'Curs mediu pe anul 2015'!$C$12</f>
        <v>111153.21428571429</v>
      </c>
      <c r="G72" s="290">
        <f>G56*'Curs mediu pe anul 2015'!$C$12</f>
        <v>111153.21428571429</v>
      </c>
      <c r="H72" s="290">
        <f>H56*'Curs mediu pe anul 2015'!$C$12</f>
        <v>111153.21428571429</v>
      </c>
      <c r="I72" s="290">
        <f>I56*'Curs mediu pe anul 2015'!$C$12</f>
        <v>111153.21428571429</v>
      </c>
      <c r="J72" s="290">
        <f>J56*'Curs mediu pe anul 2015'!$C$12</f>
        <v>111153.21428571429</v>
      </c>
      <c r="K72" s="290">
        <f>K56*'Curs mediu pe anul 2015'!$C$12</f>
        <v>111153.21428571429</v>
      </c>
      <c r="L72" s="290">
        <f>L56*'Curs mediu pe anul 2015'!$C$12</f>
        <v>111153.21428571429</v>
      </c>
      <c r="M72" s="290">
        <f>M56*'Curs mediu pe anul 2015'!$C$12</f>
        <v>111153.21428571429</v>
      </c>
      <c r="N72" s="290">
        <f>N56*'Curs mediu pe anul 2015'!$C$12</f>
        <v>111153.21428571429</v>
      </c>
      <c r="O72" s="290">
        <f>O56*'Curs mediu pe anul 2015'!$C$12</f>
        <v>111153.21428571429</v>
      </c>
      <c r="P72" s="290">
        <f>P56*'Curs mediu pe anul 2015'!$C$12</f>
        <v>111153.21428571429</v>
      </c>
      <c r="Q72" s="290">
        <f>Q56*'Curs mediu pe anul 2015'!$C$12</f>
        <v>111153.21428571429</v>
      </c>
      <c r="R72" s="290">
        <f>R56*'Curs mediu pe anul 2015'!$C$12</f>
        <v>111153.21428571429</v>
      </c>
      <c r="S72" s="290">
        <f>S56*'Curs mediu pe anul 2015'!$C$12</f>
        <v>111153.21428571429</v>
      </c>
    </row>
    <row r="73" spans="2:19" x14ac:dyDescent="0.25">
      <c r="B73" s="287" t="s">
        <v>187</v>
      </c>
      <c r="C73" s="288">
        <f>SUM(D73:K73)+3</f>
        <v>177848.1428571429</v>
      </c>
      <c r="D73" s="290">
        <f>D57*'Curs mediu pe anul 2015'!$C$12</f>
        <v>22230.642857142859</v>
      </c>
      <c r="E73" s="290">
        <f>E57*'Curs mediu pe anul 2015'!$C$12</f>
        <v>22230.642857142859</v>
      </c>
      <c r="F73" s="290">
        <f>F57*'Curs mediu pe anul 2015'!$C$12</f>
        <v>22230.642857142859</v>
      </c>
      <c r="G73" s="290">
        <f>G57*'Curs mediu pe anul 2015'!$C$12</f>
        <v>22230.642857142859</v>
      </c>
      <c r="H73" s="290">
        <f>H57*'Curs mediu pe anul 2015'!$C$12</f>
        <v>22230.642857142859</v>
      </c>
      <c r="I73" s="290">
        <f>I57*'Curs mediu pe anul 2015'!$C$12</f>
        <v>22230.642857142859</v>
      </c>
      <c r="J73" s="290">
        <f>J57*'Curs mediu pe anul 2015'!$C$12</f>
        <v>22230.642857142859</v>
      </c>
      <c r="K73" s="290">
        <f>K57*'Curs mediu pe anul 2015'!$C$12</f>
        <v>22230.642857142859</v>
      </c>
      <c r="L73" s="290">
        <f>L57*'Curs mediu pe anul 2015'!$C$12</f>
        <v>22230.642857142859</v>
      </c>
      <c r="M73" s="290">
        <f>M57*'Curs mediu pe anul 2015'!$C$12</f>
        <v>22230.642857142859</v>
      </c>
      <c r="N73" s="290">
        <f>N57*'Curs mediu pe anul 2015'!$C$12</f>
        <v>22230.642857142859</v>
      </c>
      <c r="O73" s="290">
        <f>O57*'Curs mediu pe anul 2015'!$C$12</f>
        <v>22230.642857142859</v>
      </c>
      <c r="P73" s="290">
        <f>P57*'Curs mediu pe anul 2015'!$C$12</f>
        <v>22230.642857142859</v>
      </c>
      <c r="Q73" s="290">
        <f>Q57*'Curs mediu pe anul 2015'!$C$12</f>
        <v>22230.642857142859</v>
      </c>
      <c r="R73" s="290">
        <f>R57*'Curs mediu pe anul 2015'!$C$12</f>
        <v>22230.642857142859</v>
      </c>
      <c r="S73" s="290">
        <f>S57*'Curs mediu pe anul 2015'!$C$12</f>
        <v>22230.642857142859</v>
      </c>
    </row>
    <row r="74" spans="2:19" s="1" customFormat="1" ht="15.75" thickBot="1" x14ac:dyDescent="0.3">
      <c r="B74" s="291" t="s">
        <v>27</v>
      </c>
      <c r="C74" s="292"/>
      <c r="D74" s="293">
        <f>D72+D73</f>
        <v>133383.85714285716</v>
      </c>
      <c r="E74" s="293">
        <f t="shared" ref="E74:S74" si="31">E72+E73</f>
        <v>133383.85714285716</v>
      </c>
      <c r="F74" s="293">
        <f t="shared" si="31"/>
        <v>133383.85714285716</v>
      </c>
      <c r="G74" s="293">
        <f t="shared" si="31"/>
        <v>133383.85714285716</v>
      </c>
      <c r="H74" s="293">
        <f t="shared" si="31"/>
        <v>133383.85714285716</v>
      </c>
      <c r="I74" s="293">
        <f t="shared" si="31"/>
        <v>133383.85714285716</v>
      </c>
      <c r="J74" s="293">
        <f t="shared" si="31"/>
        <v>133383.85714285716</v>
      </c>
      <c r="K74" s="293">
        <f t="shared" si="31"/>
        <v>133383.85714285716</v>
      </c>
      <c r="L74" s="293">
        <f t="shared" si="31"/>
        <v>133383.85714285716</v>
      </c>
      <c r="M74" s="293">
        <f t="shared" si="31"/>
        <v>133383.85714285716</v>
      </c>
      <c r="N74" s="293">
        <f t="shared" si="31"/>
        <v>133383.85714285716</v>
      </c>
      <c r="O74" s="293">
        <f t="shared" si="31"/>
        <v>133383.85714285716</v>
      </c>
      <c r="P74" s="293">
        <f t="shared" si="31"/>
        <v>133383.85714285716</v>
      </c>
      <c r="Q74" s="293">
        <f t="shared" si="31"/>
        <v>133383.85714285716</v>
      </c>
      <c r="R74" s="293">
        <f t="shared" si="31"/>
        <v>133383.85714285716</v>
      </c>
      <c r="S74" s="294">
        <f t="shared" si="31"/>
        <v>133383.85714285716</v>
      </c>
    </row>
    <row r="76" spans="2:19" x14ac:dyDescent="0.25">
      <c r="D76" s="295">
        <f>((D74+D68)/'Curs mediu pe anul 2015'!$C$12)-(Redeventa!D63+Redeventa!D58)</f>
        <v>0</v>
      </c>
      <c r="E76" s="295">
        <f>((E74+E68)/'Curs mediu pe anul 2015'!$C$12)-(Redeventa!E63+Redeventa!E58)</f>
        <v>0</v>
      </c>
      <c r="F76" s="295">
        <f>((F74+F68)/'Curs mediu pe anul 2015'!$C$12)-(Redeventa!F63+Redeventa!F58)</f>
        <v>0</v>
      </c>
      <c r="G76" s="295">
        <f>((G74+G68)/'Curs mediu pe anul 2015'!$C$12)-(Redeventa!G63+Redeventa!G58)</f>
        <v>0</v>
      </c>
      <c r="H76" s="295">
        <f>((H74+H68)/'Curs mediu pe anul 2015'!$C$12)-(Redeventa!H63+Redeventa!H58)</f>
        <v>0</v>
      </c>
      <c r="I76" s="295">
        <f>((I74+I68)/'Curs mediu pe anul 2015'!$C$12)-(Redeventa!I63+Redeventa!I58)</f>
        <v>0</v>
      </c>
      <c r="J76" s="295">
        <f>((J74+J68)/'Curs mediu pe anul 2015'!$C$12)-(Redeventa!J63+Redeventa!J58)</f>
        <v>0</v>
      </c>
      <c r="K76" s="295">
        <f>((K74+K68)/'Curs mediu pe anul 2015'!$C$12)-(Redeventa!K63+Redeventa!K58)</f>
        <v>0</v>
      </c>
      <c r="L76" s="295">
        <f>((L74+L68)/'Curs mediu pe anul 2015'!$C$12)-(Redeventa!L63+Redeventa!L58)</f>
        <v>0</v>
      </c>
      <c r="M76" s="295">
        <f>((M74+M68)/'Curs mediu pe anul 2015'!$C$12)-(Redeventa!M63+Redeventa!M58)</f>
        <v>0</v>
      </c>
      <c r="N76" s="295">
        <f>((N74+N68)/'Curs mediu pe anul 2015'!$C$12)-(Redeventa!N63+Redeventa!N58)</f>
        <v>0</v>
      </c>
      <c r="O76" s="295">
        <f>((O74+O68)/'Curs mediu pe anul 2015'!$C$12)-(Redeventa!O63+Redeventa!O58)</f>
        <v>0</v>
      </c>
      <c r="P76" s="295">
        <f>((P74+P68)/'Curs mediu pe anul 2015'!$C$12)-(Redeventa!P63+Redeventa!P58)</f>
        <v>0</v>
      </c>
      <c r="Q76" s="295">
        <f>((Q74+Q68)/'Curs mediu pe anul 2015'!$C$12)-(Redeventa!Q63+Redeventa!Q58)</f>
        <v>0</v>
      </c>
      <c r="R76" s="295">
        <f>((R74+R68)/'Curs mediu pe anul 2015'!$C$12)-(Redeventa!R63+Redeventa!R58)</f>
        <v>0</v>
      </c>
      <c r="S76" s="295">
        <f>((S74+S68)/'Curs mediu pe anul 2015'!$C$12)-(Redeventa!S63+Redeventa!S58)</f>
        <v>0</v>
      </c>
    </row>
    <row r="81" spans="2:19" hidden="1" x14ac:dyDescent="0.25">
      <c r="B81" s="2" t="s">
        <v>17</v>
      </c>
      <c r="C81" s="281"/>
      <c r="D81" s="34">
        <v>1</v>
      </c>
      <c r="E81" s="34">
        <v>2</v>
      </c>
      <c r="F81" s="34">
        <v>3</v>
      </c>
      <c r="G81" s="34">
        <v>4</v>
      </c>
      <c r="H81" s="34">
        <v>5</v>
      </c>
      <c r="I81" s="34">
        <v>6</v>
      </c>
      <c r="J81" s="34">
        <v>7</v>
      </c>
      <c r="K81" s="34">
        <v>8</v>
      </c>
      <c r="L81" s="34">
        <v>9</v>
      </c>
      <c r="M81" s="34">
        <v>10</v>
      </c>
      <c r="N81" s="34">
        <v>11</v>
      </c>
      <c r="O81" s="34">
        <v>12</v>
      </c>
      <c r="P81" s="34">
        <v>13</v>
      </c>
      <c r="Q81" s="34">
        <v>14</v>
      </c>
      <c r="R81" s="34">
        <v>15</v>
      </c>
      <c r="S81" s="24">
        <v>16</v>
      </c>
    </row>
    <row r="82" spans="2:19" hidden="1" x14ac:dyDescent="0.25">
      <c r="B82" s="10" t="s">
        <v>612</v>
      </c>
      <c r="C82" s="31"/>
      <c r="D82" s="11">
        <f>'Sistem colectare'!$C$19+'Sistem colectare'!$C$34</f>
        <v>94086</v>
      </c>
      <c r="E82" s="11">
        <f>'Sistem colectare'!$C$19+'Sistem colectare'!$C$34</f>
        <v>94086</v>
      </c>
      <c r="F82" s="11">
        <f>'Sistem colectare'!$C$19+'Sistem colectare'!$C$34</f>
        <v>94086</v>
      </c>
      <c r="G82" s="11">
        <f>'Sistem colectare'!$C$19+'Sistem colectare'!$C$34</f>
        <v>94086</v>
      </c>
      <c r="H82" s="11">
        <f>'Sistem colectare'!$C$19+'Sistem colectare'!$C$34</f>
        <v>94086</v>
      </c>
      <c r="I82" s="11">
        <f>'Sistem colectare'!$C$19+'Sistem colectare'!$C$34</f>
        <v>94086</v>
      </c>
      <c r="J82" s="11">
        <f>'Sistem colectare'!$C$19+'Sistem colectare'!$C$34</f>
        <v>94086</v>
      </c>
      <c r="K82" s="11">
        <f>'Sistem colectare'!$C$19+'Sistem colectare'!$C$34</f>
        <v>94086</v>
      </c>
      <c r="L82" s="11">
        <f>'Sistem colectare'!$C$19+'Sistem colectare'!$C$34</f>
        <v>94086</v>
      </c>
      <c r="M82" s="11">
        <f>'Sistem colectare'!$C$19+'Sistem colectare'!$C$34</f>
        <v>94086</v>
      </c>
      <c r="N82" s="11">
        <f>'Sistem colectare'!$C$19+'Sistem colectare'!$C$34</f>
        <v>94086</v>
      </c>
      <c r="O82" s="11">
        <f>'Sistem colectare'!$C$19+'Sistem colectare'!$C$34</f>
        <v>94086</v>
      </c>
      <c r="P82" s="11">
        <f>'Sistem colectare'!$C$19+'Sistem colectare'!$C$34</f>
        <v>94086</v>
      </c>
      <c r="Q82" s="11">
        <f>'Sistem colectare'!$C$19+'Sistem colectare'!$C$34</f>
        <v>94086</v>
      </c>
      <c r="R82" s="11">
        <f>'Sistem colectare'!$C$19+'Sistem colectare'!$C$34</f>
        <v>94086</v>
      </c>
      <c r="S82" s="80">
        <f>'Sistem colectare'!$C$19+'Sistem colectare'!$C$34</f>
        <v>94086</v>
      </c>
    </row>
    <row r="83" spans="2:19" hidden="1" x14ac:dyDescent="0.25">
      <c r="B83" s="10" t="s">
        <v>187</v>
      </c>
      <c r="C83" s="31"/>
      <c r="D83" s="11">
        <f>'Sistem colectare'!$C$61</f>
        <v>66772</v>
      </c>
      <c r="E83" s="11">
        <f>'Sistem colectare'!$C$61</f>
        <v>66772</v>
      </c>
      <c r="F83" s="11">
        <f>'Sistem colectare'!$C$61</f>
        <v>66772</v>
      </c>
      <c r="G83" s="11">
        <f>'Sistem colectare'!$C$61</f>
        <v>66772</v>
      </c>
      <c r="H83" s="11">
        <f>'Sistem colectare'!$C$61</f>
        <v>66772</v>
      </c>
      <c r="I83" s="11">
        <f>'Sistem colectare'!$C$61</f>
        <v>66772</v>
      </c>
      <c r="J83" s="11">
        <f>'Sistem colectare'!$C$61</f>
        <v>66772</v>
      </c>
      <c r="K83" s="11">
        <f>'Sistem colectare'!$C$61</f>
        <v>66772</v>
      </c>
      <c r="L83" s="11">
        <f>'Sistem colectare'!$C$61</f>
        <v>66772</v>
      </c>
      <c r="M83" s="11">
        <f>'Sistem colectare'!$C$61</f>
        <v>66772</v>
      </c>
      <c r="N83" s="11">
        <f>'Sistem colectare'!$C$61</f>
        <v>66772</v>
      </c>
      <c r="O83" s="11">
        <f>'Sistem colectare'!$C$61</f>
        <v>66772</v>
      </c>
      <c r="P83" s="11">
        <f>'Sistem colectare'!$C$61</f>
        <v>66772</v>
      </c>
      <c r="Q83" s="11">
        <f>'Sistem colectare'!$C$61</f>
        <v>66772</v>
      </c>
      <c r="R83" s="11">
        <f>'Sistem colectare'!$C$61</f>
        <v>66772</v>
      </c>
      <c r="S83" s="80">
        <f>'Sistem colectare'!$C$61</f>
        <v>66772</v>
      </c>
    </row>
    <row r="84" spans="2:19" ht="15.75" hidden="1" thickBot="1" x14ac:dyDescent="0.3">
      <c r="B84" s="19" t="s">
        <v>27</v>
      </c>
      <c r="C84" s="280"/>
      <c r="D84" s="36">
        <f>D82+D83</f>
        <v>160858</v>
      </c>
      <c r="E84" s="36">
        <f t="shared" ref="E84:S84" si="32">E82+E83</f>
        <v>160858</v>
      </c>
      <c r="F84" s="36">
        <f t="shared" si="32"/>
        <v>160858</v>
      </c>
      <c r="G84" s="36">
        <f t="shared" si="32"/>
        <v>160858</v>
      </c>
      <c r="H84" s="36">
        <f t="shared" si="32"/>
        <v>160858</v>
      </c>
      <c r="I84" s="36">
        <f t="shared" si="32"/>
        <v>160858</v>
      </c>
      <c r="J84" s="36">
        <f t="shared" si="32"/>
        <v>160858</v>
      </c>
      <c r="K84" s="36">
        <f t="shared" si="32"/>
        <v>160858</v>
      </c>
      <c r="L84" s="36">
        <f t="shared" si="32"/>
        <v>160858</v>
      </c>
      <c r="M84" s="36">
        <f t="shared" si="32"/>
        <v>160858</v>
      </c>
      <c r="N84" s="36">
        <f t="shared" si="32"/>
        <v>160858</v>
      </c>
      <c r="O84" s="36">
        <f t="shared" si="32"/>
        <v>160858</v>
      </c>
      <c r="P84" s="36">
        <f t="shared" si="32"/>
        <v>160858</v>
      </c>
      <c r="Q84" s="36">
        <f t="shared" si="32"/>
        <v>160858</v>
      </c>
      <c r="R84" s="36">
        <f t="shared" si="32"/>
        <v>160858</v>
      </c>
      <c r="S84" s="81">
        <f t="shared" si="32"/>
        <v>160858</v>
      </c>
    </row>
    <row r="85" spans="2:19" hidden="1" x14ac:dyDescent="0.25"/>
    <row r="86" spans="2:19" ht="15.75" hidden="1" thickBot="1" x14ac:dyDescent="0.3"/>
    <row r="87" spans="2:19" ht="30" hidden="1" x14ac:dyDescent="0.25">
      <c r="B87" s="92" t="s">
        <v>615</v>
      </c>
      <c r="C87" s="277"/>
      <c r="D87" s="34">
        <v>1</v>
      </c>
      <c r="E87" s="34">
        <v>2</v>
      </c>
      <c r="F87" s="34">
        <v>3</v>
      </c>
      <c r="G87" s="34">
        <v>4</v>
      </c>
      <c r="H87" s="34">
        <v>5</v>
      </c>
      <c r="I87" s="34">
        <v>6</v>
      </c>
      <c r="J87" s="34">
        <v>7</v>
      </c>
      <c r="K87" s="34">
        <v>8</v>
      </c>
      <c r="L87" s="34">
        <v>9</v>
      </c>
      <c r="M87" s="34">
        <v>10</v>
      </c>
      <c r="N87" s="34">
        <v>11</v>
      </c>
      <c r="O87" s="34">
        <v>12</v>
      </c>
      <c r="P87" s="34">
        <v>13</v>
      </c>
      <c r="Q87" s="34">
        <v>14</v>
      </c>
      <c r="R87" s="34">
        <v>15</v>
      </c>
      <c r="S87" s="24">
        <v>16</v>
      </c>
    </row>
    <row r="88" spans="2:19" hidden="1" x14ac:dyDescent="0.25">
      <c r="B88" s="10" t="s">
        <v>612</v>
      </c>
      <c r="C88" s="31"/>
      <c r="D88" s="240">
        <f>D66/D82/12</f>
        <v>0.34969315736685447</v>
      </c>
      <c r="E88" s="240">
        <f t="shared" ref="E88:S88" si="33">E66/E82/12</f>
        <v>0.34969315736685447</v>
      </c>
      <c r="F88" s="240">
        <f t="shared" si="33"/>
        <v>0.34969315736685447</v>
      </c>
      <c r="G88" s="240">
        <f t="shared" si="33"/>
        <v>0.34969315736685447</v>
      </c>
      <c r="H88" s="240">
        <f t="shared" si="33"/>
        <v>0.34969315736685447</v>
      </c>
      <c r="I88" s="240">
        <f t="shared" si="33"/>
        <v>0.30747114771610934</v>
      </c>
      <c r="J88" s="240">
        <f t="shared" si="33"/>
        <v>0.30747114771610934</v>
      </c>
      <c r="K88" s="240">
        <f t="shared" si="33"/>
        <v>0.30747114771610934</v>
      </c>
      <c r="L88" s="240">
        <f t="shared" si="33"/>
        <v>0.30747114771610934</v>
      </c>
      <c r="M88" s="240">
        <f t="shared" si="33"/>
        <v>0.30747114771610934</v>
      </c>
      <c r="N88" s="240">
        <f t="shared" si="33"/>
        <v>0.30747114771610934</v>
      </c>
      <c r="O88" s="240">
        <f t="shared" si="33"/>
        <v>0.30747114771610934</v>
      </c>
      <c r="P88" s="240">
        <f t="shared" si="33"/>
        <v>0.30747114771610934</v>
      </c>
      <c r="Q88" s="240">
        <f t="shared" si="33"/>
        <v>0.30747114771610934</v>
      </c>
      <c r="R88" s="240">
        <f t="shared" si="33"/>
        <v>0.30747114771610934</v>
      </c>
      <c r="S88" s="241">
        <f t="shared" si="33"/>
        <v>0.30747114771610934</v>
      </c>
    </row>
    <row r="89" spans="2:19" hidden="1" x14ac:dyDescent="0.25">
      <c r="B89" s="10" t="s">
        <v>187</v>
      </c>
      <c r="C89" s="31"/>
      <c r="D89" s="147">
        <f>D67/D83/12</f>
        <v>0.35992419623869293</v>
      </c>
      <c r="E89" s="147">
        <f t="shared" ref="E89:S89" si="34">E67/E83/12</f>
        <v>0.35992419623869293</v>
      </c>
      <c r="F89" s="147">
        <f t="shared" si="34"/>
        <v>0.35992419623869293</v>
      </c>
      <c r="G89" s="147">
        <f t="shared" si="34"/>
        <v>0.35992419623869293</v>
      </c>
      <c r="H89" s="147">
        <f t="shared" si="34"/>
        <v>0.35992419623869293</v>
      </c>
      <c r="I89" s="147">
        <f t="shared" si="34"/>
        <v>0.35992419623869293</v>
      </c>
      <c r="J89" s="147">
        <f t="shared" si="34"/>
        <v>0.35992419623869293</v>
      </c>
      <c r="K89" s="147">
        <f t="shared" si="34"/>
        <v>0.35992419623869293</v>
      </c>
      <c r="L89" s="147">
        <f t="shared" si="34"/>
        <v>0.35992419623869293</v>
      </c>
      <c r="M89" s="147">
        <f t="shared" si="34"/>
        <v>0.35992419623869293</v>
      </c>
      <c r="N89" s="147">
        <f t="shared" si="34"/>
        <v>0.35992419623869293</v>
      </c>
      <c r="O89" s="147">
        <f t="shared" si="34"/>
        <v>0.35992419623869293</v>
      </c>
      <c r="P89" s="147">
        <f t="shared" si="34"/>
        <v>0.35992419623869293</v>
      </c>
      <c r="Q89" s="147">
        <f t="shared" si="34"/>
        <v>0.35992419623869293</v>
      </c>
      <c r="R89" s="147">
        <f t="shared" si="34"/>
        <v>0.35992419623869293</v>
      </c>
      <c r="S89" s="89">
        <f t="shared" si="34"/>
        <v>0.35992419623869293</v>
      </c>
    </row>
    <row r="90" spans="2:19" ht="15.75" hidden="1" thickBot="1" x14ac:dyDescent="0.3">
      <c r="B90" s="19" t="s">
        <v>27</v>
      </c>
      <c r="C90" s="280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4"/>
    </row>
    <row r="91" spans="2:19" hidden="1" x14ac:dyDescent="0.25"/>
    <row r="92" spans="2:19" ht="15.75" hidden="1" thickBot="1" x14ac:dyDescent="0.3"/>
    <row r="93" spans="2:19" ht="15.75" hidden="1" thickBot="1" x14ac:dyDescent="0.3">
      <c r="B93" s="242" t="s">
        <v>618</v>
      </c>
      <c r="C93" s="243"/>
      <c r="D93" s="243" t="s">
        <v>699</v>
      </c>
      <c r="E93" s="243" t="s">
        <v>619</v>
      </c>
      <c r="F93" s="243" t="s">
        <v>620</v>
      </c>
      <c r="G93" s="243" t="s">
        <v>621</v>
      </c>
      <c r="H93" s="243" t="s">
        <v>622</v>
      </c>
      <c r="I93" s="243" t="s">
        <v>623</v>
      </c>
      <c r="J93" s="243" t="s">
        <v>624</v>
      </c>
      <c r="K93" s="243" t="s">
        <v>625</v>
      </c>
      <c r="L93" s="243" t="s">
        <v>626</v>
      </c>
    </row>
    <row r="94" spans="2:19" ht="15.75" hidden="1" thickBot="1" x14ac:dyDescent="0.3">
      <c r="B94" s="244">
        <v>1</v>
      </c>
      <c r="C94" s="245"/>
      <c r="D94" s="245" t="s">
        <v>627</v>
      </c>
      <c r="E94" s="246">
        <f t="shared" ref="E94:L94" si="35">D29</f>
        <v>78077.986111111124</v>
      </c>
      <c r="F94" s="246">
        <f t="shared" si="35"/>
        <v>78077.986111111124</v>
      </c>
      <c r="G94" s="246">
        <f t="shared" si="35"/>
        <v>78077.986111111124</v>
      </c>
      <c r="H94" s="246">
        <f t="shared" si="35"/>
        <v>78077.986111111124</v>
      </c>
      <c r="I94" s="246">
        <f t="shared" si="35"/>
        <v>78077.986111111124</v>
      </c>
      <c r="J94" s="246">
        <f t="shared" si="35"/>
        <v>78077.986111111124</v>
      </c>
      <c r="K94" s="246">
        <f t="shared" si="35"/>
        <v>78077.986111111124</v>
      </c>
      <c r="L94" s="246">
        <f t="shared" si="35"/>
        <v>78077.986111111124</v>
      </c>
    </row>
    <row r="95" spans="2:19" ht="45.75" hidden="1" thickBot="1" x14ac:dyDescent="0.3">
      <c r="B95" s="244">
        <v>2</v>
      </c>
      <c r="C95" s="245"/>
      <c r="D95" s="245" t="s">
        <v>628</v>
      </c>
      <c r="E95" s="246">
        <f t="shared" ref="E95:L95" si="36">D56</f>
        <v>25000</v>
      </c>
      <c r="F95" s="246">
        <f t="shared" si="36"/>
        <v>25000</v>
      </c>
      <c r="G95" s="246">
        <f t="shared" si="36"/>
        <v>25000</v>
      </c>
      <c r="H95" s="246">
        <f t="shared" si="36"/>
        <v>25000</v>
      </c>
      <c r="I95" s="246">
        <f t="shared" si="36"/>
        <v>25000</v>
      </c>
      <c r="J95" s="246">
        <f t="shared" si="36"/>
        <v>25000</v>
      </c>
      <c r="K95" s="246">
        <f t="shared" si="36"/>
        <v>25000</v>
      </c>
      <c r="L95" s="246">
        <f t="shared" si="36"/>
        <v>25000</v>
      </c>
    </row>
    <row r="96" spans="2:19" ht="15.75" hidden="1" thickBot="1" x14ac:dyDescent="0.3">
      <c r="B96" s="247">
        <v>3</v>
      </c>
      <c r="C96" s="248"/>
      <c r="D96" s="248" t="s">
        <v>27</v>
      </c>
      <c r="E96" s="249">
        <f>E94+E95</f>
        <v>103077.98611111112</v>
      </c>
      <c r="F96" s="249">
        <f t="shared" ref="F96:L96" si="37">F94+F95</f>
        <v>103077.98611111112</v>
      </c>
      <c r="G96" s="249">
        <f t="shared" si="37"/>
        <v>103077.98611111112</v>
      </c>
      <c r="H96" s="249">
        <f t="shared" si="37"/>
        <v>103077.98611111112</v>
      </c>
      <c r="I96" s="249">
        <f t="shared" si="37"/>
        <v>103077.98611111112</v>
      </c>
      <c r="J96" s="249">
        <f t="shared" si="37"/>
        <v>103077.98611111112</v>
      </c>
      <c r="K96" s="249">
        <f t="shared" si="37"/>
        <v>103077.98611111112</v>
      </c>
      <c r="L96" s="249">
        <f t="shared" si="37"/>
        <v>103077.98611111112</v>
      </c>
    </row>
    <row r="97" spans="2:12" ht="15.75" hidden="1" thickBot="1" x14ac:dyDescent="0.3"/>
    <row r="98" spans="2:12" ht="15.75" hidden="1" thickBot="1" x14ac:dyDescent="0.3">
      <c r="B98" s="242" t="s">
        <v>618</v>
      </c>
      <c r="C98" s="243"/>
      <c r="D98" s="243" t="s">
        <v>699</v>
      </c>
      <c r="E98" s="243" t="s">
        <v>619</v>
      </c>
      <c r="F98" s="243" t="s">
        <v>620</v>
      </c>
      <c r="G98" s="243" t="s">
        <v>621</v>
      </c>
      <c r="H98" s="243" t="s">
        <v>622</v>
      </c>
      <c r="I98" s="243" t="s">
        <v>623</v>
      </c>
      <c r="J98" s="243" t="s">
        <v>624</v>
      </c>
      <c r="K98" s="243" t="s">
        <v>625</v>
      </c>
      <c r="L98" s="243" t="s">
        <v>626</v>
      </c>
    </row>
    <row r="99" spans="2:12" ht="15.75" hidden="1" thickBot="1" x14ac:dyDescent="0.3">
      <c r="B99" s="244">
        <v>1</v>
      </c>
      <c r="C99" s="245"/>
      <c r="D99" s="245" t="s">
        <v>627</v>
      </c>
      <c r="E99" s="246">
        <f t="shared" ref="E99:L99" si="38">D30</f>
        <v>64864.138888888891</v>
      </c>
      <c r="F99" s="246">
        <f t="shared" si="38"/>
        <v>64864.138888888891</v>
      </c>
      <c r="G99" s="246">
        <f t="shared" si="38"/>
        <v>64864.138888888891</v>
      </c>
      <c r="H99" s="246">
        <f t="shared" si="38"/>
        <v>64864.138888888891</v>
      </c>
      <c r="I99" s="246">
        <f t="shared" si="38"/>
        <v>64864.138888888891</v>
      </c>
      <c r="J99" s="246">
        <f t="shared" si="38"/>
        <v>64864.138888888891</v>
      </c>
      <c r="K99" s="246">
        <f t="shared" si="38"/>
        <v>64864.138888888891</v>
      </c>
      <c r="L99" s="246">
        <f t="shared" si="38"/>
        <v>64864.138888888891</v>
      </c>
    </row>
    <row r="100" spans="2:12" ht="45.75" hidden="1" thickBot="1" x14ac:dyDescent="0.3">
      <c r="B100" s="244">
        <v>2</v>
      </c>
      <c r="C100" s="245"/>
      <c r="D100" s="245" t="s">
        <v>628</v>
      </c>
      <c r="E100" s="246">
        <f t="shared" ref="E100:L100" si="39">D57</f>
        <v>5000</v>
      </c>
      <c r="F100" s="246">
        <f t="shared" si="39"/>
        <v>5000</v>
      </c>
      <c r="G100" s="246">
        <f t="shared" si="39"/>
        <v>5000</v>
      </c>
      <c r="H100" s="246">
        <f t="shared" si="39"/>
        <v>5000</v>
      </c>
      <c r="I100" s="246">
        <f t="shared" si="39"/>
        <v>5000</v>
      </c>
      <c r="J100" s="246">
        <f t="shared" si="39"/>
        <v>5000</v>
      </c>
      <c r="K100" s="246">
        <f t="shared" si="39"/>
        <v>5000</v>
      </c>
      <c r="L100" s="246">
        <f t="shared" si="39"/>
        <v>5000</v>
      </c>
    </row>
    <row r="101" spans="2:12" ht="15.75" hidden="1" thickBot="1" x14ac:dyDescent="0.3">
      <c r="B101" s="247">
        <v>3</v>
      </c>
      <c r="C101" s="248"/>
      <c r="D101" s="248" t="s">
        <v>27</v>
      </c>
      <c r="E101" s="249">
        <f>E99+E100</f>
        <v>69864.138888888891</v>
      </c>
      <c r="F101" s="249">
        <f t="shared" ref="F101:L101" si="40">F99+F100</f>
        <v>69864.138888888891</v>
      </c>
      <c r="G101" s="249">
        <f t="shared" si="40"/>
        <v>69864.138888888891</v>
      </c>
      <c r="H101" s="249">
        <f t="shared" si="40"/>
        <v>69864.138888888891</v>
      </c>
      <c r="I101" s="249">
        <f t="shared" si="40"/>
        <v>69864.138888888891</v>
      </c>
      <c r="J101" s="249">
        <f t="shared" si="40"/>
        <v>69864.138888888891</v>
      </c>
      <c r="K101" s="249">
        <f t="shared" si="40"/>
        <v>69864.138888888891</v>
      </c>
      <c r="L101" s="249">
        <f t="shared" si="40"/>
        <v>69864.138888888891</v>
      </c>
    </row>
    <row r="102" spans="2:12" hidden="1" x14ac:dyDescent="0.25"/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12"/>
  <sheetViews>
    <sheetView workbookViewId="0">
      <selection activeCell="F13" sqref="F13"/>
    </sheetView>
  </sheetViews>
  <sheetFormatPr defaultRowHeight="15" x14ac:dyDescent="0.25"/>
  <cols>
    <col min="3" max="3" width="15.140625" bestFit="1" customWidth="1"/>
  </cols>
  <sheetData>
    <row r="4" spans="1:3" x14ac:dyDescent="0.25">
      <c r="B4" s="1" t="s">
        <v>700</v>
      </c>
      <c r="C4" s="1" t="s">
        <v>701</v>
      </c>
    </row>
    <row r="5" spans="1:3" x14ac:dyDescent="0.25">
      <c r="A5">
        <v>1</v>
      </c>
      <c r="B5" t="s">
        <v>702</v>
      </c>
      <c r="C5" s="271">
        <v>4.4877000000000002</v>
      </c>
    </row>
    <row r="6" spans="1:3" x14ac:dyDescent="0.25">
      <c r="A6">
        <v>2</v>
      </c>
      <c r="B6" t="s">
        <v>703</v>
      </c>
      <c r="C6" s="271">
        <v>4.4320000000000004</v>
      </c>
    </row>
    <row r="7" spans="1:3" x14ac:dyDescent="0.25">
      <c r="A7">
        <v>3</v>
      </c>
      <c r="B7" t="s">
        <v>704</v>
      </c>
      <c r="C7" s="271">
        <v>4.4329999999999998</v>
      </c>
    </row>
    <row r="8" spans="1:3" x14ac:dyDescent="0.25">
      <c r="A8">
        <v>4</v>
      </c>
      <c r="B8" t="s">
        <v>705</v>
      </c>
      <c r="C8" s="271">
        <v>4.4165999999999999</v>
      </c>
    </row>
    <row r="9" spans="1:3" x14ac:dyDescent="0.25">
      <c r="A9">
        <v>5</v>
      </c>
      <c r="B9" t="s">
        <v>706</v>
      </c>
      <c r="C9" s="271">
        <v>4.4469000000000003</v>
      </c>
    </row>
    <row r="10" spans="1:3" x14ac:dyDescent="0.25">
      <c r="A10">
        <v>6</v>
      </c>
      <c r="B10" t="s">
        <v>707</v>
      </c>
      <c r="C10" s="271">
        <v>4.4682000000000004</v>
      </c>
    </row>
    <row r="11" spans="1:3" x14ac:dyDescent="0.25">
      <c r="B11" t="s">
        <v>708</v>
      </c>
      <c r="C11" s="271">
        <v>4.4385000000000003</v>
      </c>
    </row>
    <row r="12" spans="1:3" x14ac:dyDescent="0.25">
      <c r="B12" t="s">
        <v>709</v>
      </c>
      <c r="C12" s="272">
        <f>AVERAGE(C5:C11)</f>
        <v>4.4461285714285719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W145"/>
  <sheetViews>
    <sheetView topLeftCell="A96" workbookViewId="0">
      <selection activeCell="C112" sqref="C112"/>
    </sheetView>
  </sheetViews>
  <sheetFormatPr defaultRowHeight="15" x14ac:dyDescent="0.25"/>
  <cols>
    <col min="2" max="2" width="22.7109375" bestFit="1" customWidth="1"/>
    <col min="3" max="3" width="16.28515625" customWidth="1"/>
    <col min="4" max="5" width="12.7109375" customWidth="1"/>
    <col min="6" max="6" width="20.85546875" customWidth="1"/>
    <col min="7" max="7" width="15.28515625" customWidth="1"/>
    <col min="8" max="8" width="13.140625" bestFit="1" customWidth="1"/>
    <col min="9" max="9" width="16.140625" customWidth="1"/>
    <col min="10" max="10" width="13.7109375" customWidth="1"/>
    <col min="11" max="11" width="19.7109375" bestFit="1" customWidth="1"/>
    <col min="12" max="13" width="12.85546875" customWidth="1"/>
    <col min="14" max="14" width="15.85546875" customWidth="1"/>
    <col min="15" max="18" width="11" customWidth="1"/>
  </cols>
  <sheetData>
    <row r="2" spans="2:23" ht="15.75" thickBot="1" x14ac:dyDescent="0.3">
      <c r="B2" s="1" t="s">
        <v>1</v>
      </c>
    </row>
    <row r="3" spans="2:23" ht="15.75" thickBot="1" x14ac:dyDescent="0.3">
      <c r="B3" s="2"/>
      <c r="C3" s="3"/>
      <c r="D3" s="315" t="s">
        <v>165</v>
      </c>
      <c r="E3" s="315"/>
      <c r="F3" s="316"/>
      <c r="G3" s="317" t="s">
        <v>18</v>
      </c>
      <c r="H3" s="315"/>
      <c r="I3" s="318"/>
      <c r="K3" s="1" t="s">
        <v>409</v>
      </c>
    </row>
    <row r="4" spans="2:23" ht="63.75" customHeight="1" thickBot="1" x14ac:dyDescent="0.3">
      <c r="B4" s="4" t="s">
        <v>16</v>
      </c>
      <c r="C4" s="5" t="s">
        <v>17</v>
      </c>
      <c r="D4" s="7" t="s">
        <v>166</v>
      </c>
      <c r="E4" s="7" t="s">
        <v>167</v>
      </c>
      <c r="F4" s="69" t="s">
        <v>168</v>
      </c>
      <c r="G4" s="12" t="s">
        <v>162</v>
      </c>
      <c r="H4" s="13" t="s">
        <v>163</v>
      </c>
      <c r="I4" s="68" t="s">
        <v>164</v>
      </c>
      <c r="K4" s="330" t="s">
        <v>414</v>
      </c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2"/>
    </row>
    <row r="5" spans="2:23" ht="15.75" thickBot="1" x14ac:dyDescent="0.3">
      <c r="B5" s="224" t="s">
        <v>2</v>
      </c>
      <c r="C5" s="225">
        <f>Populatie!F8</f>
        <v>27359</v>
      </c>
      <c r="D5" s="11">
        <v>8689</v>
      </c>
      <c r="E5" s="11">
        <v>8689</v>
      </c>
      <c r="F5" s="70">
        <v>8689</v>
      </c>
      <c r="G5" s="10"/>
      <c r="H5" s="8"/>
      <c r="I5" s="9">
        <v>12</v>
      </c>
      <c r="K5" s="172"/>
      <c r="L5" s="173" t="s">
        <v>415</v>
      </c>
      <c r="M5" s="333" t="s">
        <v>416</v>
      </c>
      <c r="N5" s="334"/>
      <c r="O5" s="173"/>
      <c r="P5" s="335" t="s">
        <v>417</v>
      </c>
      <c r="Q5" s="336"/>
      <c r="R5" s="336"/>
      <c r="S5" s="336"/>
      <c r="T5" s="337"/>
      <c r="U5" s="173"/>
      <c r="V5" s="173"/>
      <c r="W5" s="173"/>
    </row>
    <row r="6" spans="2:23" ht="15.75" thickBot="1" x14ac:dyDescent="0.3">
      <c r="B6" s="10" t="s">
        <v>3</v>
      </c>
      <c r="C6" s="11">
        <f>Populatie!F13</f>
        <v>5456</v>
      </c>
      <c r="D6" s="8"/>
      <c r="E6" s="8"/>
      <c r="F6" s="54"/>
      <c r="G6" s="10"/>
      <c r="H6" s="8"/>
      <c r="I6" s="9"/>
      <c r="K6" s="172"/>
      <c r="L6" s="173" t="s">
        <v>418</v>
      </c>
      <c r="M6" s="333" t="s">
        <v>419</v>
      </c>
      <c r="N6" s="334"/>
      <c r="O6" s="173"/>
      <c r="P6" s="174" t="s">
        <v>420</v>
      </c>
      <c r="Q6" s="174" t="s">
        <v>421</v>
      </c>
      <c r="R6" s="175" t="s">
        <v>422</v>
      </c>
      <c r="S6" s="175" t="s">
        <v>423</v>
      </c>
      <c r="T6" s="173" t="s">
        <v>424</v>
      </c>
      <c r="U6" s="173"/>
      <c r="V6" s="173"/>
      <c r="W6" s="173"/>
    </row>
    <row r="7" spans="2:23" ht="15.75" thickBot="1" x14ac:dyDescent="0.3">
      <c r="B7" s="10" t="s">
        <v>4</v>
      </c>
      <c r="C7" s="11">
        <f>Populatie!F17</f>
        <v>2405</v>
      </c>
      <c r="D7" s="8"/>
      <c r="E7" s="8"/>
      <c r="F7" s="54"/>
      <c r="G7" s="10"/>
      <c r="H7" s="8"/>
      <c r="I7" s="9"/>
      <c r="K7" s="172"/>
      <c r="L7" s="173" t="s">
        <v>425</v>
      </c>
      <c r="M7" s="173" t="s">
        <v>426</v>
      </c>
      <c r="N7" s="173" t="s">
        <v>427</v>
      </c>
      <c r="O7" s="173"/>
      <c r="P7" s="176" t="s">
        <v>428</v>
      </c>
      <c r="Q7" s="177">
        <v>0.8</v>
      </c>
      <c r="R7" s="178">
        <v>0.15</v>
      </c>
      <c r="S7" s="178">
        <v>0.05</v>
      </c>
      <c r="T7" s="178">
        <v>1</v>
      </c>
      <c r="U7" s="173"/>
      <c r="V7" s="174"/>
      <c r="W7" s="174"/>
    </row>
    <row r="8" spans="2:23" ht="15.75" thickBot="1" x14ac:dyDescent="0.3">
      <c r="B8" s="10" t="s">
        <v>5</v>
      </c>
      <c r="C8" s="11">
        <f>Populatie!F19</f>
        <v>5826</v>
      </c>
      <c r="D8" s="8"/>
      <c r="E8" s="8"/>
      <c r="F8" s="54"/>
      <c r="G8" s="10"/>
      <c r="H8" s="8"/>
      <c r="I8" s="9"/>
      <c r="K8" s="172"/>
      <c r="L8" s="173" t="s">
        <v>429</v>
      </c>
      <c r="M8" s="173" t="s">
        <v>430</v>
      </c>
      <c r="N8" s="173" t="s">
        <v>431</v>
      </c>
      <c r="O8" s="173"/>
      <c r="P8" s="176" t="s">
        <v>432</v>
      </c>
      <c r="Q8" s="178">
        <v>0.3</v>
      </c>
      <c r="R8" s="178">
        <v>0.5</v>
      </c>
      <c r="S8" s="178">
        <v>0.2</v>
      </c>
      <c r="T8" s="178">
        <v>1</v>
      </c>
      <c r="U8" s="173"/>
      <c r="V8" s="174"/>
      <c r="W8" s="174"/>
    </row>
    <row r="9" spans="2:23" ht="15.75" thickBot="1" x14ac:dyDescent="0.3">
      <c r="B9" s="10" t="s">
        <v>6</v>
      </c>
      <c r="C9" s="11">
        <f>Populatie!F39</f>
        <v>2107</v>
      </c>
      <c r="D9" s="8"/>
      <c r="E9" s="8"/>
      <c r="F9" s="54"/>
      <c r="G9" s="10"/>
      <c r="H9" s="8"/>
      <c r="I9" s="9"/>
      <c r="K9" s="172"/>
      <c r="L9" s="173" t="s">
        <v>433</v>
      </c>
      <c r="M9" s="173" t="s">
        <v>434</v>
      </c>
      <c r="N9" s="333" t="s">
        <v>435</v>
      </c>
      <c r="O9" s="334"/>
      <c r="P9" s="176" t="s">
        <v>436</v>
      </c>
      <c r="Q9" s="178">
        <v>0.3</v>
      </c>
      <c r="R9" s="178">
        <v>0.2</v>
      </c>
      <c r="S9" s="178">
        <v>0.5</v>
      </c>
      <c r="T9" s="178">
        <v>1</v>
      </c>
      <c r="U9" s="173"/>
      <c r="V9" s="174"/>
      <c r="W9" s="174"/>
    </row>
    <row r="10" spans="2:23" ht="15.75" thickBot="1" x14ac:dyDescent="0.3">
      <c r="B10" s="10" t="s">
        <v>7</v>
      </c>
      <c r="C10" s="11">
        <f>Populatie!F40</f>
        <v>2326</v>
      </c>
      <c r="D10" s="8">
        <v>670</v>
      </c>
      <c r="E10" s="8">
        <v>670</v>
      </c>
      <c r="F10" s="54">
        <v>670</v>
      </c>
      <c r="G10" s="10">
        <f>'[1]zona 1'!F6</f>
        <v>2</v>
      </c>
      <c r="H10" s="8">
        <v>6</v>
      </c>
      <c r="I10" s="9">
        <v>1</v>
      </c>
      <c r="K10" s="172"/>
      <c r="L10" s="173" t="s">
        <v>437</v>
      </c>
      <c r="M10" s="173">
        <v>3</v>
      </c>
      <c r="N10" s="333" t="s">
        <v>438</v>
      </c>
      <c r="O10" s="334"/>
      <c r="P10" s="173"/>
      <c r="Q10" s="173"/>
      <c r="R10" s="173"/>
      <c r="S10" s="173"/>
      <c r="T10" s="173"/>
      <c r="U10" s="173"/>
      <c r="V10" s="173"/>
      <c r="W10" s="173"/>
    </row>
    <row r="11" spans="2:23" ht="15.75" thickBot="1" x14ac:dyDescent="0.3">
      <c r="B11" s="10" t="s">
        <v>10</v>
      </c>
      <c r="C11" s="11">
        <f>Populatie!F43</f>
        <v>5384</v>
      </c>
      <c r="D11" s="8"/>
      <c r="E11" s="8"/>
      <c r="F11" s="54"/>
      <c r="G11" s="10"/>
      <c r="H11" s="8"/>
      <c r="I11" s="9"/>
      <c r="K11" s="172"/>
      <c r="L11" s="173" t="s">
        <v>439</v>
      </c>
      <c r="M11" s="173">
        <v>100</v>
      </c>
      <c r="N11" s="333" t="s">
        <v>440</v>
      </c>
      <c r="O11" s="334"/>
      <c r="P11" s="173"/>
      <c r="Q11" s="173"/>
      <c r="R11" s="173"/>
      <c r="S11" s="173"/>
      <c r="T11" s="173"/>
      <c r="U11" s="173"/>
      <c r="V11" s="173"/>
      <c r="W11" s="173"/>
    </row>
    <row r="12" spans="2:23" ht="15.75" thickBot="1" x14ac:dyDescent="0.3">
      <c r="B12" s="10" t="s">
        <v>8</v>
      </c>
      <c r="C12" s="11">
        <f>Populatie!F37</f>
        <v>2289</v>
      </c>
      <c r="D12" s="8"/>
      <c r="E12" s="8"/>
      <c r="F12" s="54"/>
      <c r="G12" s="10"/>
      <c r="H12" s="8"/>
      <c r="I12" s="9"/>
      <c r="K12" s="172"/>
      <c r="L12" s="173" t="s">
        <v>441</v>
      </c>
      <c r="M12" s="173">
        <v>3</v>
      </c>
      <c r="N12" s="333" t="s">
        <v>442</v>
      </c>
      <c r="O12" s="338"/>
      <c r="P12" s="338"/>
      <c r="Q12" s="334"/>
      <c r="R12" s="173"/>
      <c r="S12" s="173"/>
      <c r="T12" s="173"/>
      <c r="U12" s="173"/>
      <c r="V12" s="173"/>
      <c r="W12" s="173"/>
    </row>
    <row r="13" spans="2:23" ht="15.75" thickBot="1" x14ac:dyDescent="0.3">
      <c r="B13" s="10" t="s">
        <v>9</v>
      </c>
      <c r="C13" s="11">
        <f>Populatie!F78</f>
        <v>1117</v>
      </c>
      <c r="D13" s="8">
        <v>298</v>
      </c>
      <c r="E13" s="8">
        <v>298</v>
      </c>
      <c r="F13" s="54">
        <v>298</v>
      </c>
      <c r="G13" s="10">
        <f>'[1]zona 1'!F16</f>
        <v>2</v>
      </c>
      <c r="H13" s="8">
        <f>'[1]zona 1'!G16</f>
        <v>5</v>
      </c>
      <c r="I13" s="9">
        <v>0</v>
      </c>
      <c r="K13" s="339" t="s">
        <v>443</v>
      </c>
      <c r="L13" s="340"/>
      <c r="M13" s="341"/>
      <c r="N13" s="342" t="s">
        <v>444</v>
      </c>
      <c r="O13" s="342" t="s">
        <v>445</v>
      </c>
      <c r="P13" s="342" t="s">
        <v>446</v>
      </c>
      <c r="Q13" s="342" t="s">
        <v>421</v>
      </c>
      <c r="R13" s="339" t="s">
        <v>447</v>
      </c>
      <c r="S13" s="341"/>
      <c r="T13" s="342" t="s">
        <v>448</v>
      </c>
      <c r="U13" s="179"/>
      <c r="V13" s="179"/>
      <c r="W13" s="179"/>
    </row>
    <row r="14" spans="2:23" ht="15.75" thickBot="1" x14ac:dyDescent="0.3">
      <c r="B14" s="10" t="s">
        <v>11</v>
      </c>
      <c r="C14" s="11">
        <f>Populatie!F87</f>
        <v>2220</v>
      </c>
      <c r="D14" s="8"/>
      <c r="E14" s="8"/>
      <c r="F14" s="54"/>
      <c r="G14" s="10"/>
      <c r="H14" s="8"/>
      <c r="I14" s="9"/>
      <c r="K14" s="180"/>
      <c r="L14" s="344" t="s">
        <v>449</v>
      </c>
      <c r="M14" s="345"/>
      <c r="N14" s="343"/>
      <c r="O14" s="343"/>
      <c r="P14" s="343"/>
      <c r="Q14" s="343"/>
      <c r="R14" s="179" t="s">
        <v>422</v>
      </c>
      <c r="S14" s="179" t="s">
        <v>423</v>
      </c>
      <c r="T14" s="343"/>
      <c r="U14" s="179" t="s">
        <v>422</v>
      </c>
      <c r="V14" s="179" t="s">
        <v>450</v>
      </c>
      <c r="W14" s="181"/>
    </row>
    <row r="15" spans="2:23" ht="15.75" thickBot="1" x14ac:dyDescent="0.3">
      <c r="B15" s="10" t="s">
        <v>12</v>
      </c>
      <c r="C15" s="11">
        <f>Populatie!F95</f>
        <v>2561</v>
      </c>
      <c r="D15" s="8"/>
      <c r="E15" s="8"/>
      <c r="F15" s="54"/>
      <c r="G15" s="10"/>
      <c r="H15" s="8"/>
      <c r="I15" s="9"/>
      <c r="K15" s="182"/>
      <c r="L15" s="183" t="s">
        <v>321</v>
      </c>
      <c r="M15" s="183" t="s">
        <v>322</v>
      </c>
      <c r="N15" s="183"/>
      <c r="O15" s="183"/>
      <c r="P15" s="183" t="s">
        <v>451</v>
      </c>
      <c r="Q15" s="183" t="s">
        <v>451</v>
      </c>
      <c r="R15" s="183" t="s">
        <v>451</v>
      </c>
      <c r="S15" s="183" t="s">
        <v>451</v>
      </c>
      <c r="T15" s="184" t="s">
        <v>429</v>
      </c>
      <c r="U15" s="184" t="s">
        <v>452</v>
      </c>
      <c r="V15" s="184" t="s">
        <v>452</v>
      </c>
      <c r="W15" s="184" t="s">
        <v>453</v>
      </c>
    </row>
    <row r="16" spans="2:23" ht="15.75" thickBot="1" x14ac:dyDescent="0.3">
      <c r="B16" s="10" t="s">
        <v>13</v>
      </c>
      <c r="C16" s="11">
        <f>Populatie!F98</f>
        <v>3444</v>
      </c>
      <c r="D16" s="8"/>
      <c r="E16" s="8"/>
      <c r="F16" s="54"/>
      <c r="G16" s="10"/>
      <c r="H16" s="8"/>
      <c r="I16" s="9"/>
      <c r="K16" s="172" t="s">
        <v>454</v>
      </c>
      <c r="L16" s="176">
        <v>32.649000000000001</v>
      </c>
      <c r="M16" s="176">
        <v>9.2194000000000003</v>
      </c>
      <c r="N16" s="176">
        <v>18.545999999999999</v>
      </c>
      <c r="O16" s="176">
        <v>52.988999999999997</v>
      </c>
      <c r="P16" s="176">
        <v>1.016</v>
      </c>
      <c r="Q16" s="176">
        <v>813</v>
      </c>
      <c r="R16" s="176">
        <v>152</v>
      </c>
      <c r="S16" s="176">
        <v>51</v>
      </c>
      <c r="T16" s="176">
        <v>33.494999999999997</v>
      </c>
      <c r="U16" s="185">
        <v>27</v>
      </c>
      <c r="V16" s="185">
        <v>90</v>
      </c>
      <c r="W16" s="185">
        <v>30</v>
      </c>
    </row>
    <row r="17" spans="2:23" ht="15.75" thickBot="1" x14ac:dyDescent="0.3">
      <c r="B17" s="10" t="s">
        <v>14</v>
      </c>
      <c r="C17" s="11">
        <f>Populatie!F102</f>
        <v>2802</v>
      </c>
      <c r="D17" s="8">
        <v>785</v>
      </c>
      <c r="E17" s="8">
        <v>785</v>
      </c>
      <c r="F17" s="54">
        <v>785</v>
      </c>
      <c r="G17" s="10">
        <f>'[1]zona 1'!F17</f>
        <v>2</v>
      </c>
      <c r="H17" s="8">
        <f>'[1]zona 1'!G17</f>
        <v>5</v>
      </c>
      <c r="I17" s="9">
        <v>1</v>
      </c>
      <c r="K17" s="172" t="s">
        <v>455</v>
      </c>
      <c r="L17" s="176">
        <v>0</v>
      </c>
      <c r="M17" s="176">
        <v>26.981000000000002</v>
      </c>
      <c r="N17" s="176">
        <v>6.9569999999999999</v>
      </c>
      <c r="O17" s="176">
        <v>19.876000000000001</v>
      </c>
      <c r="P17" s="176">
        <v>381</v>
      </c>
      <c r="Q17" s="176">
        <v>114</v>
      </c>
      <c r="R17" s="176">
        <v>191</v>
      </c>
      <c r="S17" s="176">
        <v>76</v>
      </c>
      <c r="T17" s="176">
        <v>8.0939999999999994</v>
      </c>
      <c r="U17" s="185">
        <v>92</v>
      </c>
      <c r="V17" s="185">
        <v>184</v>
      </c>
      <c r="W17" s="185">
        <v>74</v>
      </c>
    </row>
    <row r="18" spans="2:23" ht="15.75" thickBot="1" x14ac:dyDescent="0.3">
      <c r="B18" s="15" t="s">
        <v>15</v>
      </c>
      <c r="C18" s="11">
        <f>Populatie!F103</f>
        <v>2533</v>
      </c>
      <c r="D18" s="8">
        <v>723</v>
      </c>
      <c r="E18" s="8">
        <v>723</v>
      </c>
      <c r="F18" s="54">
        <v>723</v>
      </c>
      <c r="G18" s="10">
        <f>'[1]zona 1'!F25</f>
        <v>2</v>
      </c>
      <c r="H18" s="8">
        <f>'[1]zona 1'!G25</f>
        <v>9</v>
      </c>
      <c r="I18" s="9">
        <v>1</v>
      </c>
      <c r="K18" s="172" t="s">
        <v>456</v>
      </c>
      <c r="L18" s="176">
        <v>10.603999999999999</v>
      </c>
      <c r="M18" s="176">
        <v>57.945</v>
      </c>
      <c r="N18" s="176">
        <v>22.053000000000001</v>
      </c>
      <c r="O18" s="176">
        <v>63.008000000000003</v>
      </c>
      <c r="P18" s="176">
        <v>1.208</v>
      </c>
      <c r="Q18" s="176">
        <v>363</v>
      </c>
      <c r="R18" s="176">
        <v>242</v>
      </c>
      <c r="S18" s="176">
        <v>604</v>
      </c>
      <c r="T18" s="176">
        <v>20.565000000000001</v>
      </c>
      <c r="U18" s="185">
        <v>86</v>
      </c>
      <c r="V18" s="185">
        <v>187</v>
      </c>
      <c r="W18" s="185">
        <v>469</v>
      </c>
    </row>
    <row r="19" spans="2:23" s="1" customFormat="1" ht="15.75" thickBot="1" x14ac:dyDescent="0.3">
      <c r="B19" s="19" t="s">
        <v>27</v>
      </c>
      <c r="C19" s="171">
        <f>SUM(C5:C18)</f>
        <v>67829</v>
      </c>
      <c r="D19" s="23">
        <f>SUM(D5:D18)</f>
        <v>11165</v>
      </c>
      <c r="E19" s="23">
        <f t="shared" ref="E19:F19" si="0">SUM(E5:E18)</f>
        <v>11165</v>
      </c>
      <c r="F19" s="71">
        <f t="shared" si="0"/>
        <v>11165</v>
      </c>
      <c r="G19" s="72">
        <f>SUM(G5:G18)</f>
        <v>8</v>
      </c>
      <c r="H19" s="23">
        <f>SUM(H5:H18)</f>
        <v>25</v>
      </c>
      <c r="I19" s="73">
        <f>SUM(I5:I18)</f>
        <v>15</v>
      </c>
      <c r="K19" s="346" t="s">
        <v>457</v>
      </c>
      <c r="L19" s="347"/>
      <c r="M19" s="183" t="s">
        <v>458</v>
      </c>
      <c r="N19" s="183" t="s">
        <v>459</v>
      </c>
      <c r="O19" s="350" t="s">
        <v>460</v>
      </c>
      <c r="P19" s="351"/>
      <c r="Q19" s="350" t="s">
        <v>461</v>
      </c>
      <c r="R19" s="351"/>
      <c r="S19" s="183" t="s">
        <v>461</v>
      </c>
      <c r="T19" s="183"/>
      <c r="U19" s="183"/>
      <c r="V19" s="183"/>
      <c r="W19" s="173"/>
    </row>
    <row r="20" spans="2:23" ht="15.75" thickBot="1" x14ac:dyDescent="0.3">
      <c r="K20" s="348"/>
      <c r="L20" s="349"/>
      <c r="M20" s="183"/>
      <c r="N20" s="183"/>
      <c r="O20" s="183" t="s">
        <v>462</v>
      </c>
      <c r="P20" s="183" t="s">
        <v>463</v>
      </c>
      <c r="Q20" s="183" t="s">
        <v>462</v>
      </c>
      <c r="R20" s="183" t="s">
        <v>463</v>
      </c>
      <c r="S20" s="183"/>
      <c r="T20" s="350"/>
      <c r="U20" s="351"/>
      <c r="V20" s="183"/>
      <c r="W20" s="173"/>
    </row>
    <row r="21" spans="2:23" ht="15.75" thickBot="1" x14ac:dyDescent="0.3">
      <c r="H21">
        <f>G19*G18+H19*H18</f>
        <v>241</v>
      </c>
      <c r="K21" s="355" t="s">
        <v>454</v>
      </c>
      <c r="L21" s="186" t="s">
        <v>453</v>
      </c>
      <c r="M21" s="187">
        <v>119</v>
      </c>
      <c r="N21" s="188" t="s">
        <v>459</v>
      </c>
      <c r="O21" s="189"/>
      <c r="P21" s="189">
        <v>252</v>
      </c>
      <c r="Q21" s="189"/>
      <c r="R21" s="189">
        <v>30.14</v>
      </c>
      <c r="S21" s="176">
        <v>30.14</v>
      </c>
      <c r="T21" s="176"/>
      <c r="U21" s="176"/>
      <c r="V21" s="176"/>
      <c r="W21" s="173"/>
    </row>
    <row r="22" spans="2:23" ht="15.75" thickBot="1" x14ac:dyDescent="0.3">
      <c r="K22" s="356"/>
      <c r="L22" s="173" t="s">
        <v>464</v>
      </c>
      <c r="M22" s="185">
        <v>33.494999999999997</v>
      </c>
      <c r="N22" s="188" t="s">
        <v>459</v>
      </c>
      <c r="O22" s="176"/>
      <c r="P22" s="176">
        <v>22</v>
      </c>
      <c r="Q22" s="176"/>
      <c r="R22" s="189">
        <v>735.32600000000002</v>
      </c>
      <c r="S22" s="176">
        <v>735.32600000000002</v>
      </c>
      <c r="T22" s="176"/>
      <c r="U22" s="176"/>
      <c r="V22" s="176"/>
      <c r="W22" s="173"/>
    </row>
    <row r="23" spans="2:23" ht="15.75" thickBot="1" x14ac:dyDescent="0.3">
      <c r="B23" s="1" t="s">
        <v>132</v>
      </c>
      <c r="K23" s="357"/>
      <c r="L23" s="173" t="s">
        <v>422</v>
      </c>
      <c r="M23" s="185">
        <v>27</v>
      </c>
      <c r="N23" s="188" t="s">
        <v>459</v>
      </c>
      <c r="O23" s="176">
        <v>3.0449999999999999</v>
      </c>
      <c r="P23" s="176"/>
      <c r="Q23" s="176">
        <v>82.215000000000003</v>
      </c>
      <c r="R23" s="189">
        <v>0</v>
      </c>
      <c r="S23" s="176">
        <v>82.215000000000003</v>
      </c>
      <c r="T23" s="176"/>
      <c r="U23" s="176"/>
      <c r="V23" s="176"/>
      <c r="W23" s="173"/>
    </row>
    <row r="24" spans="2:23" ht="15.75" thickBot="1" x14ac:dyDescent="0.3">
      <c r="B24" s="2"/>
      <c r="C24" s="3"/>
      <c r="D24" s="315" t="s">
        <v>165</v>
      </c>
      <c r="E24" s="315"/>
      <c r="F24" s="316"/>
      <c r="G24" s="317" t="s">
        <v>18</v>
      </c>
      <c r="H24" s="315"/>
      <c r="I24" s="318"/>
      <c r="J24" s="65"/>
      <c r="K24" s="352" t="s">
        <v>465</v>
      </c>
      <c r="L24" s="353"/>
      <c r="M24" s="353"/>
      <c r="N24" s="353"/>
      <c r="O24" s="353"/>
      <c r="P24" s="354"/>
      <c r="Q24" s="190">
        <v>82.215000000000003</v>
      </c>
      <c r="R24" s="190">
        <v>765.46600000000001</v>
      </c>
      <c r="S24" s="190">
        <v>847.68100000000004</v>
      </c>
      <c r="T24" s="176"/>
      <c r="U24" s="176"/>
      <c r="V24" s="176"/>
      <c r="W24" s="173"/>
    </row>
    <row r="25" spans="2:23" ht="65.25" customHeight="1" thickBot="1" x14ac:dyDescent="0.3">
      <c r="B25" s="19" t="s">
        <v>16</v>
      </c>
      <c r="C25" s="20" t="s">
        <v>17</v>
      </c>
      <c r="D25" s="21" t="s">
        <v>166</v>
      </c>
      <c r="E25" s="22" t="s">
        <v>167</v>
      </c>
      <c r="F25" s="66" t="s">
        <v>168</v>
      </c>
      <c r="G25" s="12" t="s">
        <v>162</v>
      </c>
      <c r="H25" s="13" t="s">
        <v>163</v>
      </c>
      <c r="I25" s="68" t="s">
        <v>164</v>
      </c>
      <c r="K25" s="191"/>
      <c r="L25" s="186" t="s">
        <v>453</v>
      </c>
      <c r="M25" s="176">
        <v>258</v>
      </c>
      <c r="N25" s="190"/>
      <c r="O25" s="189"/>
      <c r="P25" s="189">
        <v>252</v>
      </c>
      <c r="Q25" s="189"/>
      <c r="R25" s="189">
        <v>65.025000000000006</v>
      </c>
      <c r="S25" s="176">
        <v>65.025000000000006</v>
      </c>
      <c r="T25" s="176"/>
      <c r="U25" s="176"/>
      <c r="V25" s="176"/>
      <c r="W25" s="173"/>
    </row>
    <row r="26" spans="2:23" ht="15.75" thickBot="1" x14ac:dyDescent="0.3">
      <c r="B26" s="16" t="s">
        <v>133</v>
      </c>
      <c r="C26" s="17">
        <f>Populatie!F16</f>
        <v>3299</v>
      </c>
      <c r="D26" s="17">
        <v>326</v>
      </c>
      <c r="E26" s="17">
        <v>326</v>
      </c>
      <c r="F26" s="55">
        <v>326</v>
      </c>
      <c r="G26" s="16">
        <v>1</v>
      </c>
      <c r="H26" s="17">
        <v>9</v>
      </c>
      <c r="I26" s="18">
        <v>4</v>
      </c>
      <c r="K26" s="191"/>
      <c r="L26" s="173" t="s">
        <v>464</v>
      </c>
      <c r="M26" s="176">
        <v>8.0939999999999994</v>
      </c>
      <c r="N26" s="190"/>
      <c r="O26" s="173"/>
      <c r="P26" s="176">
        <v>22</v>
      </c>
      <c r="Q26" s="173"/>
      <c r="R26" s="189">
        <v>177.7</v>
      </c>
      <c r="S26" s="176">
        <v>177.7</v>
      </c>
      <c r="T26" s="176"/>
      <c r="U26" s="176"/>
      <c r="V26" s="176"/>
      <c r="W26" s="173"/>
    </row>
    <row r="27" spans="2:23" ht="15.75" thickBot="1" x14ac:dyDescent="0.3">
      <c r="B27" s="15" t="s">
        <v>134</v>
      </c>
      <c r="C27" s="8">
        <f>Populatie!F29</f>
        <v>1867</v>
      </c>
      <c r="D27" s="8">
        <v>192</v>
      </c>
      <c r="E27" s="8">
        <v>192</v>
      </c>
      <c r="F27" s="54">
        <v>192</v>
      </c>
      <c r="G27" s="10">
        <v>1</v>
      </c>
      <c r="H27" s="8">
        <v>5</v>
      </c>
      <c r="I27" s="9">
        <v>3</v>
      </c>
      <c r="K27" s="192" t="s">
        <v>455</v>
      </c>
      <c r="L27" s="173" t="s">
        <v>422</v>
      </c>
      <c r="M27" s="176">
        <v>92</v>
      </c>
      <c r="N27" s="188" t="s">
        <v>459</v>
      </c>
      <c r="O27" s="176">
        <v>3.0449999999999999</v>
      </c>
      <c r="P27" s="173"/>
      <c r="Q27" s="176">
        <v>280.14</v>
      </c>
      <c r="R27" s="189">
        <v>0</v>
      </c>
      <c r="S27" s="176">
        <v>280.14</v>
      </c>
      <c r="T27" s="176"/>
      <c r="U27" s="176"/>
      <c r="V27" s="176"/>
      <c r="W27" s="173"/>
    </row>
    <row r="28" spans="2:23" ht="15.75" thickBot="1" x14ac:dyDescent="0.3">
      <c r="B28" s="15" t="s">
        <v>135</v>
      </c>
      <c r="C28" s="8">
        <f>Populatie!F44</f>
        <v>3784</v>
      </c>
      <c r="D28" s="8">
        <v>416</v>
      </c>
      <c r="E28" s="8">
        <v>416</v>
      </c>
      <c r="F28" s="54">
        <v>416</v>
      </c>
      <c r="G28" s="10">
        <v>1</v>
      </c>
      <c r="H28" s="8">
        <v>11</v>
      </c>
      <c r="I28" s="9">
        <v>6</v>
      </c>
      <c r="K28" s="352" t="s">
        <v>466</v>
      </c>
      <c r="L28" s="353"/>
      <c r="M28" s="353"/>
      <c r="N28" s="353"/>
      <c r="O28" s="353"/>
      <c r="P28" s="354"/>
      <c r="Q28" s="190">
        <v>280.14</v>
      </c>
      <c r="R28" s="190">
        <v>242.72399999999999</v>
      </c>
      <c r="S28" s="190">
        <v>522.86400000000003</v>
      </c>
      <c r="T28" s="176"/>
      <c r="U28" s="176"/>
      <c r="V28" s="176"/>
      <c r="W28" s="173"/>
    </row>
    <row r="29" spans="2:23" ht="15.75" thickBot="1" x14ac:dyDescent="0.3">
      <c r="B29" s="15" t="s">
        <v>136</v>
      </c>
      <c r="C29" s="8">
        <f>Populatie!F52</f>
        <v>3201</v>
      </c>
      <c r="D29" s="8">
        <v>317</v>
      </c>
      <c r="E29" s="8">
        <v>317</v>
      </c>
      <c r="F29" s="54">
        <v>317</v>
      </c>
      <c r="G29" s="10">
        <v>1</v>
      </c>
      <c r="H29" s="8">
        <v>8</v>
      </c>
      <c r="I29" s="9">
        <v>4</v>
      </c>
      <c r="K29" s="355" t="s">
        <v>456</v>
      </c>
      <c r="L29" s="186" t="s">
        <v>453</v>
      </c>
      <c r="M29" s="176">
        <v>656</v>
      </c>
      <c r="N29" s="188" t="s">
        <v>459</v>
      </c>
      <c r="O29" s="189"/>
      <c r="P29" s="189">
        <v>252</v>
      </c>
      <c r="Q29" s="189"/>
      <c r="R29" s="189">
        <v>165.566</v>
      </c>
      <c r="S29" s="176">
        <v>165.566</v>
      </c>
      <c r="T29" s="176"/>
      <c r="U29" s="176"/>
      <c r="V29" s="176"/>
      <c r="W29" s="173"/>
    </row>
    <row r="30" spans="2:23" ht="15.75" thickBot="1" x14ac:dyDescent="0.3">
      <c r="B30" s="15" t="s">
        <v>137</v>
      </c>
      <c r="C30" s="8">
        <f>Populatie!F72</f>
        <v>3870</v>
      </c>
      <c r="D30" s="8">
        <v>395</v>
      </c>
      <c r="E30" s="8">
        <v>395</v>
      </c>
      <c r="F30" s="54">
        <v>395</v>
      </c>
      <c r="G30" s="10">
        <v>1</v>
      </c>
      <c r="H30" s="8">
        <v>11</v>
      </c>
      <c r="I30" s="9">
        <v>5</v>
      </c>
      <c r="K30" s="356"/>
      <c r="L30" s="173" t="s">
        <v>464</v>
      </c>
      <c r="M30" s="176">
        <v>20.565000000000001</v>
      </c>
      <c r="N30" s="188" t="s">
        <v>459</v>
      </c>
      <c r="O30" s="173"/>
      <c r="P30" s="176">
        <v>22</v>
      </c>
      <c r="Q30" s="173"/>
      <c r="R30" s="189">
        <v>451.46800000000002</v>
      </c>
      <c r="S30" s="176">
        <v>451.46800000000002</v>
      </c>
      <c r="T30" s="176"/>
      <c r="U30" s="176"/>
      <c r="V30" s="176"/>
      <c r="W30" s="173"/>
    </row>
    <row r="31" spans="2:23" ht="15.75" thickBot="1" x14ac:dyDescent="0.3">
      <c r="B31" s="15" t="s">
        <v>138</v>
      </c>
      <c r="C31" s="8">
        <f>Populatie!F74</f>
        <v>1442</v>
      </c>
      <c r="D31" s="8">
        <v>153</v>
      </c>
      <c r="E31" s="8">
        <v>153</v>
      </c>
      <c r="F31" s="54">
        <v>153</v>
      </c>
      <c r="G31" s="10">
        <v>1</v>
      </c>
      <c r="H31" s="8">
        <v>4</v>
      </c>
      <c r="I31" s="9">
        <v>2</v>
      </c>
      <c r="K31" s="357"/>
      <c r="L31" s="173" t="s">
        <v>422</v>
      </c>
      <c r="M31" s="176">
        <v>86</v>
      </c>
      <c r="N31" s="188" t="s">
        <v>459</v>
      </c>
      <c r="O31" s="176">
        <v>3.0449999999999999</v>
      </c>
      <c r="P31" s="173"/>
      <c r="Q31" s="176">
        <v>262.47899999999998</v>
      </c>
      <c r="R31" s="189">
        <v>0</v>
      </c>
      <c r="S31" s="176">
        <v>262.47899999999998</v>
      </c>
      <c r="T31" s="176"/>
      <c r="U31" s="176"/>
      <c r="V31" s="176"/>
      <c r="W31" s="173"/>
    </row>
    <row r="32" spans="2:23" ht="15.75" thickBot="1" x14ac:dyDescent="0.3">
      <c r="B32" s="15" t="s">
        <v>139</v>
      </c>
      <c r="C32" s="8">
        <f>Populatie!F76</f>
        <v>5702</v>
      </c>
      <c r="D32" s="8">
        <v>586</v>
      </c>
      <c r="E32" s="8">
        <v>586</v>
      </c>
      <c r="F32" s="54">
        <v>586</v>
      </c>
      <c r="G32" s="10">
        <v>1</v>
      </c>
      <c r="H32" s="8">
        <v>16</v>
      </c>
      <c r="I32" s="9">
        <v>8</v>
      </c>
      <c r="K32" s="352" t="s">
        <v>467</v>
      </c>
      <c r="L32" s="353"/>
      <c r="M32" s="353"/>
      <c r="N32" s="353"/>
      <c r="O32" s="353"/>
      <c r="P32" s="354"/>
      <c r="Q32" s="190">
        <v>262.47899999999998</v>
      </c>
      <c r="R32" s="190">
        <v>617.03300000000002</v>
      </c>
      <c r="S32" s="190">
        <v>879.51199999999994</v>
      </c>
      <c r="T32" s="176"/>
      <c r="U32" s="176"/>
      <c r="V32" s="176"/>
      <c r="W32" s="173"/>
    </row>
    <row r="33" spans="2:23" ht="15.75" thickBot="1" x14ac:dyDescent="0.3">
      <c r="B33" s="15" t="s">
        <v>140</v>
      </c>
      <c r="C33" s="8">
        <f>Populatie!F106</f>
        <v>3092</v>
      </c>
      <c r="D33" s="8">
        <v>313</v>
      </c>
      <c r="E33" s="8">
        <v>313</v>
      </c>
      <c r="F33" s="54">
        <v>313</v>
      </c>
      <c r="G33" s="10">
        <v>1</v>
      </c>
      <c r="H33" s="8">
        <v>8</v>
      </c>
      <c r="I33" s="9">
        <v>4</v>
      </c>
      <c r="K33" s="352" t="s">
        <v>468</v>
      </c>
      <c r="L33" s="353"/>
      <c r="M33" s="353"/>
      <c r="N33" s="353"/>
      <c r="O33" s="353"/>
      <c r="P33" s="354"/>
      <c r="Q33" s="190">
        <v>624.83399999999995</v>
      </c>
      <c r="R33" s="190" t="s">
        <v>469</v>
      </c>
      <c r="S33" s="190" t="s">
        <v>470</v>
      </c>
      <c r="T33" s="176"/>
      <c r="U33" s="176"/>
      <c r="V33" s="176"/>
      <c r="W33" s="173"/>
    </row>
    <row r="34" spans="2:23" s="1" customFormat="1" ht="15.75" thickBot="1" x14ac:dyDescent="0.3">
      <c r="B34" s="19" t="s">
        <v>27</v>
      </c>
      <c r="C34" s="20">
        <f>SUM(C26:C33)</f>
        <v>26257</v>
      </c>
      <c r="D34" s="20">
        <f>SUM(D26:D33)</f>
        <v>2698</v>
      </c>
      <c r="E34" s="20">
        <f t="shared" ref="E34:F34" si="1">SUM(E26:E33)</f>
        <v>2698</v>
      </c>
      <c r="F34" s="67">
        <f t="shared" si="1"/>
        <v>2698</v>
      </c>
      <c r="G34" s="19">
        <f>SUM(G26:G33)</f>
        <v>8</v>
      </c>
      <c r="H34" s="20">
        <f>SUM(H26:H33)</f>
        <v>72</v>
      </c>
      <c r="I34" s="74">
        <f>SUM(I26:I33)</f>
        <v>36</v>
      </c>
    </row>
    <row r="37" spans="2:23" ht="15.75" thickBot="1" x14ac:dyDescent="0.3">
      <c r="B37" s="1" t="s">
        <v>141</v>
      </c>
    </row>
    <row r="38" spans="2:23" x14ac:dyDescent="0.25">
      <c r="B38" s="2"/>
      <c r="C38" s="3"/>
      <c r="D38" s="315" t="s">
        <v>165</v>
      </c>
      <c r="E38" s="315"/>
      <c r="F38" s="316"/>
      <c r="G38" s="317" t="s">
        <v>18</v>
      </c>
      <c r="H38" s="315"/>
      <c r="I38" s="318"/>
    </row>
    <row r="39" spans="2:23" ht="66" customHeight="1" thickBot="1" x14ac:dyDescent="0.3">
      <c r="B39" s="19" t="s">
        <v>16</v>
      </c>
      <c r="C39" s="20" t="s">
        <v>17</v>
      </c>
      <c r="D39" s="21" t="s">
        <v>166</v>
      </c>
      <c r="E39" s="22" t="s">
        <v>167</v>
      </c>
      <c r="F39" s="66" t="s">
        <v>168</v>
      </c>
      <c r="G39" s="12" t="s">
        <v>162</v>
      </c>
      <c r="H39" s="13" t="s">
        <v>163</v>
      </c>
      <c r="I39" s="68" t="s">
        <v>164</v>
      </c>
    </row>
    <row r="40" spans="2:23" x14ac:dyDescent="0.25">
      <c r="B40" s="226" t="s">
        <v>142</v>
      </c>
      <c r="C40" s="227">
        <f>Populatie!F9</f>
        <v>10375</v>
      </c>
      <c r="D40" s="3"/>
      <c r="E40" s="3"/>
      <c r="F40" s="56"/>
      <c r="G40" s="10"/>
      <c r="H40" s="8"/>
      <c r="I40" s="9"/>
    </row>
    <row r="41" spans="2:23" x14ac:dyDescent="0.25">
      <c r="B41" s="15" t="s">
        <v>143</v>
      </c>
      <c r="C41" s="8">
        <f>Populatie!F21</f>
        <v>5142</v>
      </c>
      <c r="D41" s="8">
        <v>551</v>
      </c>
      <c r="E41" s="8">
        <f>D41</f>
        <v>551</v>
      </c>
      <c r="F41" s="54">
        <f>E41</f>
        <v>551</v>
      </c>
      <c r="G41" s="10">
        <v>1</v>
      </c>
      <c r="H41" s="8">
        <v>4</v>
      </c>
      <c r="I41" s="9">
        <v>19</v>
      </c>
    </row>
    <row r="42" spans="2:23" x14ac:dyDescent="0.25">
      <c r="B42" s="15" t="s">
        <v>144</v>
      </c>
      <c r="C42" s="8">
        <f>Populatie!F33</f>
        <v>5975</v>
      </c>
      <c r="D42" s="8">
        <v>606</v>
      </c>
      <c r="E42" s="8">
        <f t="shared" ref="E42:F42" si="2">D42</f>
        <v>606</v>
      </c>
      <c r="F42" s="54">
        <f t="shared" si="2"/>
        <v>606</v>
      </c>
      <c r="G42" s="10">
        <v>1</v>
      </c>
      <c r="H42" s="8">
        <v>4</v>
      </c>
      <c r="I42" s="9">
        <v>21</v>
      </c>
    </row>
    <row r="43" spans="2:23" x14ac:dyDescent="0.25">
      <c r="B43" s="15" t="s">
        <v>145</v>
      </c>
      <c r="C43" s="8">
        <f>Populatie!F34</f>
        <v>2562</v>
      </c>
      <c r="D43" s="8">
        <v>265</v>
      </c>
      <c r="E43" s="8">
        <f t="shared" ref="E43:F43" si="3">D43</f>
        <v>265</v>
      </c>
      <c r="F43" s="54">
        <f t="shared" si="3"/>
        <v>265</v>
      </c>
      <c r="G43" s="10">
        <v>1</v>
      </c>
      <c r="H43" s="8">
        <v>2</v>
      </c>
      <c r="I43" s="9">
        <v>9</v>
      </c>
    </row>
    <row r="44" spans="2:23" x14ac:dyDescent="0.25">
      <c r="B44" s="15" t="s">
        <v>146</v>
      </c>
      <c r="C44" s="8">
        <f>Populatie!F56</f>
        <v>2480</v>
      </c>
      <c r="D44" s="8">
        <v>248</v>
      </c>
      <c r="E44" s="8">
        <f t="shared" ref="E44:F44" si="4">D44</f>
        <v>248</v>
      </c>
      <c r="F44" s="54">
        <f t="shared" si="4"/>
        <v>248</v>
      </c>
      <c r="G44" s="10">
        <v>1</v>
      </c>
      <c r="H44" s="8">
        <v>2</v>
      </c>
      <c r="I44" s="9">
        <v>8</v>
      </c>
    </row>
    <row r="45" spans="2:23" x14ac:dyDescent="0.25">
      <c r="B45" s="15" t="s">
        <v>147</v>
      </c>
      <c r="C45" s="8">
        <f>Populatie!F58</f>
        <v>2292</v>
      </c>
      <c r="D45" s="8">
        <v>249</v>
      </c>
      <c r="E45" s="8">
        <f t="shared" ref="E45:F45" si="5">D45</f>
        <v>249</v>
      </c>
      <c r="F45" s="54">
        <f t="shared" si="5"/>
        <v>249</v>
      </c>
      <c r="G45" s="10">
        <v>1</v>
      </c>
      <c r="H45" s="8">
        <v>2</v>
      </c>
      <c r="I45" s="9">
        <v>8</v>
      </c>
    </row>
    <row r="46" spans="2:23" x14ac:dyDescent="0.25">
      <c r="B46" s="15" t="s">
        <v>148</v>
      </c>
      <c r="C46" s="8">
        <f>Populatie!F61</f>
        <v>2954</v>
      </c>
      <c r="D46" s="8">
        <v>288</v>
      </c>
      <c r="E46" s="8">
        <f t="shared" ref="E46:F46" si="6">D46</f>
        <v>288</v>
      </c>
      <c r="F46" s="54">
        <f t="shared" si="6"/>
        <v>288</v>
      </c>
      <c r="G46" s="10">
        <v>1</v>
      </c>
      <c r="H46" s="8">
        <v>2</v>
      </c>
      <c r="I46" s="9">
        <v>10</v>
      </c>
    </row>
    <row r="47" spans="2:23" x14ac:dyDescent="0.25">
      <c r="B47" s="10" t="s">
        <v>169</v>
      </c>
      <c r="C47" s="8"/>
      <c r="D47" s="8">
        <v>1060</v>
      </c>
      <c r="E47" s="8">
        <f t="shared" ref="E47:F47" si="7">D47</f>
        <v>1060</v>
      </c>
      <c r="F47" s="54">
        <f t="shared" si="7"/>
        <v>1060</v>
      </c>
      <c r="G47" s="10">
        <v>1</v>
      </c>
      <c r="H47" s="8">
        <v>7</v>
      </c>
      <c r="I47" s="9">
        <v>36</v>
      </c>
    </row>
    <row r="48" spans="2:23" x14ac:dyDescent="0.25">
      <c r="B48" s="15" t="s">
        <v>149</v>
      </c>
      <c r="C48" s="8">
        <f>Populatie!F68</f>
        <v>2544</v>
      </c>
      <c r="D48" s="8">
        <v>262</v>
      </c>
      <c r="E48" s="8">
        <f t="shared" ref="E48:F49" si="8">D48</f>
        <v>262</v>
      </c>
      <c r="F48" s="54">
        <f t="shared" si="8"/>
        <v>262</v>
      </c>
      <c r="G48" s="10">
        <v>1</v>
      </c>
      <c r="H48" s="8">
        <v>2</v>
      </c>
      <c r="I48" s="9">
        <v>9</v>
      </c>
    </row>
    <row r="49" spans="2:14" x14ac:dyDescent="0.25">
      <c r="B49" s="15" t="s">
        <v>150</v>
      </c>
      <c r="C49" s="8">
        <f>Populatie!F71</f>
        <v>2242</v>
      </c>
      <c r="D49" s="8">
        <v>250</v>
      </c>
      <c r="E49" s="8">
        <f t="shared" si="8"/>
        <v>250</v>
      </c>
      <c r="F49" s="54">
        <f t="shared" si="8"/>
        <v>250</v>
      </c>
      <c r="G49" s="10">
        <v>1</v>
      </c>
      <c r="H49" s="8">
        <v>2</v>
      </c>
      <c r="I49" s="9">
        <v>9</v>
      </c>
    </row>
    <row r="50" spans="2:14" x14ac:dyDescent="0.25">
      <c r="B50" s="15" t="s">
        <v>151</v>
      </c>
      <c r="C50" s="8">
        <f>Populatie!F73</f>
        <v>2387</v>
      </c>
      <c r="D50" s="8">
        <v>252</v>
      </c>
      <c r="E50" s="8">
        <f t="shared" ref="E50:F50" si="9">D50</f>
        <v>252</v>
      </c>
      <c r="F50" s="54">
        <f t="shared" si="9"/>
        <v>252</v>
      </c>
      <c r="G50" s="10">
        <v>1</v>
      </c>
      <c r="H50" s="8">
        <v>2</v>
      </c>
      <c r="I50" s="9">
        <v>9</v>
      </c>
    </row>
    <row r="51" spans="2:14" x14ac:dyDescent="0.25">
      <c r="B51" s="15" t="s">
        <v>152</v>
      </c>
      <c r="C51" s="8">
        <f>Populatie!F80</f>
        <v>2191</v>
      </c>
      <c r="D51" s="8">
        <v>228</v>
      </c>
      <c r="E51" s="8">
        <f t="shared" ref="E51:F51" si="10">D51</f>
        <v>228</v>
      </c>
      <c r="F51" s="54">
        <f t="shared" si="10"/>
        <v>228</v>
      </c>
      <c r="G51" s="10">
        <v>1</v>
      </c>
      <c r="H51" s="8">
        <v>1</v>
      </c>
      <c r="I51" s="9">
        <v>8</v>
      </c>
    </row>
    <row r="52" spans="2:14" x14ac:dyDescent="0.25">
      <c r="B52" s="15" t="s">
        <v>153</v>
      </c>
      <c r="C52" s="8">
        <f>Populatie!F82</f>
        <v>1271</v>
      </c>
      <c r="D52" s="8">
        <v>140</v>
      </c>
      <c r="E52" s="8">
        <f t="shared" ref="E52:F52" si="11">D52</f>
        <v>140</v>
      </c>
      <c r="F52" s="54">
        <f t="shared" si="11"/>
        <v>140</v>
      </c>
      <c r="G52" s="10">
        <v>1</v>
      </c>
      <c r="H52" s="8">
        <v>1</v>
      </c>
      <c r="I52" s="9">
        <v>5</v>
      </c>
    </row>
    <row r="53" spans="2:14" x14ac:dyDescent="0.25">
      <c r="B53" s="15" t="s">
        <v>154</v>
      </c>
      <c r="C53" s="8">
        <f>Populatie!F85</f>
        <v>2673</v>
      </c>
      <c r="D53" s="8">
        <v>264</v>
      </c>
      <c r="E53" s="8">
        <f t="shared" ref="E53:F53" si="12">D53</f>
        <v>264</v>
      </c>
      <c r="F53" s="54">
        <f t="shared" si="12"/>
        <v>264</v>
      </c>
      <c r="G53" s="10">
        <v>1</v>
      </c>
      <c r="H53" s="8">
        <v>2</v>
      </c>
      <c r="I53" s="9">
        <v>9</v>
      </c>
    </row>
    <row r="54" spans="2:14" x14ac:dyDescent="0.25">
      <c r="B54" s="15" t="s">
        <v>155</v>
      </c>
      <c r="C54" s="8">
        <f>Populatie!F84</f>
        <v>2992</v>
      </c>
      <c r="D54" s="8">
        <v>303</v>
      </c>
      <c r="E54" s="8">
        <f t="shared" ref="E54:F54" si="13">D54</f>
        <v>303</v>
      </c>
      <c r="F54" s="54">
        <f t="shared" si="13"/>
        <v>303</v>
      </c>
      <c r="G54" s="10">
        <v>1</v>
      </c>
      <c r="H54" s="8">
        <v>2</v>
      </c>
      <c r="I54" s="9">
        <v>10</v>
      </c>
    </row>
    <row r="55" spans="2:14" x14ac:dyDescent="0.25">
      <c r="B55" s="15" t="s">
        <v>156</v>
      </c>
      <c r="C55" s="8">
        <f>Populatie!F90</f>
        <v>4619</v>
      </c>
      <c r="D55" s="8">
        <v>489</v>
      </c>
      <c r="E55" s="8">
        <f t="shared" ref="E55:F55" si="14">D55</f>
        <v>489</v>
      </c>
      <c r="F55" s="54">
        <f t="shared" si="14"/>
        <v>489</v>
      </c>
      <c r="G55" s="10">
        <v>1</v>
      </c>
      <c r="H55" s="8">
        <v>3</v>
      </c>
      <c r="I55" s="9">
        <v>17</v>
      </c>
    </row>
    <row r="56" spans="2:14" x14ac:dyDescent="0.25">
      <c r="B56" s="15" t="s">
        <v>157</v>
      </c>
      <c r="C56" s="8">
        <f>Populatie!F94</f>
        <v>3382</v>
      </c>
      <c r="D56" s="8">
        <v>356</v>
      </c>
      <c r="E56" s="8">
        <f t="shared" ref="E56:F56" si="15">D56</f>
        <v>356</v>
      </c>
      <c r="F56" s="54">
        <f t="shared" si="15"/>
        <v>356</v>
      </c>
      <c r="G56" s="10">
        <v>1</v>
      </c>
      <c r="H56" s="8">
        <v>2</v>
      </c>
      <c r="I56" s="9">
        <v>12</v>
      </c>
    </row>
    <row r="57" spans="2:14" x14ac:dyDescent="0.25">
      <c r="B57" s="15" t="s">
        <v>158</v>
      </c>
      <c r="C57" s="8">
        <f>Populatie!F96</f>
        <v>3467</v>
      </c>
      <c r="D57" s="8">
        <v>309</v>
      </c>
      <c r="E57" s="8">
        <f t="shared" ref="E57:F57" si="16">D57</f>
        <v>309</v>
      </c>
      <c r="F57" s="54">
        <f t="shared" si="16"/>
        <v>309</v>
      </c>
      <c r="G57" s="10">
        <v>1</v>
      </c>
      <c r="H57" s="8">
        <v>2</v>
      </c>
      <c r="I57" s="9">
        <v>11</v>
      </c>
    </row>
    <row r="58" spans="2:14" x14ac:dyDescent="0.25">
      <c r="B58" s="15" t="s">
        <v>159</v>
      </c>
      <c r="C58" s="8">
        <f>Populatie!F92</f>
        <v>2443</v>
      </c>
      <c r="D58" s="8">
        <v>244</v>
      </c>
      <c r="E58" s="8">
        <f t="shared" ref="E58:F58" si="17">D58</f>
        <v>244</v>
      </c>
      <c r="F58" s="54">
        <f t="shared" si="17"/>
        <v>244</v>
      </c>
      <c r="G58" s="10">
        <v>1</v>
      </c>
      <c r="H58" s="8">
        <v>2</v>
      </c>
      <c r="I58" s="9">
        <v>8</v>
      </c>
    </row>
    <row r="59" spans="2:14" x14ac:dyDescent="0.25">
      <c r="B59" s="15" t="s">
        <v>160</v>
      </c>
      <c r="C59" s="8">
        <f>Populatie!F97</f>
        <v>1594</v>
      </c>
      <c r="D59" s="8">
        <v>153</v>
      </c>
      <c r="E59" s="8">
        <f t="shared" ref="E59:F59" si="18">D59</f>
        <v>153</v>
      </c>
      <c r="F59" s="54">
        <f t="shared" si="18"/>
        <v>153</v>
      </c>
      <c r="G59" s="10">
        <v>1</v>
      </c>
      <c r="H59" s="8">
        <v>1</v>
      </c>
      <c r="I59" s="9">
        <v>5</v>
      </c>
    </row>
    <row r="60" spans="2:14" x14ac:dyDescent="0.25">
      <c r="B60" s="15" t="s">
        <v>161</v>
      </c>
      <c r="C60" s="8">
        <f>Populatie!F101</f>
        <v>3187</v>
      </c>
      <c r="D60" s="8">
        <v>335</v>
      </c>
      <c r="E60" s="8">
        <f t="shared" ref="E60:F60" si="19">D60</f>
        <v>335</v>
      </c>
      <c r="F60" s="54">
        <f t="shared" si="19"/>
        <v>335</v>
      </c>
      <c r="G60" s="10">
        <v>1</v>
      </c>
      <c r="H60" s="8">
        <v>2</v>
      </c>
      <c r="I60" s="9">
        <v>11</v>
      </c>
    </row>
    <row r="61" spans="2:14" ht="15.75" thickBot="1" x14ac:dyDescent="0.3">
      <c r="B61" s="19" t="s">
        <v>27</v>
      </c>
      <c r="C61" s="20">
        <f>SUM(C40:C60)</f>
        <v>66772</v>
      </c>
      <c r="D61" s="20">
        <f t="shared" ref="D61:E61" si="20">SUM(D40:D60)</f>
        <v>6852</v>
      </c>
      <c r="E61" s="20">
        <f t="shared" si="20"/>
        <v>6852</v>
      </c>
      <c r="F61" s="67">
        <f>SUM(F40:F60)</f>
        <v>6852</v>
      </c>
      <c r="G61" s="19">
        <f>SUM(G40:G60)</f>
        <v>20</v>
      </c>
      <c r="H61" s="20">
        <f>SUM(H40:H60)</f>
        <v>47</v>
      </c>
      <c r="I61" s="44">
        <f>SUM(I40:I60)</f>
        <v>234</v>
      </c>
      <c r="J61" s="98"/>
    </row>
    <row r="62" spans="2:14" ht="15.75" thickBot="1" x14ac:dyDescent="0.3">
      <c r="C62">
        <v>66364</v>
      </c>
    </row>
    <row r="63" spans="2:14" x14ac:dyDescent="0.25">
      <c r="B63" s="38" t="s">
        <v>197</v>
      </c>
      <c r="C63" s="49"/>
      <c r="D63" s="49"/>
      <c r="E63" s="59"/>
      <c r="F63" s="319" t="s">
        <v>229</v>
      </c>
      <c r="G63" s="329"/>
      <c r="H63" s="321"/>
      <c r="I63" s="319" t="s">
        <v>231</v>
      </c>
      <c r="J63" s="329"/>
      <c r="K63" s="321"/>
      <c r="L63" s="319" t="s">
        <v>164</v>
      </c>
      <c r="M63" s="320"/>
      <c r="N63" s="321"/>
    </row>
    <row r="64" spans="2:14" ht="60" x14ac:dyDescent="0.25">
      <c r="B64" s="10"/>
      <c r="C64" s="50" t="s">
        <v>232</v>
      </c>
      <c r="D64" s="50" t="s">
        <v>234</v>
      </c>
      <c r="E64" s="57" t="s">
        <v>233</v>
      </c>
      <c r="F64" s="60" t="s">
        <v>230</v>
      </c>
      <c r="G64" s="50" t="s">
        <v>237</v>
      </c>
      <c r="H64" s="51" t="s">
        <v>235</v>
      </c>
      <c r="I64" s="60" t="s">
        <v>230</v>
      </c>
      <c r="J64" s="50" t="s">
        <v>237</v>
      </c>
      <c r="K64" s="51" t="s">
        <v>235</v>
      </c>
      <c r="L64" s="60" t="s">
        <v>230</v>
      </c>
      <c r="M64" s="50" t="s">
        <v>237</v>
      </c>
      <c r="N64" s="51" t="s">
        <v>235</v>
      </c>
    </row>
    <row r="65" spans="2:14" x14ac:dyDescent="0.25">
      <c r="B65" s="326" t="s">
        <v>0</v>
      </c>
      <c r="C65" s="52">
        <f>D19</f>
        <v>11165</v>
      </c>
      <c r="D65" s="52">
        <f>E19</f>
        <v>11165</v>
      </c>
      <c r="E65" s="58">
        <f>F19</f>
        <v>11165</v>
      </c>
      <c r="F65" s="322">
        <f>G19</f>
        <v>8</v>
      </c>
      <c r="G65" s="52" t="s">
        <v>197</v>
      </c>
      <c r="H65" s="53">
        <v>8</v>
      </c>
      <c r="I65" s="322">
        <f>H19</f>
        <v>25</v>
      </c>
      <c r="J65" s="52" t="s">
        <v>197</v>
      </c>
      <c r="K65" s="53">
        <v>25</v>
      </c>
      <c r="L65" s="322">
        <f>I19</f>
        <v>15</v>
      </c>
      <c r="M65" s="58" t="s">
        <v>197</v>
      </c>
      <c r="N65" s="53">
        <v>15</v>
      </c>
    </row>
    <row r="66" spans="2:14" x14ac:dyDescent="0.25">
      <c r="B66" s="327"/>
      <c r="C66" s="52"/>
      <c r="D66" s="52"/>
      <c r="E66" s="58"/>
      <c r="F66" s="323"/>
      <c r="G66" s="52" t="s">
        <v>236</v>
      </c>
      <c r="H66" s="53">
        <f>F65*3</f>
        <v>24</v>
      </c>
      <c r="I66" s="325"/>
      <c r="J66" s="52" t="s">
        <v>236</v>
      </c>
      <c r="K66" s="53">
        <f>I65*1</f>
        <v>25</v>
      </c>
      <c r="L66" s="325"/>
      <c r="M66" s="58" t="s">
        <v>236</v>
      </c>
      <c r="N66" s="53">
        <f>L65*1</f>
        <v>15</v>
      </c>
    </row>
    <row r="67" spans="2:14" ht="15.75" thickBot="1" x14ac:dyDescent="0.3">
      <c r="B67" s="328"/>
      <c r="C67" s="61"/>
      <c r="D67" s="61"/>
      <c r="E67" s="62"/>
      <c r="F67" s="324"/>
      <c r="G67" s="61" t="s">
        <v>190</v>
      </c>
      <c r="H67" s="63">
        <f>F65*1</f>
        <v>8</v>
      </c>
      <c r="I67" s="64"/>
      <c r="J67" s="61"/>
      <c r="K67" s="63"/>
      <c r="L67" s="64"/>
      <c r="M67" s="62"/>
      <c r="N67" s="63"/>
    </row>
    <row r="68" spans="2:14" x14ac:dyDescent="0.25">
      <c r="B68" s="326" t="s">
        <v>186</v>
      </c>
      <c r="C68" s="52">
        <f>D34</f>
        <v>2698</v>
      </c>
      <c r="D68" s="52">
        <f>E34</f>
        <v>2698</v>
      </c>
      <c r="E68" s="58">
        <f>F34</f>
        <v>2698</v>
      </c>
      <c r="F68" s="322">
        <f>G34</f>
        <v>8</v>
      </c>
      <c r="G68" s="52" t="s">
        <v>197</v>
      </c>
      <c r="H68" s="53">
        <f>F68</f>
        <v>8</v>
      </c>
      <c r="I68" s="322">
        <f>H34</f>
        <v>72</v>
      </c>
      <c r="J68" s="52" t="s">
        <v>197</v>
      </c>
      <c r="K68" s="53">
        <f>I68</f>
        <v>72</v>
      </c>
      <c r="L68" s="322">
        <f>I34</f>
        <v>36</v>
      </c>
      <c r="M68" s="58" t="s">
        <v>197</v>
      </c>
      <c r="N68" s="53">
        <f>L68</f>
        <v>36</v>
      </c>
    </row>
    <row r="69" spans="2:14" x14ac:dyDescent="0.25">
      <c r="B69" s="327"/>
      <c r="C69" s="52"/>
      <c r="D69" s="52"/>
      <c r="E69" s="58"/>
      <c r="F69" s="323"/>
      <c r="G69" s="52" t="s">
        <v>236</v>
      </c>
      <c r="H69" s="53">
        <f>F68*3</f>
        <v>24</v>
      </c>
      <c r="I69" s="325"/>
      <c r="J69" s="52" t="s">
        <v>236</v>
      </c>
      <c r="K69" s="53">
        <f>I68</f>
        <v>72</v>
      </c>
      <c r="L69" s="325"/>
      <c r="M69" s="58" t="s">
        <v>236</v>
      </c>
      <c r="N69" s="53">
        <f>L68</f>
        <v>36</v>
      </c>
    </row>
    <row r="70" spans="2:14" ht="15.75" thickBot="1" x14ac:dyDescent="0.3">
      <c r="B70" s="328"/>
      <c r="C70" s="61"/>
      <c r="D70" s="61"/>
      <c r="E70" s="62"/>
      <c r="F70" s="324"/>
      <c r="G70" s="61" t="s">
        <v>190</v>
      </c>
      <c r="H70" s="63">
        <f>F68*1</f>
        <v>8</v>
      </c>
      <c r="I70" s="64"/>
      <c r="J70" s="61"/>
      <c r="K70" s="63"/>
      <c r="L70" s="64"/>
      <c r="M70" s="62"/>
      <c r="N70" s="63"/>
    </row>
    <row r="71" spans="2:14" x14ac:dyDescent="0.25">
      <c r="B71" s="326" t="s">
        <v>228</v>
      </c>
      <c r="C71" s="52">
        <f>D61</f>
        <v>6852</v>
      </c>
      <c r="D71" s="52">
        <f t="shared" ref="D71:E71" si="21">E61</f>
        <v>6852</v>
      </c>
      <c r="E71" s="52">
        <f t="shared" si="21"/>
        <v>6852</v>
      </c>
      <c r="F71" s="322">
        <f>G61</f>
        <v>20</v>
      </c>
      <c r="G71" s="52" t="s">
        <v>197</v>
      </c>
      <c r="H71" s="53">
        <f>F71</f>
        <v>20</v>
      </c>
      <c r="I71" s="322">
        <f>H61</f>
        <v>47</v>
      </c>
      <c r="J71" s="52" t="s">
        <v>197</v>
      </c>
      <c r="K71" s="53">
        <f>I71</f>
        <v>47</v>
      </c>
      <c r="L71" s="322">
        <f>I61</f>
        <v>234</v>
      </c>
      <c r="M71" s="58" t="s">
        <v>197</v>
      </c>
      <c r="N71" s="53">
        <f>L71</f>
        <v>234</v>
      </c>
    </row>
    <row r="72" spans="2:14" x14ac:dyDescent="0.25">
      <c r="B72" s="327"/>
      <c r="C72" s="52"/>
      <c r="D72" s="52"/>
      <c r="E72" s="58"/>
      <c r="F72" s="323"/>
      <c r="G72" s="52" t="s">
        <v>236</v>
      </c>
      <c r="H72" s="53">
        <f>F71*3</f>
        <v>60</v>
      </c>
      <c r="I72" s="325"/>
      <c r="J72" s="52" t="s">
        <v>236</v>
      </c>
      <c r="K72" s="53">
        <f>I71</f>
        <v>47</v>
      </c>
      <c r="L72" s="325"/>
      <c r="M72" s="58" t="s">
        <v>236</v>
      </c>
      <c r="N72" s="53">
        <f>L71</f>
        <v>234</v>
      </c>
    </row>
    <row r="73" spans="2:14" ht="15.75" thickBot="1" x14ac:dyDescent="0.3">
      <c r="B73" s="328"/>
      <c r="C73" s="61"/>
      <c r="D73" s="61"/>
      <c r="E73" s="62"/>
      <c r="F73" s="324"/>
      <c r="G73" s="61" t="s">
        <v>190</v>
      </c>
      <c r="H73" s="63">
        <f>F71*1</f>
        <v>20</v>
      </c>
      <c r="I73" s="64"/>
      <c r="J73" s="61"/>
      <c r="K73" s="63"/>
      <c r="L73" s="64"/>
      <c r="M73" s="62"/>
      <c r="N73" s="63"/>
    </row>
    <row r="75" spans="2:14" ht="15.75" thickBot="1" x14ac:dyDescent="0.3"/>
    <row r="76" spans="2:14" x14ac:dyDescent="0.25">
      <c r="B76" s="38" t="s">
        <v>219</v>
      </c>
      <c r="C76" s="34" t="s">
        <v>221</v>
      </c>
      <c r="D76" s="24" t="s">
        <v>202</v>
      </c>
    </row>
    <row r="77" spans="2:14" x14ac:dyDescent="0.25">
      <c r="B77" s="10" t="s">
        <v>1</v>
      </c>
      <c r="C77" s="11">
        <v>82215</v>
      </c>
      <c r="D77" s="80">
        <v>765466</v>
      </c>
    </row>
    <row r="78" spans="2:14" x14ac:dyDescent="0.25">
      <c r="B78" s="10" t="s">
        <v>132</v>
      </c>
      <c r="C78" s="11">
        <v>280140</v>
      </c>
      <c r="D78" s="80">
        <v>242724</v>
      </c>
      <c r="F78" t="s">
        <v>393</v>
      </c>
    </row>
    <row r="79" spans="2:14" x14ac:dyDescent="0.25">
      <c r="B79" s="10" t="s">
        <v>171</v>
      </c>
      <c r="C79" s="11">
        <v>262479</v>
      </c>
      <c r="D79" s="80">
        <v>617033</v>
      </c>
    </row>
    <row r="80" spans="2:14" ht="30.75" thickBot="1" x14ac:dyDescent="0.3">
      <c r="B80" s="48" t="s">
        <v>227</v>
      </c>
      <c r="C80" s="36"/>
      <c r="D80" s="81">
        <v>70000</v>
      </c>
    </row>
    <row r="81" spans="2:9" ht="15.75" thickBot="1" x14ac:dyDescent="0.3">
      <c r="G81" s="1" t="s">
        <v>394</v>
      </c>
    </row>
    <row r="82" spans="2:9" ht="29.25" customHeight="1" x14ac:dyDescent="0.25">
      <c r="B82" s="41" t="s">
        <v>285</v>
      </c>
      <c r="C82" s="148" t="s">
        <v>392</v>
      </c>
      <c r="D82" s="148" t="s">
        <v>287</v>
      </c>
      <c r="E82" s="148" t="s">
        <v>27</v>
      </c>
      <c r="F82" s="149" t="s">
        <v>390</v>
      </c>
      <c r="G82" s="150" t="s">
        <v>391</v>
      </c>
    </row>
    <row r="83" spans="2:9" x14ac:dyDescent="0.25">
      <c r="B83" s="10" t="s">
        <v>386</v>
      </c>
      <c r="C83" s="8">
        <v>252</v>
      </c>
      <c r="D83" s="100">
        <v>119</v>
      </c>
      <c r="E83" s="147">
        <f>C83*D83+152</f>
        <v>30140</v>
      </c>
      <c r="F83" s="169">
        <v>8</v>
      </c>
      <c r="G83" s="101">
        <f>E83/F83</f>
        <v>3767.5</v>
      </c>
    </row>
    <row r="84" spans="2:9" x14ac:dyDescent="0.25">
      <c r="B84" s="10" t="s">
        <v>387</v>
      </c>
      <c r="C84" s="8">
        <v>22</v>
      </c>
      <c r="D84" s="100">
        <f>SUM(D19:F19)</f>
        <v>33495</v>
      </c>
      <c r="E84" s="147">
        <f>735326</f>
        <v>735326</v>
      </c>
      <c r="F84" s="169">
        <v>8</v>
      </c>
      <c r="G84" s="101">
        <f>E84/F84</f>
        <v>91915.75</v>
      </c>
    </row>
    <row r="85" spans="2:9" ht="30.75" thickBot="1" x14ac:dyDescent="0.3">
      <c r="B85" s="151" t="s">
        <v>388</v>
      </c>
      <c r="C85" s="83">
        <v>3045</v>
      </c>
      <c r="D85" s="83">
        <v>27</v>
      </c>
      <c r="E85" s="152">
        <f t="shared" ref="E85" si="22">C85*D85</f>
        <v>82215</v>
      </c>
      <c r="F85" s="83">
        <f>D110</f>
        <v>25</v>
      </c>
      <c r="G85" s="153"/>
    </row>
    <row r="86" spans="2:9" ht="15.75" thickBot="1" x14ac:dyDescent="0.3">
      <c r="B86" s="85" t="s">
        <v>288</v>
      </c>
      <c r="C86" s="104"/>
      <c r="D86" s="104"/>
      <c r="E86" s="155">
        <f>SUM(E83:E85)</f>
        <v>847681</v>
      </c>
      <c r="F86" s="86"/>
      <c r="G86" s="105">
        <f>G83+G84</f>
        <v>95683.25</v>
      </c>
      <c r="I86" s="1" t="s">
        <v>473</v>
      </c>
    </row>
    <row r="87" spans="2:9" x14ac:dyDescent="0.25">
      <c r="B87" s="16" t="s">
        <v>221</v>
      </c>
      <c r="C87" s="17"/>
      <c r="D87" s="17"/>
      <c r="E87" s="154">
        <f>E85</f>
        <v>82215</v>
      </c>
      <c r="F87" s="17"/>
      <c r="G87" s="18"/>
    </row>
    <row r="88" spans="2:9" ht="15.75" thickBot="1" x14ac:dyDescent="0.3">
      <c r="B88" s="12" t="s">
        <v>202</v>
      </c>
      <c r="C88" s="13"/>
      <c r="D88" s="13"/>
      <c r="E88" s="114">
        <f>E83+E84</f>
        <v>765466</v>
      </c>
      <c r="F88" s="13"/>
      <c r="G88" s="14"/>
    </row>
    <row r="90" spans="2:9" ht="15.75" thickBot="1" x14ac:dyDescent="0.3"/>
    <row r="91" spans="2:9" ht="30" x14ac:dyDescent="0.25">
      <c r="B91" s="38" t="s">
        <v>289</v>
      </c>
      <c r="C91" s="34" t="s">
        <v>247</v>
      </c>
      <c r="D91" s="34" t="s">
        <v>287</v>
      </c>
      <c r="E91" s="24" t="s">
        <v>27</v>
      </c>
      <c r="F91" s="149" t="s">
        <v>295</v>
      </c>
      <c r="G91" s="150" t="s">
        <v>389</v>
      </c>
    </row>
    <row r="92" spans="2:9" x14ac:dyDescent="0.25">
      <c r="B92" s="10" t="s">
        <v>165</v>
      </c>
      <c r="C92" s="8">
        <v>252</v>
      </c>
      <c r="D92" s="100">
        <v>258</v>
      </c>
      <c r="E92" s="89">
        <f>C92*D92+9</f>
        <v>65025</v>
      </c>
      <c r="F92" s="169">
        <f>F83</f>
        <v>8</v>
      </c>
      <c r="G92" s="101">
        <f>E92/F92</f>
        <v>8128.125</v>
      </c>
    </row>
    <row r="93" spans="2:9" x14ac:dyDescent="0.25">
      <c r="B93" s="10" t="s">
        <v>286</v>
      </c>
      <c r="C93" s="8">
        <v>22</v>
      </c>
      <c r="D93" s="100">
        <f>SUM(D34:F34)</f>
        <v>8094</v>
      </c>
      <c r="E93" s="147">
        <f>(177700)</f>
        <v>177700</v>
      </c>
      <c r="F93" s="169">
        <f t="shared" ref="F93:F94" si="23">F84</f>
        <v>8</v>
      </c>
      <c r="G93" s="101">
        <f>E93/F93</f>
        <v>22212.5</v>
      </c>
    </row>
    <row r="94" spans="2:9" ht="15.75" thickBot="1" x14ac:dyDescent="0.3">
      <c r="B94" s="82" t="s">
        <v>230</v>
      </c>
      <c r="C94" s="83">
        <v>3045</v>
      </c>
      <c r="D94" s="83">
        <v>92</v>
      </c>
      <c r="E94" s="90">
        <f t="shared" ref="E94" si="24">C94*D94</f>
        <v>280140</v>
      </c>
      <c r="F94" s="8">
        <f t="shared" si="23"/>
        <v>25</v>
      </c>
      <c r="G94" s="153"/>
    </row>
    <row r="95" spans="2:9" ht="15.75" thickBot="1" x14ac:dyDescent="0.3">
      <c r="B95" s="85" t="s">
        <v>288</v>
      </c>
      <c r="C95" s="104"/>
      <c r="D95" s="104"/>
      <c r="E95" s="105">
        <f>SUM(E92:E94)</f>
        <v>522865</v>
      </c>
      <c r="F95" s="86"/>
      <c r="G95" s="105">
        <f>G92+G93</f>
        <v>30340.625</v>
      </c>
    </row>
    <row r="96" spans="2:9" x14ac:dyDescent="0.25">
      <c r="B96" s="16" t="s">
        <v>221</v>
      </c>
      <c r="C96" s="17"/>
      <c r="D96" s="17"/>
      <c r="E96" s="103">
        <f>E94</f>
        <v>280140</v>
      </c>
      <c r="F96" s="17"/>
      <c r="G96" s="18"/>
    </row>
    <row r="97" spans="2:7" ht="15.75" thickBot="1" x14ac:dyDescent="0.3">
      <c r="B97" s="12" t="s">
        <v>202</v>
      </c>
      <c r="C97" s="13"/>
      <c r="D97" s="13"/>
      <c r="E97" s="102">
        <f>E92+E93</f>
        <v>242725</v>
      </c>
      <c r="F97" s="13"/>
      <c r="G97" s="14"/>
    </row>
    <row r="99" spans="2:7" ht="15.75" thickBot="1" x14ac:dyDescent="0.3"/>
    <row r="100" spans="2:7" ht="30" x14ac:dyDescent="0.25">
      <c r="B100" s="38" t="s">
        <v>290</v>
      </c>
      <c r="C100" s="34" t="s">
        <v>247</v>
      </c>
      <c r="D100" s="34" t="s">
        <v>287</v>
      </c>
      <c r="E100" s="24" t="s">
        <v>27</v>
      </c>
      <c r="F100" s="149" t="s">
        <v>295</v>
      </c>
      <c r="G100" s="150" t="s">
        <v>389</v>
      </c>
    </row>
    <row r="101" spans="2:7" x14ac:dyDescent="0.25">
      <c r="B101" s="10" t="s">
        <v>165</v>
      </c>
      <c r="C101" s="8">
        <v>252</v>
      </c>
      <c r="D101" s="100">
        <v>656</v>
      </c>
      <c r="E101" s="89">
        <f>C101*D101+254</f>
        <v>165566</v>
      </c>
      <c r="F101" s="169">
        <f>F92</f>
        <v>8</v>
      </c>
      <c r="G101" s="101">
        <f>E101/F101</f>
        <v>20695.75</v>
      </c>
    </row>
    <row r="102" spans="2:7" x14ac:dyDescent="0.25">
      <c r="B102" s="10" t="s">
        <v>286</v>
      </c>
      <c r="C102" s="8">
        <v>22</v>
      </c>
      <c r="D102" s="100">
        <f>SUM(D61:F61)</f>
        <v>20556</v>
      </c>
      <c r="E102" s="147">
        <f>(451468)</f>
        <v>451468</v>
      </c>
      <c r="F102" s="169">
        <f t="shared" ref="F102:F103" si="25">F93</f>
        <v>8</v>
      </c>
      <c r="G102" s="101">
        <f>E102/F102</f>
        <v>56433.5</v>
      </c>
    </row>
    <row r="103" spans="2:7" ht="15.75" thickBot="1" x14ac:dyDescent="0.3">
      <c r="B103" s="82" t="s">
        <v>230</v>
      </c>
      <c r="C103" s="83">
        <v>3045</v>
      </c>
      <c r="D103" s="83">
        <v>86</v>
      </c>
      <c r="E103" s="90">
        <f>C103*D103+609</f>
        <v>262479</v>
      </c>
      <c r="F103" s="8">
        <f t="shared" si="25"/>
        <v>25</v>
      </c>
      <c r="G103" s="153"/>
    </row>
    <row r="104" spans="2:7" ht="15.75" thickBot="1" x14ac:dyDescent="0.3">
      <c r="B104" s="85" t="s">
        <v>288</v>
      </c>
      <c r="C104" s="104"/>
      <c r="D104" s="104"/>
      <c r="E104" s="105">
        <f>SUM(E101:E103)</f>
        <v>879513</v>
      </c>
      <c r="F104" s="86"/>
      <c r="G104" s="124">
        <f>G101+G102</f>
        <v>77129.25</v>
      </c>
    </row>
    <row r="105" spans="2:7" x14ac:dyDescent="0.25">
      <c r="B105" s="16" t="s">
        <v>221</v>
      </c>
      <c r="C105" s="17"/>
      <c r="D105" s="17"/>
      <c r="E105" s="103">
        <f>E103</f>
        <v>262479</v>
      </c>
      <c r="F105" s="17"/>
      <c r="G105" s="18"/>
    </row>
    <row r="106" spans="2:7" ht="15.75" thickBot="1" x14ac:dyDescent="0.3">
      <c r="B106" s="12" t="s">
        <v>202</v>
      </c>
      <c r="C106" s="13"/>
      <c r="D106" s="13"/>
      <c r="E106" s="102">
        <f>E101+E102</f>
        <v>617034</v>
      </c>
      <c r="F106" s="13"/>
      <c r="G106" s="14"/>
    </row>
    <row r="108" spans="2:7" ht="15.75" thickBot="1" x14ac:dyDescent="0.3"/>
    <row r="109" spans="2:7" x14ac:dyDescent="0.25">
      <c r="B109" s="38" t="s">
        <v>301</v>
      </c>
      <c r="C109" s="3"/>
      <c r="D109" s="106"/>
    </row>
    <row r="110" spans="2:7" x14ac:dyDescent="0.25">
      <c r="B110" s="10" t="s">
        <v>221</v>
      </c>
      <c r="C110" s="113">
        <f>E87</f>
        <v>82215</v>
      </c>
      <c r="D110" s="9">
        <v>25</v>
      </c>
    </row>
    <row r="111" spans="2:7" ht="30.75" thickBot="1" x14ac:dyDescent="0.3">
      <c r="B111" s="48" t="s">
        <v>606</v>
      </c>
      <c r="C111" s="235">
        <f>E83+E84/3</f>
        <v>275248.66666666663</v>
      </c>
      <c r="D111" s="234">
        <f>F93</f>
        <v>8</v>
      </c>
    </row>
    <row r="112" spans="2:7" ht="15.75" thickBot="1" x14ac:dyDescent="0.3"/>
    <row r="113" spans="2:19" x14ac:dyDescent="0.25">
      <c r="B113" s="38" t="s">
        <v>302</v>
      </c>
      <c r="C113" s="3"/>
      <c r="D113" s="106"/>
    </row>
    <row r="114" spans="2:19" x14ac:dyDescent="0.25">
      <c r="B114" s="10" t="s">
        <v>221</v>
      </c>
      <c r="C114" s="113">
        <f>E96</f>
        <v>280140</v>
      </c>
      <c r="D114" s="9">
        <v>25</v>
      </c>
    </row>
    <row r="115" spans="2:19" ht="30.75" thickBot="1" x14ac:dyDescent="0.3">
      <c r="B115" s="48" t="s">
        <v>606</v>
      </c>
      <c r="C115" s="235">
        <f>E92+E93/3</f>
        <v>124258.33333333334</v>
      </c>
      <c r="D115" s="234">
        <f>D111</f>
        <v>8</v>
      </c>
    </row>
    <row r="116" spans="2:19" ht="15.75" thickBot="1" x14ac:dyDescent="0.3"/>
    <row r="117" spans="2:19" x14ac:dyDescent="0.25">
      <c r="B117" s="38" t="s">
        <v>303</v>
      </c>
      <c r="C117" s="3"/>
      <c r="D117" s="106"/>
    </row>
    <row r="118" spans="2:19" x14ac:dyDescent="0.25">
      <c r="B118" s="10" t="s">
        <v>221</v>
      </c>
      <c r="C118" s="113">
        <f>E105</f>
        <v>262479</v>
      </c>
      <c r="D118" s="9">
        <v>25</v>
      </c>
    </row>
    <row r="119" spans="2:19" ht="30.75" thickBot="1" x14ac:dyDescent="0.3">
      <c r="B119" s="48" t="s">
        <v>606</v>
      </c>
      <c r="C119" s="235">
        <f>E101+E102/3</f>
        <v>316055.33333333337</v>
      </c>
      <c r="D119" s="234">
        <f>D115</f>
        <v>8</v>
      </c>
    </row>
    <row r="120" spans="2:19" ht="15.75" thickBot="1" x14ac:dyDescent="0.3"/>
    <row r="121" spans="2:19" s="1" customFormat="1" x14ac:dyDescent="0.25">
      <c r="B121" s="38" t="s">
        <v>472</v>
      </c>
      <c r="C121" s="34">
        <v>1</v>
      </c>
      <c r="D121" s="34">
        <v>2</v>
      </c>
      <c r="E121" s="34">
        <v>3</v>
      </c>
      <c r="F121" s="34">
        <v>4</v>
      </c>
      <c r="G121" s="34">
        <v>5</v>
      </c>
      <c r="H121" s="34">
        <v>6</v>
      </c>
      <c r="I121" s="34">
        <v>7</v>
      </c>
      <c r="J121" s="34">
        <v>8</v>
      </c>
      <c r="K121" s="34">
        <v>9</v>
      </c>
      <c r="L121" s="34">
        <v>10</v>
      </c>
      <c r="M121" s="34">
        <v>11</v>
      </c>
      <c r="N121" s="34">
        <v>12</v>
      </c>
      <c r="O121" s="34">
        <v>13</v>
      </c>
      <c r="P121" s="34">
        <v>14</v>
      </c>
      <c r="Q121" s="34">
        <v>15</v>
      </c>
      <c r="R121" s="24">
        <v>16</v>
      </c>
    </row>
    <row r="122" spans="2:19" x14ac:dyDescent="0.25">
      <c r="B122" s="10" t="s">
        <v>319</v>
      </c>
      <c r="C122" s="236">
        <f>$C$111/$D$111</f>
        <v>34406.083333333328</v>
      </c>
      <c r="D122" s="11">
        <f t="shared" ref="D122:R122" si="26">$C$111/$D$111</f>
        <v>34406.083333333328</v>
      </c>
      <c r="E122" s="11">
        <f t="shared" si="26"/>
        <v>34406.083333333328</v>
      </c>
      <c r="F122" s="11">
        <f>$C$111/$D$111</f>
        <v>34406.083333333328</v>
      </c>
      <c r="G122" s="11">
        <f t="shared" si="26"/>
        <v>34406.083333333328</v>
      </c>
      <c r="H122" s="11">
        <f t="shared" si="26"/>
        <v>34406.083333333328</v>
      </c>
      <c r="I122" s="11">
        <f t="shared" si="26"/>
        <v>34406.083333333328</v>
      </c>
      <c r="J122" s="11">
        <f t="shared" si="26"/>
        <v>34406.083333333328</v>
      </c>
      <c r="K122" s="11">
        <f t="shared" si="26"/>
        <v>34406.083333333328</v>
      </c>
      <c r="L122" s="11">
        <f t="shared" si="26"/>
        <v>34406.083333333328</v>
      </c>
      <c r="M122" s="11">
        <f t="shared" si="26"/>
        <v>34406.083333333328</v>
      </c>
      <c r="N122" s="11">
        <f t="shared" si="26"/>
        <v>34406.083333333328</v>
      </c>
      <c r="O122" s="11">
        <f t="shared" si="26"/>
        <v>34406.083333333328</v>
      </c>
      <c r="P122" s="11">
        <f t="shared" si="26"/>
        <v>34406.083333333328</v>
      </c>
      <c r="Q122" s="11">
        <f t="shared" si="26"/>
        <v>34406.083333333328</v>
      </c>
      <c r="R122" s="80">
        <f t="shared" si="26"/>
        <v>34406.083333333328</v>
      </c>
      <c r="S122" s="99"/>
    </row>
    <row r="123" spans="2:19" x14ac:dyDescent="0.25">
      <c r="B123" s="10" t="s">
        <v>320</v>
      </c>
      <c r="C123" s="236">
        <f>$C$115/$D$115</f>
        <v>15532.291666666668</v>
      </c>
      <c r="D123" s="11">
        <f t="shared" ref="D123:R123" si="27">$C$115/$D$115</f>
        <v>15532.291666666668</v>
      </c>
      <c r="E123" s="11">
        <f t="shared" si="27"/>
        <v>15532.291666666668</v>
      </c>
      <c r="F123" s="11">
        <f t="shared" si="27"/>
        <v>15532.291666666668</v>
      </c>
      <c r="G123" s="11">
        <f t="shared" si="27"/>
        <v>15532.291666666668</v>
      </c>
      <c r="H123" s="11">
        <f t="shared" si="27"/>
        <v>15532.291666666668</v>
      </c>
      <c r="I123" s="11">
        <f t="shared" si="27"/>
        <v>15532.291666666668</v>
      </c>
      <c r="J123" s="11">
        <f t="shared" si="27"/>
        <v>15532.291666666668</v>
      </c>
      <c r="K123" s="11">
        <f t="shared" si="27"/>
        <v>15532.291666666668</v>
      </c>
      <c r="L123" s="11">
        <f t="shared" si="27"/>
        <v>15532.291666666668</v>
      </c>
      <c r="M123" s="11">
        <f t="shared" si="27"/>
        <v>15532.291666666668</v>
      </c>
      <c r="N123" s="11">
        <f t="shared" si="27"/>
        <v>15532.291666666668</v>
      </c>
      <c r="O123" s="11">
        <f t="shared" si="27"/>
        <v>15532.291666666668</v>
      </c>
      <c r="P123" s="11">
        <f t="shared" si="27"/>
        <v>15532.291666666668</v>
      </c>
      <c r="Q123" s="11">
        <f t="shared" si="27"/>
        <v>15532.291666666668</v>
      </c>
      <c r="R123" s="80">
        <f t="shared" si="27"/>
        <v>15532.291666666668</v>
      </c>
    </row>
    <row r="124" spans="2:19" x14ac:dyDescent="0.25">
      <c r="B124" s="10" t="s">
        <v>367</v>
      </c>
      <c r="C124" s="167">
        <f>$C$119/$D$119</f>
        <v>39506.916666666672</v>
      </c>
      <c r="D124" s="111">
        <f t="shared" ref="D124:R124" si="28">$C$119/$D$119</f>
        <v>39506.916666666672</v>
      </c>
      <c r="E124" s="111">
        <f t="shared" si="28"/>
        <v>39506.916666666672</v>
      </c>
      <c r="F124" s="111">
        <f t="shared" si="28"/>
        <v>39506.916666666672</v>
      </c>
      <c r="G124" s="111">
        <f t="shared" si="28"/>
        <v>39506.916666666672</v>
      </c>
      <c r="H124" s="111">
        <f t="shared" si="28"/>
        <v>39506.916666666672</v>
      </c>
      <c r="I124" s="111">
        <f t="shared" si="28"/>
        <v>39506.916666666672</v>
      </c>
      <c r="J124" s="111">
        <f t="shared" si="28"/>
        <v>39506.916666666672</v>
      </c>
      <c r="K124" s="111">
        <f t="shared" si="28"/>
        <v>39506.916666666672</v>
      </c>
      <c r="L124" s="111">
        <f t="shared" si="28"/>
        <v>39506.916666666672</v>
      </c>
      <c r="M124" s="111">
        <f t="shared" si="28"/>
        <v>39506.916666666672</v>
      </c>
      <c r="N124" s="111">
        <f t="shared" si="28"/>
        <v>39506.916666666672</v>
      </c>
      <c r="O124" s="111">
        <f t="shared" si="28"/>
        <v>39506.916666666672</v>
      </c>
      <c r="P124" s="111">
        <f t="shared" si="28"/>
        <v>39506.916666666672</v>
      </c>
      <c r="Q124" s="111">
        <f t="shared" si="28"/>
        <v>39506.916666666672</v>
      </c>
      <c r="R124" s="96">
        <f t="shared" si="28"/>
        <v>39506.916666666672</v>
      </c>
    </row>
    <row r="125" spans="2:19" ht="15.75" thickBot="1" x14ac:dyDescent="0.3">
      <c r="B125" s="12" t="s">
        <v>27</v>
      </c>
      <c r="C125" s="112">
        <f>SUM(C122:C124)</f>
        <v>89445.291666666672</v>
      </c>
      <c r="D125" s="112">
        <f t="shared" ref="D125:R125" si="29">SUM(D122:D124)</f>
        <v>89445.291666666672</v>
      </c>
      <c r="E125" s="112">
        <f t="shared" si="29"/>
        <v>89445.291666666672</v>
      </c>
      <c r="F125" s="112">
        <f t="shared" si="29"/>
        <v>89445.291666666672</v>
      </c>
      <c r="G125" s="112">
        <f t="shared" si="29"/>
        <v>89445.291666666672</v>
      </c>
      <c r="H125" s="112">
        <f t="shared" si="29"/>
        <v>89445.291666666672</v>
      </c>
      <c r="I125" s="112">
        <f t="shared" si="29"/>
        <v>89445.291666666672</v>
      </c>
      <c r="J125" s="112">
        <f t="shared" si="29"/>
        <v>89445.291666666672</v>
      </c>
      <c r="K125" s="112">
        <f t="shared" si="29"/>
        <v>89445.291666666672</v>
      </c>
      <c r="L125" s="112">
        <f t="shared" si="29"/>
        <v>89445.291666666672</v>
      </c>
      <c r="M125" s="112">
        <f t="shared" si="29"/>
        <v>89445.291666666672</v>
      </c>
      <c r="N125" s="112">
        <f t="shared" si="29"/>
        <v>89445.291666666672</v>
      </c>
      <c r="O125" s="112">
        <f t="shared" si="29"/>
        <v>89445.291666666672</v>
      </c>
      <c r="P125" s="112">
        <f t="shared" si="29"/>
        <v>89445.291666666672</v>
      </c>
      <c r="Q125" s="112">
        <f t="shared" si="29"/>
        <v>89445.291666666672</v>
      </c>
      <c r="R125" s="97">
        <f t="shared" si="29"/>
        <v>89445.291666666672</v>
      </c>
    </row>
    <row r="127" spans="2:19" ht="15.75" thickBot="1" x14ac:dyDescent="0.3">
      <c r="B127" s="195" t="s">
        <v>562</v>
      </c>
    </row>
    <row r="128" spans="2:19" ht="30" x14ac:dyDescent="0.25">
      <c r="B128" s="94" t="s">
        <v>561</v>
      </c>
      <c r="C128" s="116">
        <f>C122+C123+'Masini colecta necesare'!$G$11+'Investitii statii de transfer'!C110+'Investitii statii compost'!C68</f>
        <v>78077.986111111124</v>
      </c>
      <c r="D128" s="116">
        <f>D122+D123+'Masini colecta necesare'!$G$11+'Investitii statii de transfer'!D110+'Investitii statii compost'!D68</f>
        <v>78077.986111111124</v>
      </c>
      <c r="E128" s="116">
        <f>E122+E123+'Masini colecta necesare'!$G$11+'Investitii statii de transfer'!E110+'Investitii statii compost'!E68</f>
        <v>78077.986111111124</v>
      </c>
      <c r="F128" s="116">
        <f>F122+F123+'Masini colecta necesare'!$G$11+'Investitii statii de transfer'!F110+'Investitii statii compost'!F68</f>
        <v>78077.986111111124</v>
      </c>
      <c r="G128" s="116">
        <f>G122+G123+'Masini colecta necesare'!$G$11+'Investitii statii de transfer'!G110+'Investitii statii compost'!G68</f>
        <v>78077.986111111124</v>
      </c>
      <c r="H128" s="116">
        <f>H122+H123+'Masini colecta necesare'!$G$11+'Investitii statii de transfer'!H110+'Investitii statii compost'!H68</f>
        <v>78077.986111111124</v>
      </c>
      <c r="I128" s="116">
        <f>I122+I123+'Masini colecta necesare'!$G$11+'Investitii statii de transfer'!I110+'Investitii statii compost'!I68</f>
        <v>78077.986111111124</v>
      </c>
      <c r="J128" s="116">
        <f>J122+J123+'Masini colecta necesare'!$G$11+'Investitii statii de transfer'!J110+'Investitii statii compost'!J68</f>
        <v>78077.986111111124</v>
      </c>
      <c r="K128" s="116">
        <f>K122+K123+'Masini colecta necesare'!$G$11+'Investitii statii de transfer'!K110+'Investitii statii compost'!K68</f>
        <v>78077.986111111124</v>
      </c>
      <c r="L128" s="116">
        <f>L122+L123+'Masini colecta necesare'!$G$11+'Investitii statii de transfer'!L110+'Investitii statii compost'!L68</f>
        <v>78077.986111111124</v>
      </c>
      <c r="M128" s="116">
        <f>M122+M123+'Masini colecta necesare'!$G$11+'Investitii statii de transfer'!M110+'Investitii statii compost'!M68</f>
        <v>78077.986111111124</v>
      </c>
      <c r="N128" s="116">
        <f>N122+N123+'Masini colecta necesare'!$G$11+'Investitii statii de transfer'!N110+'Investitii statii compost'!N68</f>
        <v>78077.986111111124</v>
      </c>
      <c r="O128" s="116">
        <f>O122+O123+'Masini colecta necesare'!$G$11+'Investitii statii de transfer'!O110+'Investitii statii compost'!O68</f>
        <v>78077.986111111124</v>
      </c>
      <c r="P128" s="116">
        <f>P122+P123+'Masini colecta necesare'!$G$11+'Investitii statii de transfer'!P110+'Investitii statii compost'!P68</f>
        <v>78077.986111111124</v>
      </c>
      <c r="Q128" s="116">
        <f>Q122+Q123+'Masini colecta necesare'!$G$11+'Investitii statii de transfer'!Q110+'Investitii statii compost'!Q68</f>
        <v>78077.986111111124</v>
      </c>
      <c r="R128" s="95">
        <f>R122+R123+'Masini colecta necesare'!$G$11+'Investitii statii de transfer'!R110+'Investitii statii compost'!R68</f>
        <v>78077.986111111124</v>
      </c>
    </row>
    <row r="129" spans="1:18" ht="30" x14ac:dyDescent="0.25">
      <c r="B129" s="87" t="s">
        <v>366</v>
      </c>
      <c r="C129" s="111">
        <f>C124+'Masini colecta necesare'!$G$12+'Investitii statii de transfer'!C117+'Investitii statii compost'!C74</f>
        <v>64864.138888888891</v>
      </c>
      <c r="D129" s="111">
        <f>D124+'Masini colecta necesare'!$G$12+'Investitii statii de transfer'!D117+'Investitii statii compost'!D74</f>
        <v>64864.138888888891</v>
      </c>
      <c r="E129" s="111">
        <f>E124+'Masini colecta necesare'!$G$12+'Investitii statii de transfer'!E117+'Investitii statii compost'!E74</f>
        <v>64864.138888888891</v>
      </c>
      <c r="F129" s="111">
        <f>F124+'Masini colecta necesare'!$G$12+'Investitii statii de transfer'!F117+'Investitii statii compost'!F74</f>
        <v>64864.138888888891</v>
      </c>
      <c r="G129" s="111">
        <f>G124+'Masini colecta necesare'!$G$12+'Investitii statii de transfer'!G117+'Investitii statii compost'!G74</f>
        <v>64864.138888888891</v>
      </c>
      <c r="H129" s="111">
        <f>H124+'Masini colecta necesare'!$G$12+'Investitii statii de transfer'!H117+'Investitii statii compost'!H74</f>
        <v>64864.138888888891</v>
      </c>
      <c r="I129" s="111">
        <f>I124+'Masini colecta necesare'!$G$12+'Investitii statii de transfer'!I117+'Investitii statii compost'!I74</f>
        <v>64864.138888888891</v>
      </c>
      <c r="J129" s="111">
        <f>J124+'Masini colecta necesare'!$G$12+'Investitii statii de transfer'!J117+'Investitii statii compost'!J74</f>
        <v>64864.138888888891</v>
      </c>
      <c r="K129" s="111">
        <f>K124+'Masini colecta necesare'!$G$12+'Investitii statii de transfer'!K117+'Investitii statii compost'!K74</f>
        <v>64864.138888888891</v>
      </c>
      <c r="L129" s="111">
        <f>L124+'Masini colecta necesare'!$G$12+'Investitii statii de transfer'!L117+'Investitii statii compost'!L74</f>
        <v>64864.138888888891</v>
      </c>
      <c r="M129" s="111">
        <f>M124+'Masini colecta necesare'!$G$12+'Investitii statii de transfer'!M117+'Investitii statii compost'!M74</f>
        <v>64864.138888888891</v>
      </c>
      <c r="N129" s="111">
        <f>N124+'Masini colecta necesare'!$G$12+'Investitii statii de transfer'!N117+'Investitii statii compost'!N74</f>
        <v>64864.138888888891</v>
      </c>
      <c r="O129" s="111">
        <f>O124+'Masini colecta necesare'!$G$12+'Investitii statii de transfer'!O117+'Investitii statii compost'!O74</f>
        <v>64864.138888888891</v>
      </c>
      <c r="P129" s="111">
        <f>P124+'Masini colecta necesare'!$G$12+'Investitii statii de transfer'!P117+'Investitii statii compost'!P74</f>
        <v>64864.138888888891</v>
      </c>
      <c r="Q129" s="111">
        <f>Q124+'Masini colecta necesare'!$G$12+'Investitii statii de transfer'!Q117+'Investitii statii compost'!Q74</f>
        <v>64864.138888888891</v>
      </c>
      <c r="R129" s="96">
        <f>R124+'Masini colecta necesare'!$G$12+'Investitii statii de transfer'!R117+'Investitii statii compost'!R74</f>
        <v>64864.138888888891</v>
      </c>
    </row>
    <row r="130" spans="1:18" ht="30" x14ac:dyDescent="0.25">
      <c r="B130" s="87" t="s">
        <v>565</v>
      </c>
      <c r="C130" s="11">
        <v>25000</v>
      </c>
      <c r="D130" s="11">
        <v>25000</v>
      </c>
      <c r="E130" s="11">
        <v>25000</v>
      </c>
      <c r="F130" s="11">
        <v>25000</v>
      </c>
      <c r="G130" s="11">
        <v>25000</v>
      </c>
      <c r="H130" s="11">
        <v>25000</v>
      </c>
      <c r="I130" s="11">
        <v>25000</v>
      </c>
      <c r="J130" s="11">
        <v>25000</v>
      </c>
      <c r="K130" s="11">
        <v>25000</v>
      </c>
      <c r="L130" s="11">
        <v>25000</v>
      </c>
      <c r="M130" s="11">
        <v>25000</v>
      </c>
      <c r="N130" s="11">
        <v>25000</v>
      </c>
      <c r="O130" s="11">
        <v>25000</v>
      </c>
      <c r="P130" s="11">
        <v>25000</v>
      </c>
      <c r="Q130" s="11">
        <v>25000</v>
      </c>
      <c r="R130" s="80">
        <v>25000</v>
      </c>
    </row>
    <row r="131" spans="1:18" ht="30.75" thickBot="1" x14ac:dyDescent="0.3">
      <c r="A131" s="193" t="s">
        <v>406</v>
      </c>
      <c r="B131" s="48" t="s">
        <v>566</v>
      </c>
      <c r="C131" s="36">
        <v>5000</v>
      </c>
      <c r="D131" s="36">
        <v>5000</v>
      </c>
      <c r="E131" s="36">
        <v>5000</v>
      </c>
      <c r="F131" s="36">
        <v>5000</v>
      </c>
      <c r="G131" s="36">
        <v>5000</v>
      </c>
      <c r="H131" s="36">
        <v>5000</v>
      </c>
      <c r="I131" s="36">
        <v>5000</v>
      </c>
      <c r="J131" s="36">
        <v>5000</v>
      </c>
      <c r="K131" s="36">
        <v>5000</v>
      </c>
      <c r="L131" s="36">
        <v>5000</v>
      </c>
      <c r="M131" s="36">
        <v>5000</v>
      </c>
      <c r="N131" s="36">
        <v>5000</v>
      </c>
      <c r="O131" s="36">
        <v>5000</v>
      </c>
      <c r="P131" s="36">
        <v>5000</v>
      </c>
      <c r="Q131" s="36">
        <v>5000</v>
      </c>
      <c r="R131" s="36">
        <v>5000</v>
      </c>
    </row>
    <row r="132" spans="1:18" x14ac:dyDescent="0.25">
      <c r="A132" s="193"/>
      <c r="B132" s="194"/>
    </row>
    <row r="133" spans="1:18" x14ac:dyDescent="0.25">
      <c r="A133" s="193"/>
      <c r="B133" s="194"/>
    </row>
    <row r="134" spans="1:18" x14ac:dyDescent="0.25">
      <c r="A134" s="193"/>
      <c r="B134" s="194"/>
      <c r="E134" s="88">
        <f>(E128+E130)</f>
        <v>103077.98611111112</v>
      </c>
      <c r="F134" s="99">
        <f>E134/(C19+C34)</f>
        <v>1.0955719885116928</v>
      </c>
      <c r="G134" s="233">
        <f>F134/12</f>
        <v>9.1297665709307738E-2</v>
      </c>
      <c r="H134" s="99">
        <f>G134*4.081</f>
        <v>0.37258577375968494</v>
      </c>
    </row>
    <row r="135" spans="1:18" ht="15.75" thickBot="1" x14ac:dyDescent="0.3">
      <c r="A135" s="193" t="s">
        <v>405</v>
      </c>
      <c r="B135" s="195" t="s">
        <v>563</v>
      </c>
      <c r="E135" s="88">
        <f>E129+E131</f>
        <v>69864.138888888891</v>
      </c>
      <c r="F135" s="99">
        <f>E135/C61</f>
        <v>1.0463089152472427</v>
      </c>
      <c r="G135" s="233">
        <f>F135/12</f>
        <v>8.7192409603936885E-2</v>
      </c>
    </row>
    <row r="136" spans="1:18" ht="30" x14ac:dyDescent="0.25">
      <c r="A136" s="193" t="s">
        <v>407</v>
      </c>
      <c r="B136" s="92" t="s">
        <v>564</v>
      </c>
      <c r="C136" s="199">
        <f>C128*4.081</f>
        <v>318636.26131944451</v>
      </c>
      <c r="D136" s="199">
        <f t="shared" ref="D136:R136" si="30">D128*4.081</f>
        <v>318636.26131944451</v>
      </c>
      <c r="E136" s="199">
        <f t="shared" si="30"/>
        <v>318636.26131944451</v>
      </c>
      <c r="F136" s="199">
        <f t="shared" si="30"/>
        <v>318636.26131944451</v>
      </c>
      <c r="G136" s="199">
        <f t="shared" si="30"/>
        <v>318636.26131944451</v>
      </c>
      <c r="H136" s="199">
        <f t="shared" si="30"/>
        <v>318636.26131944451</v>
      </c>
      <c r="I136" s="199">
        <f t="shared" si="30"/>
        <v>318636.26131944451</v>
      </c>
      <c r="J136" s="200">
        <f t="shared" si="30"/>
        <v>318636.26131944451</v>
      </c>
      <c r="K136" s="230">
        <f t="shared" si="30"/>
        <v>318636.26131944451</v>
      </c>
      <c r="L136" s="199">
        <f t="shared" si="30"/>
        <v>318636.26131944451</v>
      </c>
      <c r="M136" s="199">
        <f t="shared" si="30"/>
        <v>318636.26131944451</v>
      </c>
      <c r="N136" s="199">
        <f t="shared" si="30"/>
        <v>318636.26131944451</v>
      </c>
      <c r="O136" s="199">
        <f t="shared" si="30"/>
        <v>318636.26131944451</v>
      </c>
      <c r="P136" s="199">
        <f t="shared" si="30"/>
        <v>318636.26131944451</v>
      </c>
      <c r="Q136" s="199">
        <f t="shared" si="30"/>
        <v>318636.26131944451</v>
      </c>
      <c r="R136" s="200">
        <f t="shared" si="30"/>
        <v>318636.26131944451</v>
      </c>
    </row>
    <row r="137" spans="1:18" ht="30" x14ac:dyDescent="0.25">
      <c r="B137" s="33" t="s">
        <v>366</v>
      </c>
      <c r="C137" s="11">
        <f>C129*4.081</f>
        <v>264710.5508055556</v>
      </c>
      <c r="D137" s="11">
        <f t="shared" ref="D137:R137" si="31">D129*4.081</f>
        <v>264710.5508055556</v>
      </c>
      <c r="E137" s="11">
        <f>E129*4.081</f>
        <v>264710.5508055556</v>
      </c>
      <c r="F137" s="11">
        <f t="shared" si="31"/>
        <v>264710.5508055556</v>
      </c>
      <c r="G137" s="11">
        <f t="shared" si="31"/>
        <v>264710.5508055556</v>
      </c>
      <c r="H137" s="11">
        <f t="shared" si="31"/>
        <v>264710.5508055556</v>
      </c>
      <c r="I137" s="11">
        <f t="shared" si="31"/>
        <v>264710.5508055556</v>
      </c>
      <c r="J137" s="80">
        <f t="shared" si="31"/>
        <v>264710.5508055556</v>
      </c>
      <c r="K137" s="231">
        <f t="shared" si="31"/>
        <v>264710.5508055556</v>
      </c>
      <c r="L137" s="11">
        <f t="shared" si="31"/>
        <v>264710.5508055556</v>
      </c>
      <c r="M137" s="11">
        <f t="shared" si="31"/>
        <v>264710.5508055556</v>
      </c>
      <c r="N137" s="11">
        <f t="shared" si="31"/>
        <v>264710.5508055556</v>
      </c>
      <c r="O137" s="11">
        <f t="shared" si="31"/>
        <v>264710.5508055556</v>
      </c>
      <c r="P137" s="11">
        <f t="shared" si="31"/>
        <v>264710.5508055556</v>
      </c>
      <c r="Q137" s="11">
        <f t="shared" si="31"/>
        <v>264710.5508055556</v>
      </c>
      <c r="R137" s="80">
        <f t="shared" si="31"/>
        <v>264710.5508055556</v>
      </c>
    </row>
    <row r="138" spans="1:18" ht="29.25" customHeight="1" x14ac:dyDescent="0.25">
      <c r="B138" s="33" t="s">
        <v>565</v>
      </c>
      <c r="C138" s="11">
        <f>C130*4.081</f>
        <v>102025.00000000001</v>
      </c>
      <c r="D138" s="11">
        <f t="shared" ref="D138:R138" si="32">D130*4.081</f>
        <v>102025.00000000001</v>
      </c>
      <c r="E138" s="11">
        <f t="shared" si="32"/>
        <v>102025.00000000001</v>
      </c>
      <c r="F138" s="11">
        <f t="shared" si="32"/>
        <v>102025.00000000001</v>
      </c>
      <c r="G138" s="11">
        <f t="shared" si="32"/>
        <v>102025.00000000001</v>
      </c>
      <c r="H138" s="11">
        <f t="shared" si="32"/>
        <v>102025.00000000001</v>
      </c>
      <c r="I138" s="11">
        <f t="shared" si="32"/>
        <v>102025.00000000001</v>
      </c>
      <c r="J138" s="80">
        <f t="shared" si="32"/>
        <v>102025.00000000001</v>
      </c>
      <c r="K138" s="231">
        <f t="shared" si="32"/>
        <v>102025.00000000001</v>
      </c>
      <c r="L138" s="11">
        <f t="shared" si="32"/>
        <v>102025.00000000001</v>
      </c>
      <c r="M138" s="11">
        <f t="shared" si="32"/>
        <v>102025.00000000001</v>
      </c>
      <c r="N138" s="11">
        <f t="shared" si="32"/>
        <v>102025.00000000001</v>
      </c>
      <c r="O138" s="11">
        <f t="shared" si="32"/>
        <v>102025.00000000001</v>
      </c>
      <c r="P138" s="11">
        <f t="shared" si="32"/>
        <v>102025.00000000001</v>
      </c>
      <c r="Q138" s="11">
        <f t="shared" si="32"/>
        <v>102025.00000000001</v>
      </c>
      <c r="R138" s="80">
        <f t="shared" si="32"/>
        <v>102025.00000000001</v>
      </c>
    </row>
    <row r="139" spans="1:18" ht="30" x14ac:dyDescent="0.25">
      <c r="B139" s="33" t="s">
        <v>566</v>
      </c>
      <c r="C139" s="11">
        <f>C131*4.081</f>
        <v>20405.000000000004</v>
      </c>
      <c r="D139" s="11">
        <f t="shared" ref="D139:R139" si="33">D131*4.081</f>
        <v>20405.000000000004</v>
      </c>
      <c r="E139" s="11">
        <f t="shared" si="33"/>
        <v>20405.000000000004</v>
      </c>
      <c r="F139" s="11">
        <f t="shared" si="33"/>
        <v>20405.000000000004</v>
      </c>
      <c r="G139" s="11">
        <f t="shared" si="33"/>
        <v>20405.000000000004</v>
      </c>
      <c r="H139" s="11">
        <f t="shared" si="33"/>
        <v>20405.000000000004</v>
      </c>
      <c r="I139" s="11">
        <f t="shared" si="33"/>
        <v>20405.000000000004</v>
      </c>
      <c r="J139" s="80">
        <f t="shared" si="33"/>
        <v>20405.000000000004</v>
      </c>
      <c r="K139" s="231">
        <f t="shared" si="33"/>
        <v>20405.000000000004</v>
      </c>
      <c r="L139" s="11">
        <f t="shared" si="33"/>
        <v>20405.000000000004</v>
      </c>
      <c r="M139" s="11">
        <f t="shared" si="33"/>
        <v>20405.000000000004</v>
      </c>
      <c r="N139" s="11">
        <f t="shared" si="33"/>
        <v>20405.000000000004</v>
      </c>
      <c r="O139" s="11">
        <f t="shared" si="33"/>
        <v>20405.000000000004</v>
      </c>
      <c r="P139" s="11">
        <f t="shared" si="33"/>
        <v>20405.000000000004</v>
      </c>
      <c r="Q139" s="11">
        <f t="shared" si="33"/>
        <v>20405.000000000004</v>
      </c>
      <c r="R139" s="80">
        <f t="shared" si="33"/>
        <v>20405.000000000004</v>
      </c>
    </row>
    <row r="140" spans="1:18" ht="30" x14ac:dyDescent="0.25">
      <c r="B140" s="201" t="s">
        <v>567</v>
      </c>
      <c r="C140" s="11">
        <f>C136+C138</f>
        <v>420661.26131944451</v>
      </c>
      <c r="D140" s="11">
        <f t="shared" ref="D140:R140" si="34">D136+D138</f>
        <v>420661.26131944451</v>
      </c>
      <c r="E140" s="11">
        <f t="shared" si="34"/>
        <v>420661.26131944451</v>
      </c>
      <c r="F140" s="11">
        <f t="shared" si="34"/>
        <v>420661.26131944451</v>
      </c>
      <c r="G140" s="11">
        <f t="shared" si="34"/>
        <v>420661.26131944451</v>
      </c>
      <c r="H140" s="11">
        <f t="shared" si="34"/>
        <v>420661.26131944451</v>
      </c>
      <c r="I140" s="11">
        <f t="shared" si="34"/>
        <v>420661.26131944451</v>
      </c>
      <c r="J140" s="80">
        <f t="shared" si="34"/>
        <v>420661.26131944451</v>
      </c>
      <c r="K140" s="231">
        <f t="shared" si="34"/>
        <v>420661.26131944451</v>
      </c>
      <c r="L140" s="11">
        <f t="shared" si="34"/>
        <v>420661.26131944451</v>
      </c>
      <c r="M140" s="11">
        <f t="shared" si="34"/>
        <v>420661.26131944451</v>
      </c>
      <c r="N140" s="11">
        <f t="shared" si="34"/>
        <v>420661.26131944451</v>
      </c>
      <c r="O140" s="11">
        <f t="shared" si="34"/>
        <v>420661.26131944451</v>
      </c>
      <c r="P140" s="11">
        <f t="shared" si="34"/>
        <v>420661.26131944451</v>
      </c>
      <c r="Q140" s="11">
        <f t="shared" si="34"/>
        <v>420661.26131944451</v>
      </c>
      <c r="R140" s="11">
        <f t="shared" si="34"/>
        <v>420661.26131944451</v>
      </c>
    </row>
    <row r="141" spans="1:18" ht="30.75" thickBot="1" x14ac:dyDescent="0.3">
      <c r="B141" s="122" t="s">
        <v>568</v>
      </c>
      <c r="C141" s="36">
        <f>C137+C139</f>
        <v>285115.5508055556</v>
      </c>
      <c r="D141" s="36">
        <f t="shared" ref="D141:R141" si="35">D137+D139</f>
        <v>285115.5508055556</v>
      </c>
      <c r="E141" s="36">
        <f t="shared" si="35"/>
        <v>285115.5508055556</v>
      </c>
      <c r="F141" s="36">
        <f t="shared" si="35"/>
        <v>285115.5508055556</v>
      </c>
      <c r="G141" s="36">
        <f t="shared" si="35"/>
        <v>285115.5508055556</v>
      </c>
      <c r="H141" s="36">
        <f t="shared" si="35"/>
        <v>285115.5508055556</v>
      </c>
      <c r="I141" s="36">
        <f t="shared" si="35"/>
        <v>285115.5508055556</v>
      </c>
      <c r="J141" s="36">
        <f t="shared" si="35"/>
        <v>285115.5508055556</v>
      </c>
      <c r="K141" s="36">
        <f t="shared" si="35"/>
        <v>285115.5508055556</v>
      </c>
      <c r="L141" s="36">
        <f t="shared" si="35"/>
        <v>285115.5508055556</v>
      </c>
      <c r="M141" s="36">
        <f t="shared" si="35"/>
        <v>285115.5508055556</v>
      </c>
      <c r="N141" s="36">
        <f t="shared" si="35"/>
        <v>285115.5508055556</v>
      </c>
      <c r="O141" s="36">
        <f t="shared" si="35"/>
        <v>285115.5508055556</v>
      </c>
      <c r="P141" s="36">
        <f t="shared" si="35"/>
        <v>285115.5508055556</v>
      </c>
      <c r="Q141" s="36">
        <f t="shared" si="35"/>
        <v>285115.5508055556</v>
      </c>
      <c r="R141" s="36">
        <f t="shared" si="35"/>
        <v>285115.5508055556</v>
      </c>
    </row>
    <row r="145" spans="6:6" x14ac:dyDescent="0.25">
      <c r="F145">
        <f>40000000/8</f>
        <v>5000000</v>
      </c>
    </row>
  </sheetData>
  <mergeCells count="47">
    <mergeCell ref="K33:P33"/>
    <mergeCell ref="K21:K23"/>
    <mergeCell ref="K24:P24"/>
    <mergeCell ref="K28:P28"/>
    <mergeCell ref="K29:K31"/>
    <mergeCell ref="K32:P32"/>
    <mergeCell ref="R13:S13"/>
    <mergeCell ref="T13:T14"/>
    <mergeCell ref="L14:M14"/>
    <mergeCell ref="K19:L20"/>
    <mergeCell ref="O19:P19"/>
    <mergeCell ref="Q19:R19"/>
    <mergeCell ref="T20:U20"/>
    <mergeCell ref="N10:O10"/>
    <mergeCell ref="N11:O11"/>
    <mergeCell ref="N12:Q12"/>
    <mergeCell ref="K13:M13"/>
    <mergeCell ref="N13:N14"/>
    <mergeCell ref="O13:O14"/>
    <mergeCell ref="P13:P14"/>
    <mergeCell ref="Q13:Q14"/>
    <mergeCell ref="K4:W4"/>
    <mergeCell ref="M5:N5"/>
    <mergeCell ref="P5:T5"/>
    <mergeCell ref="M6:N6"/>
    <mergeCell ref="N9:O9"/>
    <mergeCell ref="B68:B70"/>
    <mergeCell ref="F68:F70"/>
    <mergeCell ref="I68:I69"/>
    <mergeCell ref="L68:L69"/>
    <mergeCell ref="B71:B73"/>
    <mergeCell ref="F71:F73"/>
    <mergeCell ref="I71:I72"/>
    <mergeCell ref="L71:L72"/>
    <mergeCell ref="L63:N63"/>
    <mergeCell ref="F65:F67"/>
    <mergeCell ref="I65:I66"/>
    <mergeCell ref="L65:L66"/>
    <mergeCell ref="B65:B67"/>
    <mergeCell ref="F63:H63"/>
    <mergeCell ref="I63:K63"/>
    <mergeCell ref="D3:F3"/>
    <mergeCell ref="D24:F24"/>
    <mergeCell ref="D38:F38"/>
    <mergeCell ref="G3:I3"/>
    <mergeCell ref="G24:I24"/>
    <mergeCell ref="G38:I38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5"/>
  <sheetViews>
    <sheetView workbookViewId="0">
      <selection activeCell="D27" sqref="D27"/>
    </sheetView>
  </sheetViews>
  <sheetFormatPr defaultRowHeight="15" x14ac:dyDescent="0.25"/>
  <cols>
    <col min="1" max="1" width="27.85546875" customWidth="1"/>
    <col min="2" max="3" width="14.85546875" customWidth="1"/>
    <col min="4" max="4" width="33" bestFit="1" customWidth="1"/>
    <col min="5" max="5" width="13.85546875" customWidth="1"/>
    <col min="6" max="6" width="10.5703125" bestFit="1" customWidth="1"/>
  </cols>
  <sheetData>
    <row r="2" spans="1:5" ht="15.75" thickBot="1" x14ac:dyDescent="0.3"/>
    <row r="3" spans="1:5" ht="30" x14ac:dyDescent="0.25">
      <c r="A3" s="2"/>
      <c r="B3" s="42" t="s">
        <v>594</v>
      </c>
      <c r="C3" s="42" t="s">
        <v>593</v>
      </c>
      <c r="D3" s="125" t="s">
        <v>605</v>
      </c>
    </row>
    <row r="4" spans="1:5" x14ac:dyDescent="0.25">
      <c r="A4" s="10" t="s">
        <v>587</v>
      </c>
      <c r="B4" s="8">
        <v>6.22</v>
      </c>
      <c r="C4" s="8">
        <v>0.8</v>
      </c>
      <c r="D4" s="9">
        <v>204.12</v>
      </c>
    </row>
    <row r="5" spans="1:5" ht="15.75" thickBot="1" x14ac:dyDescent="0.3">
      <c r="A5" s="12" t="s">
        <v>588</v>
      </c>
      <c r="B5" s="228">
        <f>B4/1.24</f>
        <v>5.0161290322580641</v>
      </c>
      <c r="C5" s="228">
        <f t="shared" ref="C5:D5" si="0">C4/1.24</f>
        <v>0.64516129032258074</v>
      </c>
      <c r="D5" s="229">
        <f t="shared" si="0"/>
        <v>164.61290322580646</v>
      </c>
    </row>
    <row r="7" spans="1:5" ht="15.75" thickBot="1" x14ac:dyDescent="0.3"/>
    <row r="8" spans="1:5" x14ac:dyDescent="0.25">
      <c r="A8" s="38" t="s">
        <v>589</v>
      </c>
      <c r="B8" s="106"/>
      <c r="D8" s="38" t="s">
        <v>590</v>
      </c>
      <c r="E8" s="106"/>
    </row>
    <row r="9" spans="1:5" x14ac:dyDescent="0.25">
      <c r="A9" s="87" t="s">
        <v>591</v>
      </c>
      <c r="B9" s="80">
        <f>'Sistem colectare'!C5</f>
        <v>27359</v>
      </c>
      <c r="D9" s="87" t="s">
        <v>591</v>
      </c>
      <c r="E9" s="80">
        <f>'Sistem colectare'!C40</f>
        <v>10375</v>
      </c>
    </row>
    <row r="10" spans="1:5" x14ac:dyDescent="0.25">
      <c r="A10" s="87" t="s">
        <v>592</v>
      </c>
      <c r="B10" s="80">
        <f>'Sistem colectare'!C19-'Sistem colectare'!C5+'Sistem colectare'!C34</f>
        <v>66727</v>
      </c>
      <c r="D10" s="87" t="s">
        <v>592</v>
      </c>
      <c r="E10" s="80">
        <f>'Sistem colectare'!C61-'Sistem colectare'!C40</f>
        <v>56397</v>
      </c>
    </row>
    <row r="11" spans="1:5" ht="30" x14ac:dyDescent="0.25">
      <c r="A11" s="87" t="s">
        <v>599</v>
      </c>
      <c r="B11" s="80">
        <f>'Statii de transfer'!J22</f>
        <v>15683.956982422553</v>
      </c>
      <c r="D11" s="87" t="s">
        <v>599</v>
      </c>
      <c r="E11" s="80">
        <f>'Statii de transfer'!O22</f>
        <v>7677.1346714113297</v>
      </c>
    </row>
    <row r="12" spans="1:5" x14ac:dyDescent="0.25">
      <c r="A12" s="87"/>
      <c r="B12" s="9"/>
      <c r="D12" s="87"/>
      <c r="E12" s="9"/>
    </row>
    <row r="13" spans="1:5" x14ac:dyDescent="0.25">
      <c r="A13" s="87" t="s">
        <v>598</v>
      </c>
      <c r="B13" s="9"/>
      <c r="D13" s="87" t="s">
        <v>598</v>
      </c>
      <c r="E13" s="9"/>
    </row>
    <row r="14" spans="1:5" x14ac:dyDescent="0.25">
      <c r="A14" s="87" t="s">
        <v>595</v>
      </c>
      <c r="B14" s="80">
        <f>B9*B5*12</f>
        <v>1646835.2903225804</v>
      </c>
      <c r="D14" s="87" t="s">
        <v>595</v>
      </c>
      <c r="E14" s="80">
        <f>E9*B5*12</f>
        <v>624508.06451612897</v>
      </c>
    </row>
    <row r="15" spans="1:5" x14ac:dyDescent="0.25">
      <c r="A15" s="87" t="s">
        <v>596</v>
      </c>
      <c r="B15" s="80">
        <f>B10*C5*12</f>
        <v>516596.12903225818</v>
      </c>
      <c r="D15" s="87" t="s">
        <v>596</v>
      </c>
      <c r="E15" s="80">
        <f>E10*C5*12</f>
        <v>436621.93548387103</v>
      </c>
    </row>
    <row r="16" spans="1:5" ht="30" x14ac:dyDescent="0.25">
      <c r="A16" s="87" t="s">
        <v>597</v>
      </c>
      <c r="B16" s="80">
        <f>D5*B11</f>
        <v>2581781.6929452354</v>
      </c>
      <c r="D16" s="87" t="s">
        <v>597</v>
      </c>
      <c r="E16" s="80">
        <f>E11*D5</f>
        <v>1263755.4267165167</v>
      </c>
    </row>
    <row r="17" spans="1:6" x14ac:dyDescent="0.25">
      <c r="A17" s="87" t="s">
        <v>604</v>
      </c>
      <c r="B17" s="96">
        <f>B16+B15+B14</f>
        <v>4745213.1123000737</v>
      </c>
      <c r="D17" s="87" t="s">
        <v>600</v>
      </c>
      <c r="E17" s="96">
        <f>E16+E15+E14</f>
        <v>2324885.4267165167</v>
      </c>
      <c r="F17" s="222">
        <f>E18/E17</f>
        <v>0.12263638781040068</v>
      </c>
    </row>
    <row r="18" spans="1:6" x14ac:dyDescent="0.25">
      <c r="A18" s="87" t="s">
        <v>603</v>
      </c>
      <c r="B18" s="80">
        <f>'Sistem colectare'!C140</f>
        <v>420661.26131944451</v>
      </c>
      <c r="C18" s="222">
        <f>B18/B17</f>
        <v>8.8649603582407685E-2</v>
      </c>
      <c r="D18" s="87" t="s">
        <v>603</v>
      </c>
      <c r="E18" s="80">
        <f>'Sistem colectare'!C141</f>
        <v>285115.5508055556</v>
      </c>
    </row>
    <row r="19" spans="1:6" x14ac:dyDescent="0.25">
      <c r="A19" s="87" t="s">
        <v>601</v>
      </c>
      <c r="B19" s="96">
        <f>B17*8</f>
        <v>37961704.89840059</v>
      </c>
      <c r="D19" s="87" t="s">
        <v>601</v>
      </c>
      <c r="E19" s="80">
        <f>E17*8</f>
        <v>18599083.413732134</v>
      </c>
    </row>
    <row r="20" spans="1:6" ht="15.75" thickBot="1" x14ac:dyDescent="0.3">
      <c r="A20" s="93" t="s">
        <v>602</v>
      </c>
      <c r="B20" s="73">
        <f>B19/4.081</f>
        <v>9302059.5193336401</v>
      </c>
      <c r="D20" s="93" t="s">
        <v>602</v>
      </c>
      <c r="E20" s="73">
        <f>E19/4.081</f>
        <v>4557481.8460505102</v>
      </c>
    </row>
    <row r="22" spans="1:6" x14ac:dyDescent="0.25">
      <c r="C22" s="88">
        <f>B17+E17</f>
        <v>7070098.5390165905</v>
      </c>
    </row>
    <row r="23" spans="1:6" x14ac:dyDescent="0.25">
      <c r="C23" s="165">
        <f>C22/4.081</f>
        <v>1732442.6706730188</v>
      </c>
    </row>
    <row r="25" spans="1:6" x14ac:dyDescent="0.25">
      <c r="C25" s="88">
        <f>B19+E19</f>
        <v>56560788.312132724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71"/>
  <sheetViews>
    <sheetView workbookViewId="0">
      <selection activeCell="G11" sqref="G11"/>
    </sheetView>
  </sheetViews>
  <sheetFormatPr defaultRowHeight="15" x14ac:dyDescent="0.25"/>
  <cols>
    <col min="2" max="2" width="22.5703125" bestFit="1" customWidth="1"/>
    <col min="3" max="3" width="16.85546875" customWidth="1"/>
    <col min="4" max="4" width="11.140625" customWidth="1"/>
    <col min="6" max="6" width="12.85546875" customWidth="1"/>
    <col min="7" max="7" width="11.7109375" customWidth="1"/>
    <col min="9" max="9" width="11.7109375" customWidth="1"/>
    <col min="10" max="10" width="11.5703125" customWidth="1"/>
  </cols>
  <sheetData>
    <row r="2" spans="2:9" ht="15.75" thickBot="1" x14ac:dyDescent="0.3">
      <c r="B2" s="1" t="s">
        <v>291</v>
      </c>
    </row>
    <row r="3" spans="2:9" x14ac:dyDescent="0.25">
      <c r="B3" s="26"/>
      <c r="C3" s="317" t="s">
        <v>180</v>
      </c>
      <c r="D3" s="315"/>
      <c r="E3" s="318"/>
      <c r="F3" s="369" t="s">
        <v>181</v>
      </c>
      <c r="G3" s="315"/>
      <c r="H3" s="315"/>
      <c r="I3" s="370" t="s">
        <v>179</v>
      </c>
    </row>
    <row r="4" spans="2:9" ht="30" x14ac:dyDescent="0.25">
      <c r="B4" s="27" t="s">
        <v>172</v>
      </c>
      <c r="C4" s="33" t="s">
        <v>173</v>
      </c>
      <c r="D4" s="7" t="s">
        <v>174</v>
      </c>
      <c r="E4" s="25" t="s">
        <v>175</v>
      </c>
      <c r="F4" s="30" t="s">
        <v>176</v>
      </c>
      <c r="G4" s="7" t="s">
        <v>177</v>
      </c>
      <c r="H4" s="7" t="s">
        <v>178</v>
      </c>
      <c r="I4" s="371"/>
    </row>
    <row r="5" spans="2:9" x14ac:dyDescent="0.25">
      <c r="B5" s="28" t="s">
        <v>170</v>
      </c>
      <c r="C5" s="10">
        <v>4</v>
      </c>
      <c r="D5" s="8">
        <v>2</v>
      </c>
      <c r="E5" s="9">
        <v>2</v>
      </c>
      <c r="F5" s="31">
        <v>2</v>
      </c>
      <c r="G5" s="8">
        <v>2</v>
      </c>
      <c r="H5" s="8">
        <v>1</v>
      </c>
      <c r="I5" s="9">
        <v>1</v>
      </c>
    </row>
    <row r="6" spans="2:9" x14ac:dyDescent="0.25">
      <c r="B6" s="28" t="s">
        <v>132</v>
      </c>
      <c r="C6" s="10">
        <v>0</v>
      </c>
      <c r="D6" s="8">
        <v>0</v>
      </c>
      <c r="E6" s="9">
        <v>0</v>
      </c>
      <c r="F6" s="31">
        <v>1</v>
      </c>
      <c r="G6" s="8">
        <v>1</v>
      </c>
      <c r="H6" s="8">
        <v>1</v>
      </c>
      <c r="I6" s="9">
        <v>0</v>
      </c>
    </row>
    <row r="7" spans="2:9" ht="15.75" thickBot="1" x14ac:dyDescent="0.3">
      <c r="B7" s="29" t="s">
        <v>171</v>
      </c>
      <c r="C7" s="12">
        <v>1</v>
      </c>
      <c r="D7" s="13">
        <v>1</v>
      </c>
      <c r="E7" s="14">
        <v>1</v>
      </c>
      <c r="F7" s="32">
        <v>3</v>
      </c>
      <c r="G7" s="13">
        <v>3</v>
      </c>
      <c r="H7" s="13">
        <v>3</v>
      </c>
      <c r="I7" s="14">
        <v>1</v>
      </c>
    </row>
    <row r="8" spans="2:9" x14ac:dyDescent="0.25">
      <c r="B8" s="1"/>
    </row>
    <row r="9" spans="2:9" ht="15.75" thickBot="1" x14ac:dyDescent="0.3">
      <c r="B9" s="1" t="s">
        <v>292</v>
      </c>
    </row>
    <row r="10" spans="2:9" ht="30" x14ac:dyDescent="0.25">
      <c r="B10" s="2"/>
      <c r="C10" s="34" t="s">
        <v>294</v>
      </c>
      <c r="D10" s="34" t="s">
        <v>247</v>
      </c>
      <c r="E10" s="34" t="s">
        <v>27</v>
      </c>
      <c r="F10" s="163" t="s">
        <v>295</v>
      </c>
      <c r="G10" s="164" t="s">
        <v>389</v>
      </c>
    </row>
    <row r="11" spans="2:9" x14ac:dyDescent="0.25">
      <c r="B11" s="10" t="s">
        <v>293</v>
      </c>
      <c r="C11" s="8">
        <v>1</v>
      </c>
      <c r="D11" s="8">
        <v>35000</v>
      </c>
      <c r="E11" s="8">
        <f>D11*C11</f>
        <v>35000</v>
      </c>
      <c r="F11" s="8">
        <v>10</v>
      </c>
      <c r="G11" s="9">
        <f>E11/F11</f>
        <v>3500</v>
      </c>
    </row>
    <row r="12" spans="2:9" x14ac:dyDescent="0.25">
      <c r="B12" s="10" t="s">
        <v>187</v>
      </c>
      <c r="C12" s="8">
        <v>1</v>
      </c>
      <c r="D12" s="8">
        <v>35000</v>
      </c>
      <c r="E12" s="8">
        <f>D12*C12</f>
        <v>35000</v>
      </c>
      <c r="F12" s="8">
        <v>10</v>
      </c>
      <c r="G12" s="9">
        <f>E12/F12</f>
        <v>3500</v>
      </c>
    </row>
    <row r="13" spans="2:9" ht="15.75" thickBot="1" x14ac:dyDescent="0.3">
      <c r="B13" s="19" t="s">
        <v>27</v>
      </c>
      <c r="C13" s="13"/>
      <c r="D13" s="13"/>
      <c r="E13" s="13">
        <f>E11+E12</f>
        <v>70000</v>
      </c>
      <c r="F13" s="13"/>
      <c r="G13" s="14"/>
    </row>
    <row r="15" spans="2:9" ht="15.75" thickBot="1" x14ac:dyDescent="0.3">
      <c r="B15" t="s">
        <v>1</v>
      </c>
    </row>
    <row r="16" spans="2:9" x14ac:dyDescent="0.25">
      <c r="B16" s="133" t="s">
        <v>368</v>
      </c>
      <c r="C16" s="134">
        <v>12</v>
      </c>
      <c r="D16" s="134" t="s">
        <v>369</v>
      </c>
      <c r="E16" s="135"/>
    </row>
    <row r="17" spans="2:10" x14ac:dyDescent="0.25">
      <c r="B17" s="136" t="s">
        <v>370</v>
      </c>
      <c r="C17" s="137">
        <v>0.67</v>
      </c>
      <c r="D17" s="137" t="s">
        <v>371</v>
      </c>
      <c r="E17" s="138"/>
    </row>
    <row r="18" spans="2:10" x14ac:dyDescent="0.25">
      <c r="B18" s="136" t="s">
        <v>372</v>
      </c>
      <c r="C18" s="137">
        <v>88350</v>
      </c>
      <c r="D18" s="137" t="s">
        <v>373</v>
      </c>
      <c r="E18" s="138"/>
    </row>
    <row r="19" spans="2:10" ht="15.75" thickBot="1" x14ac:dyDescent="0.3">
      <c r="B19" s="136" t="s">
        <v>374</v>
      </c>
      <c r="C19" s="137">
        <v>33</v>
      </c>
      <c r="D19" s="145" t="s">
        <v>375</v>
      </c>
      <c r="E19" s="140"/>
    </row>
    <row r="20" spans="2:10" x14ac:dyDescent="0.25">
      <c r="B20" s="364" t="s">
        <v>384</v>
      </c>
      <c r="C20" s="365"/>
      <c r="D20" s="366" t="s">
        <v>385</v>
      </c>
      <c r="E20" s="366"/>
      <c r="F20" s="366"/>
      <c r="G20" s="366"/>
      <c r="H20" s="366"/>
      <c r="I20" s="366"/>
      <c r="J20" s="367"/>
    </row>
    <row r="21" spans="2:10" ht="30" x14ac:dyDescent="0.25">
      <c r="B21" s="136" t="s">
        <v>376</v>
      </c>
      <c r="C21" s="137">
        <v>465</v>
      </c>
      <c r="D21" s="137" t="s">
        <v>190</v>
      </c>
      <c r="E21" s="137" t="s">
        <v>192</v>
      </c>
      <c r="F21" s="137" t="s">
        <v>194</v>
      </c>
      <c r="G21" s="137" t="s">
        <v>191</v>
      </c>
      <c r="H21" s="137" t="s">
        <v>197</v>
      </c>
      <c r="I21" s="139" t="s">
        <v>377</v>
      </c>
      <c r="J21" s="138" t="s">
        <v>378</v>
      </c>
    </row>
    <row r="22" spans="2:10" x14ac:dyDescent="0.25">
      <c r="B22" s="136" t="s">
        <v>28</v>
      </c>
      <c r="C22" s="137">
        <f>'Sistem colectare'!C19</f>
        <v>67829</v>
      </c>
      <c r="D22" s="137"/>
      <c r="E22" s="137"/>
      <c r="F22" s="137"/>
      <c r="G22" s="137"/>
      <c r="H22" s="137"/>
      <c r="I22" s="137"/>
      <c r="J22" s="138"/>
    </row>
    <row r="23" spans="2:10" x14ac:dyDescent="0.25">
      <c r="B23" s="136" t="s">
        <v>321</v>
      </c>
      <c r="C23" s="137">
        <f>'Sistem colectare'!C5</f>
        <v>27359</v>
      </c>
      <c r="D23" s="137">
        <v>169</v>
      </c>
      <c r="E23" s="137">
        <v>22</v>
      </c>
      <c r="F23" s="137">
        <v>29</v>
      </c>
      <c r="G23" s="137">
        <v>23</v>
      </c>
      <c r="H23" s="137">
        <v>64</v>
      </c>
      <c r="I23" s="137">
        <v>44</v>
      </c>
      <c r="J23" s="138">
        <v>2</v>
      </c>
    </row>
    <row r="24" spans="2:10" x14ac:dyDescent="0.25">
      <c r="B24" s="136" t="s">
        <v>322</v>
      </c>
      <c r="C24" s="137">
        <f>SUM('Sistem colectare'!C6:C18)</f>
        <v>40470</v>
      </c>
      <c r="D24" s="137">
        <v>34</v>
      </c>
      <c r="E24" s="137">
        <v>11</v>
      </c>
      <c r="F24" s="137">
        <v>15</v>
      </c>
      <c r="G24" s="137">
        <v>12</v>
      </c>
      <c r="H24" s="137">
        <v>30</v>
      </c>
      <c r="I24" s="137">
        <v>23</v>
      </c>
      <c r="J24" s="138">
        <v>1</v>
      </c>
    </row>
    <row r="25" spans="2:10" x14ac:dyDescent="0.25">
      <c r="B25" s="364" t="s">
        <v>379</v>
      </c>
      <c r="C25" s="365"/>
      <c r="D25" s="365"/>
      <c r="E25" s="365"/>
      <c r="F25" s="365"/>
      <c r="G25" s="365"/>
      <c r="H25" s="365"/>
      <c r="I25" s="365"/>
      <c r="J25" s="368"/>
    </row>
    <row r="26" spans="2:10" x14ac:dyDescent="0.25">
      <c r="B26" s="364" t="s">
        <v>380</v>
      </c>
      <c r="C26" s="365"/>
      <c r="D26" s="141" t="s">
        <v>190</v>
      </c>
      <c r="E26" s="365" t="s">
        <v>381</v>
      </c>
      <c r="F26" s="365"/>
      <c r="G26" s="365"/>
      <c r="H26" s="141" t="s">
        <v>197</v>
      </c>
      <c r="I26" s="141" t="s">
        <v>27</v>
      </c>
      <c r="J26" s="142" t="s">
        <v>378</v>
      </c>
    </row>
    <row r="27" spans="2:10" x14ac:dyDescent="0.25">
      <c r="B27" s="358" t="s">
        <v>382</v>
      </c>
      <c r="C27" s="359"/>
      <c r="D27" s="137">
        <v>4</v>
      </c>
      <c r="E27" s="360">
        <v>2</v>
      </c>
      <c r="F27" s="360"/>
      <c r="G27" s="360"/>
      <c r="H27" s="137">
        <v>2</v>
      </c>
      <c r="I27" s="137">
        <f>SUM(D27:H27)</f>
        <v>8</v>
      </c>
      <c r="J27" s="138">
        <v>1</v>
      </c>
    </row>
    <row r="28" spans="2:10" x14ac:dyDescent="0.25">
      <c r="B28" s="358" t="s">
        <v>383</v>
      </c>
      <c r="C28" s="359"/>
      <c r="D28" s="137">
        <v>2</v>
      </c>
      <c r="E28" s="360">
        <v>2</v>
      </c>
      <c r="F28" s="360"/>
      <c r="G28" s="360"/>
      <c r="H28" s="137">
        <v>1</v>
      </c>
      <c r="I28" s="137">
        <f>SUM(D28:H28)</f>
        <v>5</v>
      </c>
      <c r="J28" s="138">
        <v>0</v>
      </c>
    </row>
    <row r="29" spans="2:10" ht="15.75" thickBot="1" x14ac:dyDescent="0.3">
      <c r="B29" s="361" t="s">
        <v>27</v>
      </c>
      <c r="C29" s="362"/>
      <c r="D29" s="362"/>
      <c r="E29" s="362"/>
      <c r="F29" s="362"/>
      <c r="G29" s="362"/>
      <c r="H29" s="363"/>
      <c r="I29" s="143">
        <f>I27+I28</f>
        <v>13</v>
      </c>
      <c r="J29" s="144">
        <f>J27+J28</f>
        <v>1</v>
      </c>
    </row>
    <row r="30" spans="2:10" x14ac:dyDescent="0.25">
      <c r="D30" t="s">
        <v>398</v>
      </c>
      <c r="E30" t="s">
        <v>182</v>
      </c>
    </row>
    <row r="31" spans="2:10" x14ac:dyDescent="0.25">
      <c r="C31" t="s">
        <v>192</v>
      </c>
      <c r="D31">
        <f>E23+E24</f>
        <v>33</v>
      </c>
      <c r="E31">
        <f>D31*54</f>
        <v>1782</v>
      </c>
    </row>
    <row r="32" spans="2:10" x14ac:dyDescent="0.25">
      <c r="C32" t="s">
        <v>194</v>
      </c>
      <c r="D32">
        <f>F23+F24</f>
        <v>44</v>
      </c>
      <c r="E32">
        <f t="shared" ref="E32:E33" si="0">D32*54</f>
        <v>2376</v>
      </c>
    </row>
    <row r="33" spans="2:10" x14ac:dyDescent="0.25">
      <c r="C33" t="s">
        <v>397</v>
      </c>
      <c r="D33">
        <f>G23+G24</f>
        <v>35</v>
      </c>
      <c r="E33">
        <f t="shared" si="0"/>
        <v>1890</v>
      </c>
    </row>
    <row r="40" spans="2:10" ht="15.75" thickBot="1" x14ac:dyDescent="0.3">
      <c r="B40" s="1" t="s">
        <v>132</v>
      </c>
    </row>
    <row r="41" spans="2:10" x14ac:dyDescent="0.25">
      <c r="B41" s="133" t="s">
        <v>368</v>
      </c>
      <c r="C41" s="134">
        <v>7</v>
      </c>
      <c r="D41" s="134" t="s">
        <v>369</v>
      </c>
      <c r="E41" s="135"/>
    </row>
    <row r="42" spans="2:10" x14ac:dyDescent="0.25">
      <c r="B42" s="136" t="s">
        <v>370</v>
      </c>
      <c r="C42" s="137">
        <v>1.1399999999999999</v>
      </c>
      <c r="D42" s="137" t="s">
        <v>371</v>
      </c>
      <c r="E42" s="138"/>
    </row>
    <row r="43" spans="2:10" x14ac:dyDescent="0.25">
      <c r="B43" s="136" t="s">
        <v>372</v>
      </c>
      <c r="C43" s="137">
        <v>85533</v>
      </c>
      <c r="D43" s="137" t="s">
        <v>373</v>
      </c>
      <c r="E43" s="138"/>
    </row>
    <row r="44" spans="2:10" ht="15.75" thickBot="1" x14ac:dyDescent="0.3">
      <c r="B44" s="136" t="s">
        <v>374</v>
      </c>
      <c r="C44" s="137">
        <v>32</v>
      </c>
      <c r="D44" s="145" t="s">
        <v>375</v>
      </c>
      <c r="E44" s="140"/>
    </row>
    <row r="45" spans="2:10" x14ac:dyDescent="0.25">
      <c r="B45" s="364" t="s">
        <v>384</v>
      </c>
      <c r="C45" s="365"/>
      <c r="D45" s="366" t="s">
        <v>385</v>
      </c>
      <c r="E45" s="366"/>
      <c r="F45" s="366"/>
      <c r="G45" s="366"/>
      <c r="H45" s="366"/>
      <c r="I45" s="366"/>
      <c r="J45" s="367"/>
    </row>
    <row r="46" spans="2:10" ht="30" x14ac:dyDescent="0.25">
      <c r="B46" s="136" t="s">
        <v>376</v>
      </c>
      <c r="C46" s="137">
        <v>263</v>
      </c>
      <c r="D46" s="137" t="s">
        <v>190</v>
      </c>
      <c r="E46" s="137" t="s">
        <v>192</v>
      </c>
      <c r="F46" s="137" t="s">
        <v>194</v>
      </c>
      <c r="G46" s="137" t="s">
        <v>191</v>
      </c>
      <c r="H46" s="137" t="s">
        <v>197</v>
      </c>
      <c r="I46" s="139" t="s">
        <v>377</v>
      </c>
      <c r="J46" s="138" t="s">
        <v>378</v>
      </c>
    </row>
    <row r="47" spans="2:10" x14ac:dyDescent="0.25">
      <c r="B47" s="136" t="s">
        <v>28</v>
      </c>
      <c r="C47" s="137">
        <f>'Sistem colectare'!C34</f>
        <v>26257</v>
      </c>
      <c r="D47" s="137"/>
      <c r="E47" s="137"/>
      <c r="F47" s="137"/>
      <c r="G47" s="137"/>
      <c r="H47" s="137"/>
      <c r="I47" s="137"/>
      <c r="J47" s="138"/>
    </row>
    <row r="48" spans="2:10" x14ac:dyDescent="0.25">
      <c r="B48" s="136" t="s">
        <v>321</v>
      </c>
      <c r="C48" s="137">
        <v>0</v>
      </c>
      <c r="D48" s="137">
        <v>0</v>
      </c>
      <c r="E48" s="137">
        <v>0</v>
      </c>
      <c r="F48" s="137">
        <v>0</v>
      </c>
      <c r="G48" s="137">
        <v>0</v>
      </c>
      <c r="H48" s="137">
        <v>0</v>
      </c>
      <c r="I48" s="137">
        <v>0</v>
      </c>
      <c r="J48" s="138">
        <v>0</v>
      </c>
    </row>
    <row r="49" spans="2:10" x14ac:dyDescent="0.25">
      <c r="B49" s="136" t="s">
        <v>322</v>
      </c>
      <c r="C49" s="137">
        <f>C47</f>
        <v>26257</v>
      </c>
      <c r="D49" s="137">
        <v>21</v>
      </c>
      <c r="E49" s="137">
        <v>7</v>
      </c>
      <c r="F49" s="137">
        <v>9</v>
      </c>
      <c r="G49" s="137">
        <v>7</v>
      </c>
      <c r="H49" s="137">
        <v>18</v>
      </c>
      <c r="I49" s="137">
        <v>14</v>
      </c>
      <c r="J49" s="138">
        <v>1</v>
      </c>
    </row>
    <row r="50" spans="2:10" x14ac:dyDescent="0.25">
      <c r="B50" s="364" t="s">
        <v>379</v>
      </c>
      <c r="C50" s="365"/>
      <c r="D50" s="365"/>
      <c r="E50" s="365"/>
      <c r="F50" s="365"/>
      <c r="G50" s="365"/>
      <c r="H50" s="365"/>
      <c r="I50" s="365"/>
      <c r="J50" s="368"/>
    </row>
    <row r="51" spans="2:10" x14ac:dyDescent="0.25">
      <c r="B51" s="364" t="s">
        <v>380</v>
      </c>
      <c r="C51" s="365"/>
      <c r="D51" s="141" t="s">
        <v>190</v>
      </c>
      <c r="E51" s="365" t="s">
        <v>381</v>
      </c>
      <c r="F51" s="365"/>
      <c r="G51" s="365"/>
      <c r="H51" s="141" t="s">
        <v>197</v>
      </c>
      <c r="I51" s="141" t="s">
        <v>27</v>
      </c>
      <c r="J51" s="142" t="s">
        <v>378</v>
      </c>
    </row>
    <row r="52" spans="2:10" x14ac:dyDescent="0.25">
      <c r="B52" s="358" t="s">
        <v>382</v>
      </c>
      <c r="C52" s="359"/>
      <c r="D52" s="137">
        <v>0</v>
      </c>
      <c r="E52" s="360">
        <v>0</v>
      </c>
      <c r="F52" s="360"/>
      <c r="G52" s="360"/>
      <c r="H52" s="137">
        <v>0</v>
      </c>
      <c r="I52" s="137">
        <v>0</v>
      </c>
      <c r="J52" s="138">
        <v>0</v>
      </c>
    </row>
    <row r="53" spans="2:10" x14ac:dyDescent="0.25">
      <c r="B53" s="358" t="s">
        <v>383</v>
      </c>
      <c r="C53" s="359"/>
      <c r="D53" s="137">
        <v>1</v>
      </c>
      <c r="E53" s="360">
        <v>1</v>
      </c>
      <c r="F53" s="360"/>
      <c r="G53" s="360"/>
      <c r="H53" s="137">
        <v>1</v>
      </c>
      <c r="I53" s="137">
        <v>3</v>
      </c>
      <c r="J53" s="138">
        <v>0</v>
      </c>
    </row>
    <row r="54" spans="2:10" ht="15.75" thickBot="1" x14ac:dyDescent="0.3">
      <c r="B54" s="361" t="s">
        <v>27</v>
      </c>
      <c r="C54" s="362"/>
      <c r="D54" s="362"/>
      <c r="E54" s="362"/>
      <c r="F54" s="362"/>
      <c r="G54" s="362"/>
      <c r="H54" s="363"/>
      <c r="I54" s="143">
        <f>I52+I53</f>
        <v>3</v>
      </c>
      <c r="J54" s="144">
        <f>J52+J53</f>
        <v>0</v>
      </c>
    </row>
    <row r="57" spans="2:10" ht="15.75" thickBot="1" x14ac:dyDescent="0.3">
      <c r="B57" s="1" t="s">
        <v>141</v>
      </c>
    </row>
    <row r="58" spans="2:10" x14ac:dyDescent="0.25">
      <c r="B58" s="133" t="s">
        <v>368</v>
      </c>
      <c r="C58" s="134">
        <v>23</v>
      </c>
      <c r="D58" s="134" t="s">
        <v>369</v>
      </c>
      <c r="E58" s="135"/>
    </row>
    <row r="59" spans="2:10" x14ac:dyDescent="0.25">
      <c r="B59" s="136" t="s">
        <v>370</v>
      </c>
      <c r="C59" s="137">
        <v>0.35</v>
      </c>
      <c r="D59" s="137" t="s">
        <v>371</v>
      </c>
      <c r="E59" s="138"/>
    </row>
    <row r="60" spans="2:10" x14ac:dyDescent="0.25">
      <c r="B60" s="136" t="s">
        <v>372</v>
      </c>
      <c r="C60" s="137">
        <v>87631</v>
      </c>
      <c r="D60" s="137" t="s">
        <v>373</v>
      </c>
      <c r="E60" s="138"/>
    </row>
    <row r="61" spans="2:10" ht="15.75" thickBot="1" x14ac:dyDescent="0.3">
      <c r="B61" s="136" t="s">
        <v>374</v>
      </c>
      <c r="C61" s="137">
        <v>32</v>
      </c>
      <c r="D61" s="145" t="s">
        <v>375</v>
      </c>
      <c r="E61" s="140"/>
    </row>
    <row r="62" spans="2:10" x14ac:dyDescent="0.25">
      <c r="B62" s="364" t="s">
        <v>384</v>
      </c>
      <c r="C62" s="365"/>
      <c r="D62" s="366" t="s">
        <v>385</v>
      </c>
      <c r="E62" s="366"/>
      <c r="F62" s="366"/>
      <c r="G62" s="366"/>
      <c r="H62" s="366"/>
      <c r="I62" s="366"/>
      <c r="J62" s="367"/>
    </row>
    <row r="63" spans="2:10" ht="30" x14ac:dyDescent="0.25">
      <c r="B63" s="136" t="s">
        <v>376</v>
      </c>
      <c r="C63" s="137">
        <v>884</v>
      </c>
      <c r="D63" s="137" t="s">
        <v>190</v>
      </c>
      <c r="E63" s="137" t="s">
        <v>192</v>
      </c>
      <c r="F63" s="137" t="s">
        <v>194</v>
      </c>
      <c r="G63" s="137" t="s">
        <v>191</v>
      </c>
      <c r="H63" s="137" t="s">
        <v>197</v>
      </c>
      <c r="I63" s="139" t="s">
        <v>377</v>
      </c>
      <c r="J63" s="138" t="s">
        <v>378</v>
      </c>
    </row>
    <row r="64" spans="2:10" x14ac:dyDescent="0.25">
      <c r="B64" s="136" t="s">
        <v>28</v>
      </c>
      <c r="C64" s="137">
        <f>'Sistem colectare'!C61</f>
        <v>66772</v>
      </c>
      <c r="D64" s="137"/>
      <c r="E64" s="137"/>
      <c r="F64" s="137"/>
      <c r="G64" s="137"/>
      <c r="H64" s="137"/>
      <c r="I64" s="137"/>
      <c r="J64" s="138"/>
    </row>
    <row r="65" spans="2:10" x14ac:dyDescent="0.25">
      <c r="B65" s="136" t="s">
        <v>321</v>
      </c>
      <c r="C65" s="137">
        <f>'Sistem colectare'!C40</f>
        <v>10375</v>
      </c>
      <c r="D65" s="137">
        <v>12</v>
      </c>
      <c r="E65" s="137">
        <v>1</v>
      </c>
      <c r="F65" s="137">
        <v>2</v>
      </c>
      <c r="G65" s="137">
        <v>2</v>
      </c>
      <c r="H65" s="137">
        <v>4</v>
      </c>
      <c r="I65" s="137">
        <v>3</v>
      </c>
      <c r="J65" s="138">
        <v>1</v>
      </c>
    </row>
    <row r="66" spans="2:10" x14ac:dyDescent="0.25">
      <c r="B66" s="136" t="s">
        <v>322</v>
      </c>
      <c r="C66" s="137">
        <f>SUM('Sistem colectare'!C41:C60)</f>
        <v>56397</v>
      </c>
      <c r="D66" s="137">
        <v>42</v>
      </c>
      <c r="E66" s="137">
        <v>14</v>
      </c>
      <c r="F66" s="137">
        <v>19</v>
      </c>
      <c r="G66" s="137">
        <v>15</v>
      </c>
      <c r="H66" s="137">
        <v>37</v>
      </c>
      <c r="I66" s="137">
        <v>28</v>
      </c>
      <c r="J66" s="138">
        <v>2</v>
      </c>
    </row>
    <row r="67" spans="2:10" x14ac:dyDescent="0.25">
      <c r="B67" s="364" t="s">
        <v>379</v>
      </c>
      <c r="C67" s="365"/>
      <c r="D67" s="365"/>
      <c r="E67" s="365"/>
      <c r="F67" s="365"/>
      <c r="G67" s="365"/>
      <c r="H67" s="365"/>
      <c r="I67" s="365"/>
      <c r="J67" s="368"/>
    </row>
    <row r="68" spans="2:10" x14ac:dyDescent="0.25">
      <c r="B68" s="364" t="s">
        <v>380</v>
      </c>
      <c r="C68" s="365"/>
      <c r="D68" s="141" t="s">
        <v>190</v>
      </c>
      <c r="E68" s="365" t="s">
        <v>381</v>
      </c>
      <c r="F68" s="365"/>
      <c r="G68" s="365"/>
      <c r="H68" s="141" t="s">
        <v>197</v>
      </c>
      <c r="I68" s="141" t="s">
        <v>27</v>
      </c>
      <c r="J68" s="142" t="s">
        <v>378</v>
      </c>
    </row>
    <row r="69" spans="2:10" x14ac:dyDescent="0.25">
      <c r="B69" s="358" t="s">
        <v>382</v>
      </c>
      <c r="C69" s="359"/>
      <c r="D69" s="137">
        <v>1</v>
      </c>
      <c r="E69" s="360">
        <v>1</v>
      </c>
      <c r="F69" s="360"/>
      <c r="G69" s="360"/>
      <c r="H69" s="137">
        <v>1</v>
      </c>
      <c r="I69" s="137">
        <f>SUM(D69:H69)</f>
        <v>3</v>
      </c>
      <c r="J69" s="138">
        <v>1</v>
      </c>
    </row>
    <row r="70" spans="2:10" x14ac:dyDescent="0.25">
      <c r="B70" s="358" t="s">
        <v>383</v>
      </c>
      <c r="C70" s="359"/>
      <c r="D70" s="137">
        <v>3</v>
      </c>
      <c r="E70" s="360">
        <v>3</v>
      </c>
      <c r="F70" s="360"/>
      <c r="G70" s="360"/>
      <c r="H70" s="137">
        <v>3</v>
      </c>
      <c r="I70" s="137">
        <f>SUM(D70:H70)</f>
        <v>9</v>
      </c>
      <c r="J70" s="138">
        <v>0</v>
      </c>
    </row>
    <row r="71" spans="2:10" ht="15.75" thickBot="1" x14ac:dyDescent="0.3">
      <c r="B71" s="361" t="s">
        <v>27</v>
      </c>
      <c r="C71" s="362"/>
      <c r="D71" s="362"/>
      <c r="E71" s="362"/>
      <c r="F71" s="362"/>
      <c r="G71" s="362"/>
      <c r="H71" s="363"/>
      <c r="I71" s="143">
        <f>I69+I70</f>
        <v>12</v>
      </c>
      <c r="J71" s="144">
        <f>J69+J70</f>
        <v>1</v>
      </c>
    </row>
  </sheetData>
  <mergeCells count="33">
    <mergeCell ref="C3:E3"/>
    <mergeCell ref="F3:H3"/>
    <mergeCell ref="I3:I4"/>
    <mergeCell ref="B20:C20"/>
    <mergeCell ref="D20:J20"/>
    <mergeCell ref="B25:J25"/>
    <mergeCell ref="B26:C26"/>
    <mergeCell ref="E26:G26"/>
    <mergeCell ref="B27:C27"/>
    <mergeCell ref="B28:C28"/>
    <mergeCell ref="E27:G27"/>
    <mergeCell ref="E28:G28"/>
    <mergeCell ref="B29:H29"/>
    <mergeCell ref="B45:C45"/>
    <mergeCell ref="D45:J45"/>
    <mergeCell ref="B50:J50"/>
    <mergeCell ref="B51:C51"/>
    <mergeCell ref="E51:G51"/>
    <mergeCell ref="B52:C52"/>
    <mergeCell ref="E52:G52"/>
    <mergeCell ref="B53:C53"/>
    <mergeCell ref="E53:G53"/>
    <mergeCell ref="B54:H54"/>
    <mergeCell ref="B62:C62"/>
    <mergeCell ref="D62:J62"/>
    <mergeCell ref="B67:J67"/>
    <mergeCell ref="B68:C68"/>
    <mergeCell ref="E68:G68"/>
    <mergeCell ref="B69:C69"/>
    <mergeCell ref="E69:G69"/>
    <mergeCell ref="B70:C70"/>
    <mergeCell ref="E70:G70"/>
    <mergeCell ref="B71:H7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65"/>
  <sheetViews>
    <sheetView topLeftCell="A64" workbookViewId="0">
      <selection activeCell="H30" sqref="H30"/>
    </sheetView>
  </sheetViews>
  <sheetFormatPr defaultRowHeight="15" x14ac:dyDescent="0.25"/>
  <cols>
    <col min="3" max="3" width="15.85546875" customWidth="1"/>
    <col min="4" max="5" width="10.5703125" bestFit="1" customWidth="1"/>
    <col min="7" max="7" width="18.5703125" customWidth="1"/>
    <col min="8" max="8" width="13.140625" customWidth="1"/>
    <col min="9" max="9" width="13.28515625" customWidth="1"/>
    <col min="10" max="10" width="11.140625" customWidth="1"/>
    <col min="11" max="11" width="9.140625" customWidth="1"/>
    <col min="14" max="14" width="10.5703125" bestFit="1" customWidth="1"/>
    <col min="15" max="15" width="12" customWidth="1"/>
  </cols>
  <sheetData>
    <row r="4" spans="2:11" ht="15.75" thickBot="1" x14ac:dyDescent="0.3">
      <c r="B4" s="1" t="s">
        <v>184</v>
      </c>
      <c r="C4" s="1"/>
    </row>
    <row r="5" spans="2:11" x14ac:dyDescent="0.25">
      <c r="B5" s="38" t="s">
        <v>182</v>
      </c>
      <c r="C5" s="34" t="s">
        <v>183</v>
      </c>
      <c r="D5" s="34" t="s">
        <v>142</v>
      </c>
      <c r="E5" s="24" t="s">
        <v>27</v>
      </c>
    </row>
    <row r="6" spans="2:11" x14ac:dyDescent="0.25">
      <c r="B6" s="10">
        <v>2010</v>
      </c>
      <c r="C6" s="11">
        <v>31404</v>
      </c>
      <c r="D6" s="11">
        <v>13761</v>
      </c>
      <c r="E6" s="35">
        <f t="shared" ref="E6:E12" si="0">C6+D6</f>
        <v>45165</v>
      </c>
      <c r="G6" s="222">
        <f>C6/E6</f>
        <v>0.69531717037529062</v>
      </c>
      <c r="H6" s="222">
        <f>D6/E6</f>
        <v>0.30468282962470938</v>
      </c>
      <c r="J6" s="214"/>
      <c r="K6" s="214"/>
    </row>
    <row r="7" spans="2:11" x14ac:dyDescent="0.25">
      <c r="B7" s="10">
        <v>2013</v>
      </c>
      <c r="C7" s="11">
        <v>36583</v>
      </c>
      <c r="D7" s="11">
        <v>17907</v>
      </c>
      <c r="E7" s="35">
        <f t="shared" si="0"/>
        <v>54490</v>
      </c>
      <c r="G7" s="222">
        <f t="shared" ref="G7:G13" si="1">C7/E7</f>
        <v>0.67137089374197101</v>
      </c>
      <c r="H7" s="222">
        <f t="shared" ref="H7:H13" si="2">D7/E7</f>
        <v>0.32862910625802899</v>
      </c>
      <c r="J7" s="214"/>
      <c r="K7" s="214"/>
    </row>
    <row r="8" spans="2:11" x14ac:dyDescent="0.25">
      <c r="B8" s="10">
        <v>2016</v>
      </c>
      <c r="C8" s="11">
        <v>37221</v>
      </c>
      <c r="D8" s="11">
        <v>18323</v>
      </c>
      <c r="E8" s="35">
        <f t="shared" si="0"/>
        <v>55544</v>
      </c>
      <c r="G8" s="222">
        <f t="shared" si="1"/>
        <v>0.67011738441595847</v>
      </c>
      <c r="H8" s="222">
        <f t="shared" si="2"/>
        <v>0.32988261558404147</v>
      </c>
      <c r="J8" s="214"/>
      <c r="K8" s="214"/>
    </row>
    <row r="9" spans="2:11" x14ac:dyDescent="0.25">
      <c r="B9" s="10">
        <v>2020</v>
      </c>
      <c r="C9" s="11">
        <v>37956</v>
      </c>
      <c r="D9" s="11">
        <v>18828</v>
      </c>
      <c r="E9" s="35">
        <f>C9+D9</f>
        <v>56784</v>
      </c>
      <c r="G9" s="222">
        <f t="shared" si="1"/>
        <v>0.66842772612003376</v>
      </c>
      <c r="H9" s="222">
        <f t="shared" si="2"/>
        <v>0.33157227387996618</v>
      </c>
      <c r="J9" s="214"/>
      <c r="K9" s="214"/>
    </row>
    <row r="10" spans="2:11" x14ac:dyDescent="0.25">
      <c r="B10" s="10">
        <v>2025</v>
      </c>
      <c r="C10" s="11">
        <v>38749</v>
      </c>
      <c r="D10" s="11">
        <v>19353</v>
      </c>
      <c r="E10" s="35">
        <f t="shared" si="0"/>
        <v>58102</v>
      </c>
      <c r="G10" s="222">
        <f t="shared" si="1"/>
        <v>0.66691335926474127</v>
      </c>
      <c r="H10" s="222">
        <f t="shared" si="2"/>
        <v>0.33308664073525868</v>
      </c>
      <c r="J10" s="214"/>
      <c r="K10" s="214"/>
    </row>
    <row r="11" spans="2:11" x14ac:dyDescent="0.25">
      <c r="B11" s="10">
        <v>2030</v>
      </c>
      <c r="C11" s="11">
        <v>39146</v>
      </c>
      <c r="D11" s="11">
        <v>19702</v>
      </c>
      <c r="E11" s="35">
        <f t="shared" si="0"/>
        <v>58848</v>
      </c>
      <c r="G11" s="222">
        <f t="shared" si="1"/>
        <v>0.66520527460576395</v>
      </c>
      <c r="H11" s="222">
        <f t="shared" si="2"/>
        <v>0.33479472539423599</v>
      </c>
      <c r="J11" s="214"/>
      <c r="K11" s="214"/>
    </row>
    <row r="12" spans="2:11" x14ac:dyDescent="0.25">
      <c r="B12" s="10">
        <v>2035</v>
      </c>
      <c r="C12" s="11">
        <v>39283</v>
      </c>
      <c r="D12" s="11">
        <v>19872</v>
      </c>
      <c r="E12" s="35">
        <f t="shared" si="0"/>
        <v>59155</v>
      </c>
      <c r="G12" s="222">
        <f t="shared" si="1"/>
        <v>0.6640689713464627</v>
      </c>
      <c r="H12" s="222">
        <f t="shared" si="2"/>
        <v>0.3359310286535373</v>
      </c>
      <c r="J12" s="214"/>
      <c r="K12" s="214"/>
    </row>
    <row r="13" spans="2:11" ht="15.75" thickBot="1" x14ac:dyDescent="0.3">
      <c r="B13" s="12">
        <v>2039</v>
      </c>
      <c r="C13" s="36">
        <v>39325</v>
      </c>
      <c r="D13" s="36">
        <v>19952</v>
      </c>
      <c r="E13" s="37">
        <f>C13+D13</f>
        <v>59277</v>
      </c>
      <c r="G13" s="222">
        <f t="shared" si="1"/>
        <v>0.6634107664018084</v>
      </c>
      <c r="H13" s="222">
        <f t="shared" si="2"/>
        <v>0.33658923359819154</v>
      </c>
      <c r="J13" s="214"/>
      <c r="K13" s="214"/>
    </row>
    <row r="14" spans="2:11" x14ac:dyDescent="0.25">
      <c r="C14" s="202"/>
      <c r="D14" s="202"/>
    </row>
    <row r="19" spans="2:15" ht="15.75" thickBot="1" x14ac:dyDescent="0.3">
      <c r="B19" s="1" t="s">
        <v>185</v>
      </c>
    </row>
    <row r="20" spans="2:15" ht="45" x14ac:dyDescent="0.25">
      <c r="B20" s="38" t="s">
        <v>182</v>
      </c>
      <c r="C20" s="34" t="s">
        <v>0</v>
      </c>
      <c r="D20" s="34" t="s">
        <v>186</v>
      </c>
      <c r="E20" s="24" t="s">
        <v>187</v>
      </c>
      <c r="G20" s="221" t="s">
        <v>582</v>
      </c>
      <c r="H20" s="149" t="s">
        <v>27</v>
      </c>
      <c r="I20" s="149" t="s">
        <v>17</v>
      </c>
      <c r="J20" s="150" t="s">
        <v>583</v>
      </c>
      <c r="L20" s="220" t="s">
        <v>584</v>
      </c>
      <c r="M20" s="149" t="s">
        <v>27</v>
      </c>
      <c r="N20" s="149" t="s">
        <v>17</v>
      </c>
      <c r="O20" s="150" t="s">
        <v>583</v>
      </c>
    </row>
    <row r="21" spans="2:15" x14ac:dyDescent="0.25">
      <c r="B21" s="10">
        <v>2010</v>
      </c>
      <c r="C21" s="8">
        <v>23667</v>
      </c>
      <c r="D21" s="8">
        <v>2166</v>
      </c>
      <c r="E21" s="9">
        <v>11237</v>
      </c>
      <c r="G21" s="10">
        <v>2010</v>
      </c>
      <c r="H21" s="111">
        <f t="shared" ref="H21:H28" si="3">C6</f>
        <v>31404</v>
      </c>
      <c r="I21" s="11">
        <f>C6*'Deseuri generate'!M8</f>
        <v>17940.483823953928</v>
      </c>
      <c r="J21" s="80">
        <f>C6*'Deseuri generate'!M13</f>
        <v>13463.516176046076</v>
      </c>
      <c r="L21" s="10">
        <v>2010</v>
      </c>
      <c r="M21" s="111">
        <f t="shared" ref="M21:M28" si="4">D6</f>
        <v>13761</v>
      </c>
      <c r="N21" s="113">
        <f>D6*'Deseuri generate'!M8</f>
        <v>7861.3870176229138</v>
      </c>
      <c r="O21" s="101">
        <f>D6*'Deseuri generate'!M13</f>
        <v>5899.6129823770871</v>
      </c>
    </row>
    <row r="22" spans="2:15" x14ac:dyDescent="0.25">
      <c r="B22" s="10">
        <v>2013</v>
      </c>
      <c r="C22" s="8">
        <v>22483</v>
      </c>
      <c r="D22" s="8">
        <v>3327</v>
      </c>
      <c r="E22" s="9">
        <v>12755</v>
      </c>
      <c r="G22" s="10">
        <v>2013</v>
      </c>
      <c r="H22" s="111">
        <f t="shared" si="3"/>
        <v>36583</v>
      </c>
      <c r="I22" s="11">
        <f>C7*'Deseuri generate'!N8</f>
        <v>20899.043017577449</v>
      </c>
      <c r="J22" s="80">
        <f>C7*'Deseuri generate'!N13</f>
        <v>15683.956982422553</v>
      </c>
      <c r="L22" s="10">
        <v>2013</v>
      </c>
      <c r="M22" s="111">
        <f t="shared" si="4"/>
        <v>17907</v>
      </c>
      <c r="N22" s="113">
        <f>D7*'Deseuri generate'!N8</f>
        <v>10229.865328588672</v>
      </c>
      <c r="O22" s="101">
        <f>D7*'Deseuri generate'!N13</f>
        <v>7677.1346714113297</v>
      </c>
    </row>
    <row r="23" spans="2:15" x14ac:dyDescent="0.25">
      <c r="B23" s="10">
        <v>2016</v>
      </c>
      <c r="C23" s="8">
        <v>20642</v>
      </c>
      <c r="D23" s="8">
        <v>3233</v>
      </c>
      <c r="E23" s="9">
        <v>12002</v>
      </c>
      <c r="G23" s="10">
        <v>2016</v>
      </c>
      <c r="H23" s="111">
        <f t="shared" si="3"/>
        <v>37221</v>
      </c>
      <c r="I23" s="11">
        <f>C8*'Deseuri generate'!O8</f>
        <v>21274.128771329651</v>
      </c>
      <c r="J23" s="80">
        <f>C8*'Deseuri generate'!O13</f>
        <v>15946.87122867035</v>
      </c>
      <c r="L23" s="10">
        <v>2016</v>
      </c>
      <c r="M23" s="111">
        <f t="shared" si="4"/>
        <v>18323</v>
      </c>
      <c r="N23" s="113">
        <f>D8*'Deseuri generate'!O8</f>
        <v>10472.740159508696</v>
      </c>
      <c r="O23" s="101">
        <f>D8*'Deseuri generate'!O13</f>
        <v>7850.2598404913033</v>
      </c>
    </row>
    <row r="24" spans="2:15" x14ac:dyDescent="0.25">
      <c r="B24" s="10">
        <v>2020</v>
      </c>
      <c r="C24" s="8">
        <v>20012</v>
      </c>
      <c r="D24" s="8">
        <v>3266</v>
      </c>
      <c r="E24" s="9">
        <v>11852</v>
      </c>
      <c r="G24" s="10">
        <v>2020</v>
      </c>
      <c r="H24" s="111">
        <f t="shared" si="3"/>
        <v>37956</v>
      </c>
      <c r="I24" s="11">
        <f>C9*'Deseuri generate'!P8</f>
        <v>21715.577194062756</v>
      </c>
      <c r="J24" s="80">
        <f>C9*'Deseuri generate'!P13</f>
        <v>16240.422805937244</v>
      </c>
      <c r="L24" s="10">
        <v>2020</v>
      </c>
      <c r="M24" s="111">
        <f t="shared" si="4"/>
        <v>18828</v>
      </c>
      <c r="N24" s="113">
        <f>D9*'Deseuri generate'!P8</f>
        <v>10771.96984428848</v>
      </c>
      <c r="O24" s="101">
        <f>D9*'Deseuri generate'!P13</f>
        <v>8056.030155711519</v>
      </c>
    </row>
    <row r="25" spans="2:15" x14ac:dyDescent="0.25">
      <c r="B25" s="10">
        <v>2025</v>
      </c>
      <c r="C25" s="8">
        <v>20508</v>
      </c>
      <c r="D25" s="8">
        <v>3396</v>
      </c>
      <c r="E25" s="9">
        <v>12226</v>
      </c>
      <c r="G25" s="10">
        <v>2025</v>
      </c>
      <c r="H25" s="111">
        <f t="shared" si="3"/>
        <v>38749</v>
      </c>
      <c r="I25" s="11">
        <f>C10*'Deseuri generate'!Q8</f>
        <v>22196.733530770241</v>
      </c>
      <c r="J25" s="80">
        <f>C10*'Deseuri generate'!Q13</f>
        <v>16552.266469229759</v>
      </c>
      <c r="L25" s="10">
        <v>2025</v>
      </c>
      <c r="M25" s="111">
        <f t="shared" si="4"/>
        <v>19353</v>
      </c>
      <c r="N25" s="113">
        <f>D10*'Deseuri generate'!Q8</f>
        <v>11086.050840563536</v>
      </c>
      <c r="O25" s="101">
        <f>D10*'Deseuri generate'!Q13</f>
        <v>8266.9491594364645</v>
      </c>
    </row>
    <row r="26" spans="2:15" x14ac:dyDescent="0.25">
      <c r="B26" s="10">
        <v>2030</v>
      </c>
      <c r="C26" s="8">
        <v>20810</v>
      </c>
      <c r="D26" s="8">
        <v>3502</v>
      </c>
      <c r="E26" s="9">
        <v>12497</v>
      </c>
      <c r="G26" s="10">
        <v>2030</v>
      </c>
      <c r="H26" s="111">
        <f t="shared" si="3"/>
        <v>39146</v>
      </c>
      <c r="I26" s="11">
        <f>C11*'Deseuri generate'!R8</f>
        <v>22452.175759531543</v>
      </c>
      <c r="J26" s="80">
        <f>C11*'Deseuri generate'!R13</f>
        <v>16693.824240468461</v>
      </c>
      <c r="L26" s="10">
        <v>2030</v>
      </c>
      <c r="M26" s="111">
        <f t="shared" si="4"/>
        <v>19702</v>
      </c>
      <c r="N26" s="113">
        <f>D11*'Deseuri generate'!R8</f>
        <v>11300.075788440465</v>
      </c>
      <c r="O26" s="101">
        <f>D11*'Deseuri generate'!R13</f>
        <v>8401.9242115595353</v>
      </c>
    </row>
    <row r="27" spans="2:15" x14ac:dyDescent="0.25">
      <c r="B27" s="10">
        <v>2035</v>
      </c>
      <c r="C27" s="8">
        <v>20921</v>
      </c>
      <c r="D27" s="8">
        <v>3559</v>
      </c>
      <c r="E27" s="9">
        <v>12627</v>
      </c>
      <c r="G27" s="10">
        <v>2035</v>
      </c>
      <c r="H27" s="111">
        <f t="shared" si="3"/>
        <v>39283</v>
      </c>
      <c r="I27" s="11">
        <f>C12*'Deseuri generate'!S8</f>
        <v>22559.151090657768</v>
      </c>
      <c r="J27" s="80">
        <f>C12*'Deseuri generate'!S13</f>
        <v>16723.848909342232</v>
      </c>
      <c r="L27" s="10">
        <v>2035</v>
      </c>
      <c r="M27" s="111">
        <f t="shared" si="4"/>
        <v>19872</v>
      </c>
      <c r="N27" s="113">
        <f>D12*'Deseuri generate'!S8</f>
        <v>11411.945382825934</v>
      </c>
      <c r="O27" s="101">
        <f>D12*'Deseuri generate'!S13</f>
        <v>8460.0546171740662</v>
      </c>
    </row>
    <row r="28" spans="2:15" ht="15.75" thickBot="1" x14ac:dyDescent="0.3">
      <c r="B28" s="12">
        <v>2039</v>
      </c>
      <c r="C28" s="13">
        <v>20952</v>
      </c>
      <c r="D28" s="13">
        <v>3588</v>
      </c>
      <c r="E28" s="14">
        <v>12684</v>
      </c>
      <c r="G28" s="12">
        <v>2039</v>
      </c>
      <c r="H28" s="112">
        <f t="shared" si="3"/>
        <v>39325</v>
      </c>
      <c r="I28" s="36">
        <f>C13*'Deseuri generate'!T8</f>
        <v>22606.087495015443</v>
      </c>
      <c r="J28" s="81">
        <f>C13*'Deseuri generate'!T13</f>
        <v>16718.912504984557</v>
      </c>
      <c r="L28" s="12">
        <v>2039</v>
      </c>
      <c r="M28" s="112">
        <f t="shared" si="4"/>
        <v>19952</v>
      </c>
      <c r="N28" s="114">
        <f>D13*'Deseuri generate'!T8</f>
        <v>11469.463641463397</v>
      </c>
      <c r="O28" s="102">
        <f>D13*'Deseuri generate'!T13</f>
        <v>8482.5363585366013</v>
      </c>
    </row>
    <row r="33" spans="2:12" x14ac:dyDescent="0.25">
      <c r="B33" s="1" t="s">
        <v>199</v>
      </c>
    </row>
    <row r="34" spans="2:12" ht="15.75" thickBot="1" x14ac:dyDescent="0.3"/>
    <row r="35" spans="2:12" x14ac:dyDescent="0.25">
      <c r="B35" s="38" t="s">
        <v>182</v>
      </c>
      <c r="C35" s="34" t="s">
        <v>190</v>
      </c>
      <c r="D35" s="34" t="s">
        <v>191</v>
      </c>
      <c r="E35" s="34" t="s">
        <v>192</v>
      </c>
      <c r="F35" s="34" t="s">
        <v>193</v>
      </c>
      <c r="G35" s="34" t="s">
        <v>194</v>
      </c>
      <c r="H35" s="34" t="s">
        <v>195</v>
      </c>
      <c r="I35" s="34" t="s">
        <v>196</v>
      </c>
      <c r="J35" s="34" t="s">
        <v>197</v>
      </c>
      <c r="K35" s="24" t="s">
        <v>198</v>
      </c>
    </row>
    <row r="36" spans="2:12" x14ac:dyDescent="0.25">
      <c r="B36" s="10">
        <v>2010</v>
      </c>
      <c r="C36" s="8">
        <v>18003</v>
      </c>
      <c r="D36" s="8">
        <v>3090</v>
      </c>
      <c r="E36" s="8">
        <v>2854</v>
      </c>
      <c r="F36" s="8">
        <v>1780</v>
      </c>
      <c r="G36" s="8">
        <v>3797</v>
      </c>
      <c r="H36" s="8">
        <v>1571</v>
      </c>
      <c r="I36" s="8">
        <v>5321</v>
      </c>
      <c r="J36" s="8">
        <v>2868</v>
      </c>
      <c r="K36" s="9">
        <v>5881</v>
      </c>
      <c r="L36">
        <f>SUM(C36:K36)</f>
        <v>45165</v>
      </c>
    </row>
    <row r="37" spans="2:12" x14ac:dyDescent="0.25">
      <c r="B37" s="10">
        <v>2011</v>
      </c>
      <c r="C37" s="8">
        <v>19712</v>
      </c>
      <c r="D37" s="8">
        <v>3660</v>
      </c>
      <c r="E37" s="8">
        <v>3381</v>
      </c>
      <c r="F37" s="8">
        <v>2109</v>
      </c>
      <c r="G37" s="8">
        <v>4497</v>
      </c>
      <c r="H37" s="8">
        <v>1861</v>
      </c>
      <c r="I37" s="8">
        <v>6245</v>
      </c>
      <c r="J37" s="8">
        <v>3392</v>
      </c>
      <c r="K37" s="9">
        <v>6954</v>
      </c>
      <c r="L37">
        <f t="shared" ref="L37:L65" si="5">SUM(C37:K37)</f>
        <v>51811</v>
      </c>
    </row>
    <row r="38" spans="2:12" x14ac:dyDescent="0.25">
      <c r="B38" s="10">
        <v>2012</v>
      </c>
      <c r="C38" s="8">
        <v>20353</v>
      </c>
      <c r="D38" s="8">
        <v>3864</v>
      </c>
      <c r="E38" s="8">
        <v>3569</v>
      </c>
      <c r="F38" s="8">
        <v>2227</v>
      </c>
      <c r="G38" s="8">
        <v>4748</v>
      </c>
      <c r="H38" s="8">
        <v>1965</v>
      </c>
      <c r="I38" s="8">
        <v>6577</v>
      </c>
      <c r="J38" s="8">
        <v>3579</v>
      </c>
      <c r="K38" s="9">
        <v>7339</v>
      </c>
      <c r="L38">
        <f t="shared" si="5"/>
        <v>54221</v>
      </c>
    </row>
    <row r="39" spans="2:12" x14ac:dyDescent="0.25">
      <c r="B39" s="10">
        <v>2013</v>
      </c>
      <c r="C39" s="8">
        <v>20454</v>
      </c>
      <c r="D39" s="8">
        <v>3883</v>
      </c>
      <c r="E39" s="8">
        <v>3587</v>
      </c>
      <c r="F39" s="8">
        <v>2238</v>
      </c>
      <c r="G39" s="8">
        <v>4772</v>
      </c>
      <c r="H39" s="8">
        <v>1974</v>
      </c>
      <c r="I39" s="8">
        <v>6610</v>
      </c>
      <c r="J39" s="8">
        <v>3597</v>
      </c>
      <c r="K39" s="9">
        <v>7375</v>
      </c>
      <c r="L39">
        <f t="shared" si="5"/>
        <v>54490</v>
      </c>
    </row>
    <row r="40" spans="2:12" x14ac:dyDescent="0.25">
      <c r="B40" s="10">
        <v>2014</v>
      </c>
      <c r="C40" s="8">
        <v>20163</v>
      </c>
      <c r="D40" s="8">
        <v>4048</v>
      </c>
      <c r="E40" s="8">
        <v>3739</v>
      </c>
      <c r="F40" s="8">
        <v>2333</v>
      </c>
      <c r="G40" s="8">
        <v>4974</v>
      </c>
      <c r="H40" s="8">
        <v>2058</v>
      </c>
      <c r="I40" s="8">
        <v>6595</v>
      </c>
      <c r="J40" s="8">
        <v>3615</v>
      </c>
      <c r="K40" s="9">
        <v>7412</v>
      </c>
      <c r="L40">
        <f t="shared" si="5"/>
        <v>54937</v>
      </c>
    </row>
    <row r="41" spans="2:12" x14ac:dyDescent="0.25">
      <c r="B41" s="10">
        <v>2015</v>
      </c>
      <c r="C41" s="8">
        <v>19795</v>
      </c>
      <c r="D41" s="8">
        <v>4210</v>
      </c>
      <c r="E41" s="8">
        <v>3889</v>
      </c>
      <c r="F41" s="8">
        <v>2426</v>
      </c>
      <c r="G41" s="8">
        <v>5174</v>
      </c>
      <c r="H41" s="8">
        <v>2141</v>
      </c>
      <c r="I41" s="8">
        <v>6565</v>
      </c>
      <c r="J41" s="8">
        <v>3622</v>
      </c>
      <c r="K41" s="9">
        <v>7434</v>
      </c>
      <c r="L41">
        <f t="shared" si="5"/>
        <v>55256</v>
      </c>
    </row>
    <row r="42" spans="2:12" x14ac:dyDescent="0.25">
      <c r="B42" s="10">
        <v>2016</v>
      </c>
      <c r="C42" s="8">
        <v>19499</v>
      </c>
      <c r="D42" s="8">
        <v>4348</v>
      </c>
      <c r="E42" s="8">
        <v>4016</v>
      </c>
      <c r="F42" s="8">
        <v>2506</v>
      </c>
      <c r="G42" s="8">
        <v>5343</v>
      </c>
      <c r="H42" s="8">
        <v>2211</v>
      </c>
      <c r="I42" s="8">
        <v>6535</v>
      </c>
      <c r="J42" s="8">
        <v>3630</v>
      </c>
      <c r="K42" s="9">
        <v>7456</v>
      </c>
      <c r="L42">
        <f t="shared" si="5"/>
        <v>55544</v>
      </c>
    </row>
    <row r="43" spans="2:12" x14ac:dyDescent="0.25">
      <c r="B43" s="10">
        <v>2017</v>
      </c>
      <c r="C43" s="8">
        <v>19191</v>
      </c>
      <c r="D43" s="8">
        <v>4491</v>
      </c>
      <c r="E43" s="8">
        <v>4148</v>
      </c>
      <c r="F43" s="8">
        <v>2588</v>
      </c>
      <c r="G43" s="8">
        <v>5518</v>
      </c>
      <c r="H43" s="8">
        <v>2283</v>
      </c>
      <c r="I43" s="8">
        <v>6505</v>
      </c>
      <c r="J43" s="8">
        <v>3637</v>
      </c>
      <c r="K43" s="9">
        <v>7478</v>
      </c>
      <c r="L43">
        <f t="shared" si="5"/>
        <v>55839</v>
      </c>
    </row>
    <row r="44" spans="2:12" x14ac:dyDescent="0.25">
      <c r="B44" s="10">
        <v>2018</v>
      </c>
      <c r="C44" s="8">
        <v>18870</v>
      </c>
      <c r="D44" s="8">
        <v>4638</v>
      </c>
      <c r="E44" s="8">
        <v>4284</v>
      </c>
      <c r="F44" s="8">
        <v>2673</v>
      </c>
      <c r="G44" s="8">
        <v>5700</v>
      </c>
      <c r="H44" s="8">
        <v>2368</v>
      </c>
      <c r="I44" s="8">
        <v>6476</v>
      </c>
      <c r="J44" s="8">
        <v>3644</v>
      </c>
      <c r="K44" s="9">
        <v>7501</v>
      </c>
      <c r="L44">
        <f t="shared" si="5"/>
        <v>56154</v>
      </c>
    </row>
    <row r="45" spans="2:12" x14ac:dyDescent="0.25">
      <c r="B45" s="10">
        <v>2019</v>
      </c>
      <c r="C45" s="8">
        <v>18536</v>
      </c>
      <c r="D45" s="8">
        <v>4791</v>
      </c>
      <c r="E45" s="8">
        <v>4426</v>
      </c>
      <c r="F45" s="8">
        <v>2761</v>
      </c>
      <c r="G45" s="8">
        <v>5888</v>
      </c>
      <c r="H45" s="8">
        <v>2436</v>
      </c>
      <c r="I45" s="8">
        <v>6447</v>
      </c>
      <c r="J45" s="8">
        <v>3652</v>
      </c>
      <c r="K45" s="9">
        <v>7523</v>
      </c>
      <c r="L45">
        <f t="shared" si="5"/>
        <v>56460</v>
      </c>
    </row>
    <row r="46" spans="2:12" x14ac:dyDescent="0.25">
      <c r="B46" s="10">
        <v>2020</v>
      </c>
      <c r="C46" s="8">
        <v>18187</v>
      </c>
      <c r="D46" s="8">
        <v>4950</v>
      </c>
      <c r="E46" s="8">
        <v>4572</v>
      </c>
      <c r="F46" s="8">
        <v>2853</v>
      </c>
      <c r="G46" s="8">
        <v>6083</v>
      </c>
      <c r="H46" s="8">
        <v>2517</v>
      </c>
      <c r="I46" s="8">
        <v>6418</v>
      </c>
      <c r="J46" s="8">
        <v>3659</v>
      </c>
      <c r="K46" s="9">
        <v>7545</v>
      </c>
      <c r="L46">
        <f t="shared" si="5"/>
        <v>56784</v>
      </c>
    </row>
    <row r="47" spans="2:12" x14ac:dyDescent="0.25">
      <c r="B47" s="10">
        <v>2021</v>
      </c>
      <c r="C47" s="8">
        <v>17984</v>
      </c>
      <c r="D47" s="8">
        <v>5057</v>
      </c>
      <c r="E47" s="8">
        <v>4672</v>
      </c>
      <c r="F47" s="8">
        <v>2914</v>
      </c>
      <c r="G47" s="8">
        <v>6215</v>
      </c>
      <c r="H47" s="8">
        <v>2572</v>
      </c>
      <c r="I47" s="8">
        <v>6389</v>
      </c>
      <c r="J47" s="8">
        <v>3666</v>
      </c>
      <c r="K47" s="9">
        <v>7568</v>
      </c>
      <c r="L47">
        <f t="shared" si="5"/>
        <v>57037</v>
      </c>
    </row>
    <row r="48" spans="2:12" x14ac:dyDescent="0.25">
      <c r="B48" s="10">
        <v>2022</v>
      </c>
      <c r="C48" s="8">
        <v>17775</v>
      </c>
      <c r="D48" s="8">
        <v>5167</v>
      </c>
      <c r="E48" s="8">
        <v>4773</v>
      </c>
      <c r="F48" s="8">
        <v>2978</v>
      </c>
      <c r="G48" s="8">
        <v>6350</v>
      </c>
      <c r="H48" s="8">
        <v>2628</v>
      </c>
      <c r="I48" s="8">
        <v>6361</v>
      </c>
      <c r="J48" s="8">
        <v>3674</v>
      </c>
      <c r="K48" s="9">
        <v>7590</v>
      </c>
      <c r="L48">
        <f t="shared" si="5"/>
        <v>57296</v>
      </c>
    </row>
    <row r="49" spans="2:12" x14ac:dyDescent="0.25">
      <c r="B49" s="10">
        <v>2023</v>
      </c>
      <c r="C49" s="8">
        <v>17559</v>
      </c>
      <c r="D49" s="8">
        <v>5280</v>
      </c>
      <c r="E49" s="8">
        <v>4877</v>
      </c>
      <c r="F49" s="8">
        <v>3043</v>
      </c>
      <c r="G49" s="8">
        <v>6488</v>
      </c>
      <c r="H49" s="8">
        <v>2685</v>
      </c>
      <c r="I49" s="8">
        <v>6333</v>
      </c>
      <c r="J49" s="8">
        <v>3681</v>
      </c>
      <c r="K49" s="9">
        <v>7613</v>
      </c>
      <c r="L49">
        <f t="shared" si="5"/>
        <v>57559</v>
      </c>
    </row>
    <row r="50" spans="2:12" x14ac:dyDescent="0.25">
      <c r="B50" s="10">
        <v>2024</v>
      </c>
      <c r="C50" s="8">
        <v>17337</v>
      </c>
      <c r="D50" s="8">
        <v>5395</v>
      </c>
      <c r="E50" s="8">
        <v>4984</v>
      </c>
      <c r="F50" s="8">
        <v>3109</v>
      </c>
      <c r="G50" s="8">
        <v>6630</v>
      </c>
      <c r="H50" s="8">
        <v>2743</v>
      </c>
      <c r="I50" s="8">
        <v>6305</v>
      </c>
      <c r="J50" s="8">
        <v>3689</v>
      </c>
      <c r="K50" s="9">
        <v>7636</v>
      </c>
      <c r="L50">
        <f t="shared" si="5"/>
        <v>57828</v>
      </c>
    </row>
    <row r="51" spans="2:12" x14ac:dyDescent="0.25">
      <c r="B51" s="10">
        <v>2025</v>
      </c>
      <c r="C51" s="8">
        <v>17108</v>
      </c>
      <c r="D51" s="8">
        <v>5513</v>
      </c>
      <c r="E51" s="8">
        <v>5093</v>
      </c>
      <c r="F51" s="8">
        <v>3177</v>
      </c>
      <c r="G51" s="8">
        <v>6775</v>
      </c>
      <c r="H51" s="8">
        <v>2803</v>
      </c>
      <c r="I51" s="8">
        <v>6277</v>
      </c>
      <c r="J51" s="8">
        <v>3696</v>
      </c>
      <c r="K51" s="9">
        <v>7659</v>
      </c>
      <c r="L51">
        <f t="shared" si="5"/>
        <v>58101</v>
      </c>
    </row>
    <row r="52" spans="2:12" x14ac:dyDescent="0.25">
      <c r="B52" s="10">
        <v>2026</v>
      </c>
      <c r="C52" s="8">
        <v>16872</v>
      </c>
      <c r="D52" s="8">
        <v>5634</v>
      </c>
      <c r="E52" s="8">
        <v>5205</v>
      </c>
      <c r="F52" s="8">
        <v>3247</v>
      </c>
      <c r="G52" s="8">
        <v>6924</v>
      </c>
      <c r="H52" s="8">
        <v>2865</v>
      </c>
      <c r="I52" s="8">
        <v>6250</v>
      </c>
      <c r="J52" s="8">
        <v>3703</v>
      </c>
      <c r="K52" s="9">
        <v>7681</v>
      </c>
      <c r="L52">
        <f t="shared" si="5"/>
        <v>58381</v>
      </c>
    </row>
    <row r="53" spans="2:12" x14ac:dyDescent="0.25">
      <c r="B53" s="10">
        <v>2027</v>
      </c>
      <c r="C53" s="8">
        <v>16580</v>
      </c>
      <c r="D53" s="8">
        <v>5741</v>
      </c>
      <c r="E53" s="8">
        <v>5303</v>
      </c>
      <c r="F53" s="8">
        <v>3308</v>
      </c>
      <c r="G53" s="8">
        <v>7055</v>
      </c>
      <c r="H53" s="8">
        <v>2919</v>
      </c>
      <c r="I53" s="8">
        <v>6204</v>
      </c>
      <c r="J53" s="8">
        <v>3700</v>
      </c>
      <c r="K53" s="9">
        <v>7681</v>
      </c>
      <c r="L53">
        <f t="shared" si="5"/>
        <v>58491</v>
      </c>
    </row>
    <row r="54" spans="2:12" x14ac:dyDescent="0.25">
      <c r="B54" s="10">
        <v>2028</v>
      </c>
      <c r="C54" s="8">
        <v>16282</v>
      </c>
      <c r="D54" s="8">
        <v>5850</v>
      </c>
      <c r="E54" s="8">
        <v>5404</v>
      </c>
      <c r="F54" s="8">
        <v>3371</v>
      </c>
      <c r="G54" s="8">
        <v>7188</v>
      </c>
      <c r="H54" s="8">
        <v>2974</v>
      </c>
      <c r="I54" s="8">
        <v>6158</v>
      </c>
      <c r="J54" s="8">
        <v>3696</v>
      </c>
      <c r="K54" s="9">
        <v>7681</v>
      </c>
      <c r="L54">
        <f>SUM(C54:K54)</f>
        <v>58604</v>
      </c>
    </row>
    <row r="55" spans="2:12" x14ac:dyDescent="0.25">
      <c r="B55" s="10">
        <v>2029</v>
      </c>
      <c r="C55" s="8">
        <v>15978</v>
      </c>
      <c r="D55" s="8">
        <v>5961</v>
      </c>
      <c r="E55" s="8">
        <v>5506</v>
      </c>
      <c r="F55" s="8">
        <v>3435</v>
      </c>
      <c r="G55" s="8">
        <v>7325</v>
      </c>
      <c r="H55" s="8">
        <v>3031</v>
      </c>
      <c r="I55" s="8">
        <v>6114</v>
      </c>
      <c r="J55" s="8">
        <v>3693</v>
      </c>
      <c r="K55" s="9">
        <v>7681</v>
      </c>
      <c r="L55">
        <f t="shared" si="5"/>
        <v>58724</v>
      </c>
    </row>
    <row r="56" spans="2:12" x14ac:dyDescent="0.25">
      <c r="B56" s="10">
        <v>2030</v>
      </c>
      <c r="C56" s="8">
        <v>15669</v>
      </c>
      <c r="D56" s="8">
        <v>6075</v>
      </c>
      <c r="E56" s="8">
        <v>5611</v>
      </c>
      <c r="F56" s="8">
        <v>3501</v>
      </c>
      <c r="G56" s="8">
        <v>7465</v>
      </c>
      <c r="H56" s="8">
        <v>3089</v>
      </c>
      <c r="I56" s="8">
        <v>6069</v>
      </c>
      <c r="J56" s="8">
        <v>3689</v>
      </c>
      <c r="K56" s="9">
        <v>7681</v>
      </c>
      <c r="L56">
        <f t="shared" si="5"/>
        <v>58849</v>
      </c>
    </row>
    <row r="57" spans="2:12" x14ac:dyDescent="0.25">
      <c r="B57" s="10">
        <v>2031</v>
      </c>
      <c r="C57" s="8">
        <v>15484</v>
      </c>
      <c r="D57" s="8">
        <v>6143</v>
      </c>
      <c r="E57" s="8">
        <v>5675</v>
      </c>
      <c r="F57" s="8">
        <v>3540</v>
      </c>
      <c r="G57" s="8">
        <v>7549</v>
      </c>
      <c r="H57" s="8">
        <v>3124</v>
      </c>
      <c r="I57" s="8">
        <v>6025</v>
      </c>
      <c r="J57" s="8">
        <v>3685</v>
      </c>
      <c r="K57" s="9">
        <v>7681</v>
      </c>
      <c r="L57">
        <f t="shared" si="5"/>
        <v>58906</v>
      </c>
    </row>
    <row r="58" spans="2:12" x14ac:dyDescent="0.25">
      <c r="B58" s="10">
        <v>2032</v>
      </c>
      <c r="C58" s="8">
        <v>15296</v>
      </c>
      <c r="D58" s="8">
        <v>6213</v>
      </c>
      <c r="E58" s="8">
        <v>5739</v>
      </c>
      <c r="F58" s="8">
        <v>3580</v>
      </c>
      <c r="G58" s="8">
        <v>7634</v>
      </c>
      <c r="H58" s="8">
        <v>3159</v>
      </c>
      <c r="I58" s="8">
        <v>5981</v>
      </c>
      <c r="J58" s="8">
        <v>3682</v>
      </c>
      <c r="K58" s="9">
        <v>7681</v>
      </c>
      <c r="L58">
        <f t="shared" si="5"/>
        <v>58965</v>
      </c>
    </row>
    <row r="59" spans="2:12" x14ac:dyDescent="0.25">
      <c r="B59" s="10">
        <v>2033</v>
      </c>
      <c r="C59" s="8">
        <v>15106</v>
      </c>
      <c r="D59" s="8">
        <v>6283</v>
      </c>
      <c r="E59" s="8">
        <v>5804</v>
      </c>
      <c r="F59" s="8">
        <v>3621</v>
      </c>
      <c r="G59" s="8">
        <v>7721</v>
      </c>
      <c r="H59" s="8">
        <v>3195</v>
      </c>
      <c r="I59" s="8">
        <v>5938</v>
      </c>
      <c r="J59" s="8">
        <v>3678</v>
      </c>
      <c r="K59" s="9">
        <v>7681</v>
      </c>
      <c r="L59">
        <f t="shared" si="5"/>
        <v>59027</v>
      </c>
    </row>
    <row r="60" spans="2:12" x14ac:dyDescent="0.25">
      <c r="B60" s="10">
        <v>2034</v>
      </c>
      <c r="C60" s="8">
        <v>14914</v>
      </c>
      <c r="D60" s="8">
        <v>6354</v>
      </c>
      <c r="E60" s="8">
        <v>5869</v>
      </c>
      <c r="F60" s="8">
        <v>3662</v>
      </c>
      <c r="G60" s="8">
        <v>7808</v>
      </c>
      <c r="H60" s="8">
        <v>3231</v>
      </c>
      <c r="I60" s="8">
        <v>5896</v>
      </c>
      <c r="J60" s="8">
        <v>3675</v>
      </c>
      <c r="K60" s="9">
        <v>7681</v>
      </c>
      <c r="L60">
        <f t="shared" si="5"/>
        <v>59090</v>
      </c>
    </row>
    <row r="61" spans="2:12" x14ac:dyDescent="0.25">
      <c r="B61" s="10">
        <v>2035</v>
      </c>
      <c r="C61" s="8">
        <v>14720</v>
      </c>
      <c r="D61" s="8">
        <v>6426</v>
      </c>
      <c r="E61" s="8">
        <v>5936</v>
      </c>
      <c r="F61" s="8">
        <v>3703</v>
      </c>
      <c r="G61" s="8">
        <v>7897</v>
      </c>
      <c r="H61" s="8">
        <v>3268</v>
      </c>
      <c r="I61" s="8">
        <v>5853</v>
      </c>
      <c r="J61" s="8">
        <v>3671</v>
      </c>
      <c r="K61" s="9">
        <v>7681</v>
      </c>
      <c r="L61">
        <f t="shared" si="5"/>
        <v>59155</v>
      </c>
    </row>
    <row r="62" spans="2:12" x14ac:dyDescent="0.25">
      <c r="B62" s="10">
        <v>2036</v>
      </c>
      <c r="C62" s="8">
        <v>14592</v>
      </c>
      <c r="D62" s="8">
        <v>6474</v>
      </c>
      <c r="E62" s="8">
        <v>5980</v>
      </c>
      <c r="F62" s="8">
        <v>3731</v>
      </c>
      <c r="G62" s="8">
        <v>7955</v>
      </c>
      <c r="H62" s="8">
        <v>3292</v>
      </c>
      <c r="I62" s="8">
        <v>5811</v>
      </c>
      <c r="J62" s="8">
        <v>3667</v>
      </c>
      <c r="K62" s="9">
        <v>7681</v>
      </c>
      <c r="L62">
        <f t="shared" si="5"/>
        <v>59183</v>
      </c>
    </row>
    <row r="63" spans="2:12" x14ac:dyDescent="0.25">
      <c r="B63" s="10">
        <v>2037</v>
      </c>
      <c r="C63" s="8">
        <v>14462</v>
      </c>
      <c r="D63" s="8">
        <v>6522</v>
      </c>
      <c r="E63" s="8">
        <v>6025</v>
      </c>
      <c r="F63" s="8">
        <v>3759</v>
      </c>
      <c r="G63" s="8">
        <v>8015</v>
      </c>
      <c r="H63" s="8">
        <v>3316</v>
      </c>
      <c r="I63" s="8">
        <v>5770</v>
      </c>
      <c r="J63" s="8">
        <v>3664</v>
      </c>
      <c r="K63" s="9">
        <v>7681</v>
      </c>
      <c r="L63">
        <f t="shared" si="5"/>
        <v>59214</v>
      </c>
    </row>
    <row r="64" spans="2:12" x14ac:dyDescent="0.25">
      <c r="B64" s="10">
        <v>2038</v>
      </c>
      <c r="C64" s="8">
        <v>14332</v>
      </c>
      <c r="D64" s="8">
        <v>6571</v>
      </c>
      <c r="E64" s="8">
        <v>6070</v>
      </c>
      <c r="F64" s="8">
        <v>3787</v>
      </c>
      <c r="G64" s="8">
        <v>8074</v>
      </c>
      <c r="H64" s="8">
        <v>3341</v>
      </c>
      <c r="I64" s="8">
        <v>5729</v>
      </c>
      <c r="J64" s="8">
        <v>3660</v>
      </c>
      <c r="K64" s="9">
        <v>7681</v>
      </c>
      <c r="L64">
        <f t="shared" si="5"/>
        <v>59245</v>
      </c>
    </row>
    <row r="65" spans="2:12" ht="15.75" thickBot="1" x14ac:dyDescent="0.3">
      <c r="B65" s="12">
        <v>2039</v>
      </c>
      <c r="C65" s="13">
        <v>14201</v>
      </c>
      <c r="D65" s="13">
        <v>6620</v>
      </c>
      <c r="E65" s="13">
        <v>6115</v>
      </c>
      <c r="F65" s="13">
        <v>3815</v>
      </c>
      <c r="G65" s="13">
        <v>8135</v>
      </c>
      <c r="H65" s="13">
        <v>3366</v>
      </c>
      <c r="I65" s="13">
        <v>5688</v>
      </c>
      <c r="J65" s="13">
        <v>3657</v>
      </c>
      <c r="K65" s="14">
        <v>7681</v>
      </c>
      <c r="L65">
        <f t="shared" si="5"/>
        <v>59278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Populatie</vt:lpstr>
      <vt:lpstr>Sistem colectare chesti</vt:lpstr>
      <vt:lpstr>Deseuri generate</vt:lpstr>
      <vt:lpstr>Redeventa</vt:lpstr>
      <vt:lpstr>Curs mediu pe anul 2015</vt:lpstr>
      <vt:lpstr>Sistem colectare</vt:lpstr>
      <vt:lpstr>Calcul valoare contracte</vt:lpstr>
      <vt:lpstr>Masini colecta necesare</vt:lpstr>
      <vt:lpstr>Statii de transfer</vt:lpstr>
      <vt:lpstr>Puncte verzi</vt:lpstr>
      <vt:lpstr>Investitii statii de transfer</vt:lpstr>
      <vt:lpstr>Statii de compost</vt:lpstr>
      <vt:lpstr>Investitii statii compost</vt:lpstr>
      <vt:lpstr>Fisa fundamentare</vt:lpstr>
      <vt:lpstr>Centralizare info localitati</vt:lpstr>
    </vt:vector>
  </TitlesOfParts>
  <Company>romair consulting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atena</dc:creator>
  <cp:lastModifiedBy>Atena Tutunaru</cp:lastModifiedBy>
  <dcterms:created xsi:type="dcterms:W3CDTF">2013-05-15T07:55:57Z</dcterms:created>
  <dcterms:modified xsi:type="dcterms:W3CDTF">2016-01-18T10:00:41Z</dcterms:modified>
</cp:coreProperties>
</file>