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 cu estimari" sheetId="8" r:id="rId1"/>
  </sheets>
  <definedNames>
    <definedName name="_xlnm.Print_Titles" localSheetId="0">'TOTAL cu estimari'!$12:$14</definedName>
  </definedNames>
  <calcPr calcId="125725"/>
</workbook>
</file>

<file path=xl/calcChain.xml><?xml version="1.0" encoding="utf-8"?>
<calcChain xmlns="http://schemas.openxmlformats.org/spreadsheetml/2006/main">
  <c r="C201" i="8"/>
  <c r="C199" s="1"/>
  <c r="D186"/>
  <c r="E186"/>
  <c r="F186"/>
  <c r="G186"/>
  <c r="G302"/>
  <c r="F302"/>
  <c r="E302"/>
  <c r="C302"/>
  <c r="C48"/>
  <c r="C43"/>
  <c r="C26"/>
  <c r="C25"/>
  <c r="D202"/>
  <c r="E202"/>
  <c r="F202"/>
  <c r="G202"/>
  <c r="C202"/>
  <c r="D193"/>
  <c r="E193"/>
  <c r="F193"/>
  <c r="G193"/>
  <c r="D60"/>
  <c r="E60"/>
  <c r="F47"/>
  <c r="G115"/>
  <c r="G114" s="1"/>
  <c r="F115"/>
  <c r="F114" s="1"/>
  <c r="E115"/>
  <c r="G92"/>
  <c r="G91" s="1"/>
  <c r="F92"/>
  <c r="F91" s="1"/>
  <c r="E92"/>
  <c r="G49"/>
  <c r="G47" s="1"/>
  <c r="G29"/>
  <c r="F153"/>
  <c r="F152" s="1"/>
  <c r="F131"/>
  <c r="F130" s="1"/>
  <c r="F123"/>
  <c r="F122" s="1"/>
  <c r="F49"/>
  <c r="F29"/>
  <c r="E49"/>
  <c r="E29"/>
  <c r="G89"/>
  <c r="G87" s="1"/>
  <c r="F89"/>
  <c r="F81" s="1"/>
  <c r="E144"/>
  <c r="E142" s="1"/>
  <c r="E136"/>
  <c r="E134" s="1"/>
  <c r="G45"/>
  <c r="F45"/>
  <c r="E45"/>
  <c r="G28"/>
  <c r="F28"/>
  <c r="E28"/>
  <c r="F300"/>
  <c r="F299" s="1"/>
  <c r="F298" s="1"/>
  <c r="F297" s="1"/>
  <c r="G301"/>
  <c r="F301"/>
  <c r="E301"/>
  <c r="E50"/>
  <c r="E31"/>
  <c r="G44"/>
  <c r="F44"/>
  <c r="E44"/>
  <c r="G27"/>
  <c r="F27"/>
  <c r="E27"/>
  <c r="F181"/>
  <c r="G181"/>
  <c r="E181"/>
  <c r="E236"/>
  <c r="G283"/>
  <c r="G281" s="1"/>
  <c r="F283"/>
  <c r="F281" s="1"/>
  <c r="E283"/>
  <c r="E281" s="1"/>
  <c r="F264"/>
  <c r="F236" s="1"/>
  <c r="G264"/>
  <c r="G236" s="1"/>
  <c r="E264"/>
  <c r="F267"/>
  <c r="G267"/>
  <c r="E267"/>
  <c r="F295"/>
  <c r="G295"/>
  <c r="E295"/>
  <c r="G292"/>
  <c r="G291" s="1"/>
  <c r="G290" s="1"/>
  <c r="G294"/>
  <c r="F294"/>
  <c r="F292" s="1"/>
  <c r="F291" s="1"/>
  <c r="F290" s="1"/>
  <c r="E294"/>
  <c r="E292" s="1"/>
  <c r="E291" s="1"/>
  <c r="E290" s="1"/>
  <c r="G276"/>
  <c r="G274" s="1"/>
  <c r="F276"/>
  <c r="E276"/>
  <c r="G289"/>
  <c r="G287" s="1"/>
  <c r="F289"/>
  <c r="E289"/>
  <c r="E287" s="1"/>
  <c r="F277"/>
  <c r="G277"/>
  <c r="G266" s="1"/>
  <c r="E277"/>
  <c r="G271"/>
  <c r="G269" s="1"/>
  <c r="F271"/>
  <c r="E271"/>
  <c r="E269" s="1"/>
  <c r="G232"/>
  <c r="F232"/>
  <c r="E232"/>
  <c r="E230" s="1"/>
  <c r="G226"/>
  <c r="G224" s="1"/>
  <c r="F226"/>
  <c r="E226"/>
  <c r="E224" s="1"/>
  <c r="G221"/>
  <c r="F221"/>
  <c r="E221"/>
  <c r="E219" s="1"/>
  <c r="E218" s="1"/>
  <c r="G50"/>
  <c r="F50"/>
  <c r="G31"/>
  <c r="F31"/>
  <c r="F216"/>
  <c r="G216"/>
  <c r="E216"/>
  <c r="G215"/>
  <c r="G213" s="1"/>
  <c r="G212" s="1"/>
  <c r="G211" s="1"/>
  <c r="F215"/>
  <c r="F213" s="1"/>
  <c r="F212" s="1"/>
  <c r="F211" s="1"/>
  <c r="E215"/>
  <c r="E213" s="1"/>
  <c r="F185"/>
  <c r="F60" s="1"/>
  <c r="G185"/>
  <c r="G60" s="1"/>
  <c r="E185"/>
  <c r="F209"/>
  <c r="G209"/>
  <c r="E209"/>
  <c r="G208"/>
  <c r="G206" s="1"/>
  <c r="F208"/>
  <c r="F206" s="1"/>
  <c r="E208"/>
  <c r="E206" s="1"/>
  <c r="E205" s="1"/>
  <c r="E204" s="1"/>
  <c r="G201"/>
  <c r="G199" s="1"/>
  <c r="G198" s="1"/>
  <c r="G197" s="1"/>
  <c r="F201"/>
  <c r="E201"/>
  <c r="E199" s="1"/>
  <c r="E198" s="1"/>
  <c r="E197" s="1"/>
  <c r="F192"/>
  <c r="G192"/>
  <c r="E192"/>
  <c r="G191"/>
  <c r="G189" s="1"/>
  <c r="F191"/>
  <c r="F189" s="1"/>
  <c r="E191"/>
  <c r="E189" s="1"/>
  <c r="F156"/>
  <c r="G156"/>
  <c r="F157"/>
  <c r="G157"/>
  <c r="E156"/>
  <c r="E157"/>
  <c r="F171"/>
  <c r="F170" s="1"/>
  <c r="G171"/>
  <c r="E171"/>
  <c r="E170" s="1"/>
  <c r="F175"/>
  <c r="F174" s="1"/>
  <c r="G175"/>
  <c r="G174" s="1"/>
  <c r="E175"/>
  <c r="E174" s="1"/>
  <c r="F167"/>
  <c r="G167"/>
  <c r="G166" s="1"/>
  <c r="E167"/>
  <c r="E166" s="1"/>
  <c r="F163"/>
  <c r="F162" s="1"/>
  <c r="G163"/>
  <c r="G162" s="1"/>
  <c r="E163"/>
  <c r="E162" s="1"/>
  <c r="F159"/>
  <c r="F158" s="1"/>
  <c r="G159"/>
  <c r="G158" s="1"/>
  <c r="E159"/>
  <c r="F67"/>
  <c r="G67"/>
  <c r="E67"/>
  <c r="G66"/>
  <c r="G64" s="1"/>
  <c r="F66"/>
  <c r="F64" s="1"/>
  <c r="E66"/>
  <c r="E64" s="1"/>
  <c r="G40"/>
  <c r="E48"/>
  <c r="E47" s="1"/>
  <c r="E43"/>
  <c r="E26"/>
  <c r="E25"/>
  <c r="G35"/>
  <c r="G17"/>
  <c r="F35"/>
  <c r="E35"/>
  <c r="F17"/>
  <c r="E17"/>
  <c r="G39"/>
  <c r="F39"/>
  <c r="E39"/>
  <c r="G21"/>
  <c r="F21"/>
  <c r="E21"/>
  <c r="G41"/>
  <c r="F41"/>
  <c r="E41"/>
  <c r="G23"/>
  <c r="G15" s="1"/>
  <c r="F23"/>
  <c r="E23"/>
  <c r="E22"/>
  <c r="F40"/>
  <c r="G22"/>
  <c r="F22"/>
  <c r="G34"/>
  <c r="F34"/>
  <c r="E34"/>
  <c r="G16"/>
  <c r="F16"/>
  <c r="F15" s="1"/>
  <c r="E16"/>
  <c r="E15" s="1"/>
  <c r="G304"/>
  <c r="G303" s="1"/>
  <c r="F304"/>
  <c r="F303" s="1"/>
  <c r="E304"/>
  <c r="E303" s="1"/>
  <c r="D304"/>
  <c r="D303" s="1"/>
  <c r="C304"/>
  <c r="C303" s="1"/>
  <c r="C301"/>
  <c r="D300"/>
  <c r="D299" s="1"/>
  <c r="D298" s="1"/>
  <c r="D297" s="1"/>
  <c r="C295"/>
  <c r="C294"/>
  <c r="C292" s="1"/>
  <c r="D292"/>
  <c r="D290" s="1"/>
  <c r="C289"/>
  <c r="C287" s="1"/>
  <c r="C286" s="1"/>
  <c r="D287"/>
  <c r="D286" s="1"/>
  <c r="C285"/>
  <c r="C267" s="1"/>
  <c r="G284"/>
  <c r="F284"/>
  <c r="E284"/>
  <c r="D284"/>
  <c r="D266" s="1"/>
  <c r="C283"/>
  <c r="C281" s="1"/>
  <c r="D281"/>
  <c r="D279"/>
  <c r="C277"/>
  <c r="C273" s="1"/>
  <c r="C276"/>
  <c r="C274" s="1"/>
  <c r="D274"/>
  <c r="D272"/>
  <c r="C271"/>
  <c r="C269" s="1"/>
  <c r="D269"/>
  <c r="D267"/>
  <c r="D265"/>
  <c r="C264"/>
  <c r="C236" s="1"/>
  <c r="G259"/>
  <c r="G258" s="1"/>
  <c r="F259"/>
  <c r="E259"/>
  <c r="E258" s="1"/>
  <c r="D259"/>
  <c r="D258" s="1"/>
  <c r="C259"/>
  <c r="C258" s="1"/>
  <c r="F258"/>
  <c r="C257"/>
  <c r="C243" s="1"/>
  <c r="G256"/>
  <c r="G255" s="1"/>
  <c r="F256"/>
  <c r="F255" s="1"/>
  <c r="E256"/>
  <c r="E255" s="1"/>
  <c r="D256"/>
  <c r="D255" s="1"/>
  <c r="G253"/>
  <c r="G252" s="1"/>
  <c r="F253"/>
  <c r="F252" s="1"/>
  <c r="E253"/>
  <c r="E252" s="1"/>
  <c r="D253"/>
  <c r="D252" s="1"/>
  <c r="C253"/>
  <c r="C252" s="1"/>
  <c r="G250"/>
  <c r="F250"/>
  <c r="E250"/>
  <c r="D250"/>
  <c r="C250"/>
  <c r="G248"/>
  <c r="F248"/>
  <c r="E248"/>
  <c r="D248"/>
  <c r="C248"/>
  <c r="G245"/>
  <c r="F245"/>
  <c r="F244" s="1"/>
  <c r="E245"/>
  <c r="E244" s="1"/>
  <c r="D245"/>
  <c r="C245"/>
  <c r="G243"/>
  <c r="F243"/>
  <c r="E243"/>
  <c r="D243"/>
  <c r="D237" s="1"/>
  <c r="C232"/>
  <c r="C231"/>
  <c r="D230"/>
  <c r="D229" s="1"/>
  <c r="G227"/>
  <c r="F227"/>
  <c r="E227"/>
  <c r="D227"/>
  <c r="C227"/>
  <c r="C226"/>
  <c r="C224" s="1"/>
  <c r="D224"/>
  <c r="C221"/>
  <c r="C219" s="1"/>
  <c r="C218" s="1"/>
  <c r="D219"/>
  <c r="D218" s="1"/>
  <c r="C216"/>
  <c r="C215"/>
  <c r="C213" s="1"/>
  <c r="D213"/>
  <c r="D211" s="1"/>
  <c r="C209"/>
  <c r="C208"/>
  <c r="C206" s="1"/>
  <c r="D206"/>
  <c r="D204" s="1"/>
  <c r="D199"/>
  <c r="D198" s="1"/>
  <c r="D197" s="1"/>
  <c r="C196"/>
  <c r="C192" s="1"/>
  <c r="C183" s="1"/>
  <c r="C193"/>
  <c r="D192"/>
  <c r="C191"/>
  <c r="C189" s="1"/>
  <c r="D189"/>
  <c r="C185"/>
  <c r="C60" s="1"/>
  <c r="G184"/>
  <c r="G59" s="1"/>
  <c r="F184"/>
  <c r="F59" s="1"/>
  <c r="E184"/>
  <c r="E59" s="1"/>
  <c r="D184"/>
  <c r="D59" s="1"/>
  <c r="C184"/>
  <c r="C59" s="1"/>
  <c r="D182"/>
  <c r="C181"/>
  <c r="C175"/>
  <c r="C174" s="1"/>
  <c r="C171"/>
  <c r="C170" s="1"/>
  <c r="C167"/>
  <c r="C166" s="1"/>
  <c r="C163"/>
  <c r="C159"/>
  <c r="C158" s="1"/>
  <c r="C157"/>
  <c r="C156"/>
  <c r="G152"/>
  <c r="E152"/>
  <c r="C152"/>
  <c r="G149"/>
  <c r="G148" s="1"/>
  <c r="G147" s="1"/>
  <c r="F149"/>
  <c r="E149"/>
  <c r="E148" s="1"/>
  <c r="E147" s="1"/>
  <c r="D149"/>
  <c r="D148" s="1"/>
  <c r="D147" s="1"/>
  <c r="C149"/>
  <c r="G145"/>
  <c r="F145"/>
  <c r="E145"/>
  <c r="C145"/>
  <c r="G142"/>
  <c r="G141" s="1"/>
  <c r="G140" s="1"/>
  <c r="F142"/>
  <c r="F141" s="1"/>
  <c r="F140" s="1"/>
  <c r="D142"/>
  <c r="D141" s="1"/>
  <c r="D140" s="1"/>
  <c r="C142"/>
  <c r="G138"/>
  <c r="F138"/>
  <c r="E138"/>
  <c r="C138"/>
  <c r="G134"/>
  <c r="G133" s="1"/>
  <c r="G132" s="1"/>
  <c r="F134"/>
  <c r="F133" s="1"/>
  <c r="F132" s="1"/>
  <c r="D134"/>
  <c r="D133" s="1"/>
  <c r="D132" s="1"/>
  <c r="C134"/>
  <c r="G130"/>
  <c r="E130"/>
  <c r="C130"/>
  <c r="G126"/>
  <c r="F126"/>
  <c r="E126"/>
  <c r="E125" s="1"/>
  <c r="E124" s="1"/>
  <c r="D126"/>
  <c r="D125" s="1"/>
  <c r="D124" s="1"/>
  <c r="C126"/>
  <c r="G122"/>
  <c r="E122"/>
  <c r="C122"/>
  <c r="G118"/>
  <c r="F118"/>
  <c r="E118"/>
  <c r="E117" s="1"/>
  <c r="E116" s="1"/>
  <c r="D118"/>
  <c r="D117" s="1"/>
  <c r="D116" s="1"/>
  <c r="C118"/>
  <c r="C114"/>
  <c r="G110"/>
  <c r="F110"/>
  <c r="E110"/>
  <c r="D110"/>
  <c r="D109" s="1"/>
  <c r="D108" s="1"/>
  <c r="C110"/>
  <c r="G106"/>
  <c r="F106"/>
  <c r="E106"/>
  <c r="C106"/>
  <c r="G103"/>
  <c r="G102" s="1"/>
  <c r="G101" s="1"/>
  <c r="F103"/>
  <c r="F102" s="1"/>
  <c r="F101" s="1"/>
  <c r="E103"/>
  <c r="E102" s="1"/>
  <c r="E101" s="1"/>
  <c r="D103"/>
  <c r="D102" s="1"/>
  <c r="D101" s="1"/>
  <c r="C103"/>
  <c r="G99"/>
  <c r="F99"/>
  <c r="E99"/>
  <c r="C99"/>
  <c r="G95"/>
  <c r="G94" s="1"/>
  <c r="G93" s="1"/>
  <c r="F95"/>
  <c r="F94" s="1"/>
  <c r="E95"/>
  <c r="D95"/>
  <c r="D94" s="1"/>
  <c r="D93" s="1"/>
  <c r="C95"/>
  <c r="E91"/>
  <c r="E86" s="1"/>
  <c r="E85" s="1"/>
  <c r="C91"/>
  <c r="E87"/>
  <c r="D87"/>
  <c r="D86" s="1"/>
  <c r="C87"/>
  <c r="D84"/>
  <c r="D76" s="1"/>
  <c r="C84"/>
  <c r="C76" s="1"/>
  <c r="D83"/>
  <c r="D75" s="1"/>
  <c r="G82"/>
  <c r="G74" s="1"/>
  <c r="F82"/>
  <c r="F74" s="1"/>
  <c r="E82"/>
  <c r="E57" s="1"/>
  <c r="D82"/>
  <c r="D57" s="1"/>
  <c r="C82"/>
  <c r="C74" s="1"/>
  <c r="E81"/>
  <c r="D81"/>
  <c r="D73" s="1"/>
  <c r="C81"/>
  <c r="G80"/>
  <c r="F80"/>
  <c r="E80"/>
  <c r="D80"/>
  <c r="D72" s="1"/>
  <c r="C80"/>
  <c r="C66"/>
  <c r="C64" s="1"/>
  <c r="D64"/>
  <c r="C50"/>
  <c r="D47"/>
  <c r="C44"/>
  <c r="G43"/>
  <c r="F43"/>
  <c r="G36"/>
  <c r="F36"/>
  <c r="E36"/>
  <c r="C35"/>
  <c r="D33"/>
  <c r="C31"/>
  <c r="C27"/>
  <c r="G26"/>
  <c r="F26"/>
  <c r="G25"/>
  <c r="F25"/>
  <c r="G24"/>
  <c r="F24"/>
  <c r="E24"/>
  <c r="G20"/>
  <c r="F20"/>
  <c r="E20"/>
  <c r="G18"/>
  <c r="F18"/>
  <c r="E18"/>
  <c r="C17"/>
  <c r="D15"/>
  <c r="F148" l="1"/>
  <c r="F147" s="1"/>
  <c r="E266"/>
  <c r="E238" s="1"/>
  <c r="D183"/>
  <c r="C198"/>
  <c r="C197" s="1"/>
  <c r="C186"/>
  <c r="C188"/>
  <c r="C187" s="1"/>
  <c r="E212"/>
  <c r="E211" s="1"/>
  <c r="F266"/>
  <c r="F238" s="1"/>
  <c r="C72"/>
  <c r="C55" s="1"/>
  <c r="E63"/>
  <c r="E62" s="1"/>
  <c r="E300"/>
  <c r="E299" s="1"/>
  <c r="E298" s="1"/>
  <c r="E297" s="1"/>
  <c r="F155"/>
  <c r="C223"/>
  <c r="C222" s="1"/>
  <c r="G273"/>
  <c r="G272" s="1"/>
  <c r="C102"/>
  <c r="C101" s="1"/>
  <c r="G117"/>
  <c r="G116" s="1"/>
  <c r="G125"/>
  <c r="G124" s="1"/>
  <c r="C133"/>
  <c r="C132" s="1"/>
  <c r="G63"/>
  <c r="G62" s="1"/>
  <c r="F205"/>
  <c r="F204" s="1"/>
  <c r="F287"/>
  <c r="F286" s="1"/>
  <c r="G300"/>
  <c r="G299" s="1"/>
  <c r="G298" s="1"/>
  <c r="G297" s="1"/>
  <c r="F117"/>
  <c r="F116" s="1"/>
  <c r="E84"/>
  <c r="E76" s="1"/>
  <c r="G242"/>
  <c r="E133"/>
  <c r="E132" s="1"/>
  <c r="E114"/>
  <c r="E83" s="1"/>
  <c r="G84"/>
  <c r="G76" s="1"/>
  <c r="G86"/>
  <c r="G85" s="1"/>
  <c r="F125"/>
  <c r="F124" s="1"/>
  <c r="F84"/>
  <c r="F76" s="1"/>
  <c r="F109"/>
  <c r="F108" s="1"/>
  <c r="G81"/>
  <c r="F87"/>
  <c r="F86" s="1"/>
  <c r="F85" s="1"/>
  <c r="G265"/>
  <c r="G237" s="1"/>
  <c r="F265"/>
  <c r="F237" s="1"/>
  <c r="G239"/>
  <c r="G286"/>
  <c r="E286"/>
  <c r="F274"/>
  <c r="F273" s="1"/>
  <c r="F272" s="1"/>
  <c r="C33"/>
  <c r="C57"/>
  <c r="D223"/>
  <c r="D222" s="1"/>
  <c r="D280"/>
  <c r="D262" s="1"/>
  <c r="F63"/>
  <c r="F62" s="1"/>
  <c r="G183"/>
  <c r="G205"/>
  <c r="G204" s="1"/>
  <c r="E183"/>
  <c r="C141"/>
  <c r="C140" s="1"/>
  <c r="C230"/>
  <c r="C229" s="1"/>
  <c r="C247"/>
  <c r="C246" s="1"/>
  <c r="G247"/>
  <c r="G246" s="1"/>
  <c r="G240" s="1"/>
  <c r="E155"/>
  <c r="F166"/>
  <c r="F154" s="1"/>
  <c r="F183"/>
  <c r="E265"/>
  <c r="E237" s="1"/>
  <c r="D55"/>
  <c r="G155"/>
  <c r="F199"/>
  <c r="F198" s="1"/>
  <c r="F197" s="1"/>
  <c r="C148"/>
  <c r="C147" s="1"/>
  <c r="F219"/>
  <c r="F218" s="1"/>
  <c r="F230"/>
  <c r="F229" s="1"/>
  <c r="F269"/>
  <c r="C47"/>
  <c r="C86"/>
  <c r="C85" s="1"/>
  <c r="D242"/>
  <c r="E280"/>
  <c r="E279" s="1"/>
  <c r="C300"/>
  <c r="C299" s="1"/>
  <c r="C298" s="1"/>
  <c r="C297" s="1"/>
  <c r="E158"/>
  <c r="E154" s="1"/>
  <c r="G219"/>
  <c r="G218" s="1"/>
  <c r="G230"/>
  <c r="E274"/>
  <c r="E273" s="1"/>
  <c r="E272" s="1"/>
  <c r="C15"/>
  <c r="C125"/>
  <c r="C124" s="1"/>
  <c r="C73"/>
  <c r="D239"/>
  <c r="D61" s="1"/>
  <c r="F247"/>
  <c r="F246" s="1"/>
  <c r="F240" s="1"/>
  <c r="F239"/>
  <c r="D74"/>
  <c r="F224"/>
  <c r="F223" s="1"/>
  <c r="F222" s="1"/>
  <c r="E229"/>
  <c r="G223"/>
  <c r="G222" s="1"/>
  <c r="G182"/>
  <c r="E182"/>
  <c r="G188"/>
  <c r="F182"/>
  <c r="G170"/>
  <c r="G154" s="1"/>
  <c r="D79"/>
  <c r="D71" s="1"/>
  <c r="G280"/>
  <c r="G279" s="1"/>
  <c r="E74"/>
  <c r="C109"/>
  <c r="C108" s="1"/>
  <c r="C117"/>
  <c r="C116" s="1"/>
  <c r="C155"/>
  <c r="D56"/>
  <c r="F188"/>
  <c r="D188"/>
  <c r="D180"/>
  <c r="C182"/>
  <c r="E223"/>
  <c r="E222" s="1"/>
  <c r="E239"/>
  <c r="E242"/>
  <c r="E268"/>
  <c r="G263"/>
  <c r="G235" s="1"/>
  <c r="F280"/>
  <c r="F279" s="1"/>
  <c r="C291"/>
  <c r="C290" s="1"/>
  <c r="C83"/>
  <c r="C75" s="1"/>
  <c r="C94"/>
  <c r="C93" s="1"/>
  <c r="E188"/>
  <c r="C211"/>
  <c r="F73"/>
  <c r="E141"/>
  <c r="E140" s="1"/>
  <c r="E79"/>
  <c r="G33"/>
  <c r="E33"/>
  <c r="F33"/>
  <c r="F83"/>
  <c r="F75" s="1"/>
  <c r="G57"/>
  <c r="F57"/>
  <c r="F72"/>
  <c r="F55" s="1"/>
  <c r="G83"/>
  <c r="G75" s="1"/>
  <c r="G73"/>
  <c r="E73"/>
  <c r="G79"/>
  <c r="G72"/>
  <c r="G55" s="1"/>
  <c r="E72"/>
  <c r="E55" s="1"/>
  <c r="C263"/>
  <c r="C268"/>
  <c r="C62"/>
  <c r="C239"/>
  <c r="C204"/>
  <c r="C205"/>
  <c r="D78"/>
  <c r="D85"/>
  <c r="C272"/>
  <c r="D62"/>
  <c r="C79"/>
  <c r="F93"/>
  <c r="E94"/>
  <c r="G109"/>
  <c r="G108" s="1"/>
  <c r="C212"/>
  <c r="C179" s="1"/>
  <c r="F242"/>
  <c r="D244"/>
  <c r="D238" s="1"/>
  <c r="D58" s="1"/>
  <c r="D308" s="1"/>
  <c r="E247"/>
  <c r="C265"/>
  <c r="C237" s="1"/>
  <c r="D268"/>
  <c r="D261" s="1"/>
  <c r="C162"/>
  <c r="C154" s="1"/>
  <c r="E180"/>
  <c r="C244"/>
  <c r="G244"/>
  <c r="G238" s="1"/>
  <c r="D247"/>
  <c r="D263"/>
  <c r="G268"/>
  <c r="C284"/>
  <c r="C266" s="1"/>
  <c r="C256"/>
  <c r="C241" l="1"/>
  <c r="F179"/>
  <c r="D187"/>
  <c r="D179"/>
  <c r="G187"/>
  <c r="G179"/>
  <c r="E179"/>
  <c r="E61"/>
  <c r="G241"/>
  <c r="E109"/>
  <c r="E108" s="1"/>
  <c r="E263"/>
  <c r="E262"/>
  <c r="F268"/>
  <c r="F261" s="1"/>
  <c r="F233" s="1"/>
  <c r="F262"/>
  <c r="E71"/>
  <c r="G262"/>
  <c r="E58"/>
  <c r="G61"/>
  <c r="F61"/>
  <c r="F79"/>
  <c r="F71" s="1"/>
  <c r="F78"/>
  <c r="F77" s="1"/>
  <c r="F69" s="1"/>
  <c r="E235"/>
  <c r="E261"/>
  <c r="G261"/>
  <c r="G233" s="1"/>
  <c r="G58"/>
  <c r="G308" s="1"/>
  <c r="G71"/>
  <c r="F263"/>
  <c r="F235" s="1"/>
  <c r="D235"/>
  <c r="C61"/>
  <c r="G180"/>
  <c r="G229"/>
  <c r="D54"/>
  <c r="D307" s="1"/>
  <c r="F241"/>
  <c r="F58"/>
  <c r="F308" s="1"/>
  <c r="C56"/>
  <c r="F180"/>
  <c r="E56"/>
  <c r="G56"/>
  <c r="F187"/>
  <c r="F178" s="1"/>
  <c r="F56"/>
  <c r="E187"/>
  <c r="E178" s="1"/>
  <c r="D70"/>
  <c r="D77"/>
  <c r="D69" s="1"/>
  <c r="C280"/>
  <c r="C279" s="1"/>
  <c r="G54"/>
  <c r="G307" s="1"/>
  <c r="C238"/>
  <c r="C58" s="1"/>
  <c r="C308" s="1"/>
  <c r="C78"/>
  <c r="C71"/>
  <c r="E308"/>
  <c r="E75"/>
  <c r="D246"/>
  <c r="D240" s="1"/>
  <c r="D233" s="1"/>
  <c r="D241"/>
  <c r="D234" s="1"/>
  <c r="E241"/>
  <c r="E246"/>
  <c r="E240" s="1"/>
  <c r="C178"/>
  <c r="C180"/>
  <c r="C255"/>
  <c r="C240" s="1"/>
  <c r="C242"/>
  <c r="C235" s="1"/>
  <c r="C77"/>
  <c r="C69" s="1"/>
  <c r="C70"/>
  <c r="C262"/>
  <c r="C234" s="1"/>
  <c r="D178"/>
  <c r="C261"/>
  <c r="E93"/>
  <c r="E78"/>
  <c r="G78"/>
  <c r="G178" l="1"/>
  <c r="G234"/>
  <c r="E54"/>
  <c r="E307" s="1"/>
  <c r="F70"/>
  <c r="E234"/>
  <c r="E233"/>
  <c r="F234"/>
  <c r="F54"/>
  <c r="F307" s="1"/>
  <c r="D52"/>
  <c r="D309" s="1"/>
  <c r="C54"/>
  <c r="C307" s="1"/>
  <c r="F52"/>
  <c r="F309" s="1"/>
  <c r="C233"/>
  <c r="C52" s="1"/>
  <c r="C309" s="1"/>
  <c r="D53"/>
  <c r="G70"/>
  <c r="G53" s="1"/>
  <c r="G77"/>
  <c r="G69" s="1"/>
  <c r="E70"/>
  <c r="E77"/>
  <c r="E69" s="1"/>
  <c r="C53"/>
  <c r="G52" l="1"/>
  <c r="G309" s="1"/>
  <c r="E53"/>
  <c r="E52"/>
  <c r="E309" s="1"/>
  <c r="F53"/>
</calcChain>
</file>

<file path=xl/sharedStrings.xml><?xml version="1.0" encoding="utf-8"?>
<sst xmlns="http://schemas.openxmlformats.org/spreadsheetml/2006/main" count="353" uniqueCount="105">
  <si>
    <t xml:space="preserve">BUGETUL DE VENITURI SI CHELTUIELI </t>
  </si>
  <si>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</si>
  <si>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</si>
  <si>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</si>
  <si>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</si>
  <si>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</si>
  <si>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</si>
  <si>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</si>
  <si>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</si>
  <si>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</si>
  <si>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33.10.21</t>
  </si>
  <si>
    <t>33.10.30</t>
  </si>
  <si>
    <t>33.10.31</t>
  </si>
  <si>
    <t>33.10.32</t>
  </si>
  <si>
    <t>VENITURILE SECT. DE FUNCTIONARE</t>
  </si>
  <si>
    <t>VENITURILE SECT. DE DEZVOLTARE</t>
  </si>
  <si>
    <t xml:space="preserve">TOTAL CHELTUIELI </t>
  </si>
  <si>
    <t>TOTAL CHELTUIELI (S. FUNCTIONARE+S.DEZV.)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</si>
  <si>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</si>
  <si>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</si>
  <si>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</si>
  <si>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</si>
  <si>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</si>
  <si>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</si>
  <si>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</si>
  <si>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</si>
  <si>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</si>
  <si>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</si>
  <si>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</si>
  <si>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</si>
  <si>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AGRICULTURA , SILVICULTURA</t>
  </si>
  <si>
    <t>SERV. PUBLIC JUDETEAN DE PAZA SI ORDINE ARGES</t>
  </si>
  <si>
    <t>87.10.50</t>
  </si>
  <si>
    <t>37.10.03</t>
  </si>
  <si>
    <t>37.10.04</t>
  </si>
  <si>
    <t>ANEXA 2</t>
  </si>
  <si>
    <t>CAMIN PERSOANE VARSTNICE MOZACENI</t>
  </si>
  <si>
    <t>Varsaminte din sectiunea de functionare pentru finantarea sectiunii de dezvoltare</t>
  </si>
  <si>
    <t xml:space="preserve">Varsaminte din sectiunea de functionare </t>
  </si>
  <si>
    <t xml:space="preserve">Cheltuieli cu bunuri si servicii </t>
  </si>
  <si>
    <t>MUZEUL VITICULTURII SI POMICULTURII GOLESTI</t>
  </si>
  <si>
    <t>SCOALA POPULARA DE ARTE SI MESERII</t>
  </si>
  <si>
    <t>CENTRUL JUDETEAN PENTRU CONSERVAREA SI PROMOVAREA CULTURII TRADITIONALE ARGES</t>
  </si>
  <si>
    <t>CENTRUL DE  CULTURA "BRATIANU"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</si>
  <si>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</si>
  <si>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</si>
  <si>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</si>
  <si>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</si>
  <si>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</si>
  <si>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</si>
  <si>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</si>
  <si>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</si>
  <si>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</si>
  <si>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</si>
  <si>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</si>
  <si>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</si>
  <si>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</si>
  <si>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</si>
  <si>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</si>
  <si>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</si>
  <si>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</si>
  <si>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43.10.15</t>
  </si>
  <si>
    <t>Venituri din serbari si spectacole scolare, manifestari culturale , artistice si sportive</t>
  </si>
  <si>
    <t>Subventii pentru institutii publice</t>
  </si>
  <si>
    <t>Subventii din bugetul local pentru finantarea camerelor agricole</t>
  </si>
  <si>
    <t>PROPUNERE CJ 2016</t>
  </si>
  <si>
    <t>FINANTAT INTEGRAL  SAU PARTIAL DIN VENITURI PROPRII PE ANUL 2016</t>
  </si>
  <si>
    <t>Burse</t>
  </si>
  <si>
    <t>43.10.19</t>
  </si>
  <si>
    <t>Subventii pentru institutii publice destinate sectiunii de dezvoltare</t>
  </si>
  <si>
    <t>45.10.16</t>
  </si>
  <si>
    <t>Alte facilitati si instrumente postaderare</t>
  </si>
  <si>
    <t>56.16.02</t>
  </si>
  <si>
    <t>MUZEUL JUDETEAN ARGES</t>
  </si>
  <si>
    <t>PROPUNERE 2016</t>
  </si>
  <si>
    <t>TOTAL UNITATI MEDICO-SOCIALE</t>
  </si>
  <si>
    <t>TOTAL SPITALE</t>
  </si>
  <si>
    <t>56.16.03</t>
  </si>
  <si>
    <t>Proiecte cu finantare FEN</t>
  </si>
  <si>
    <t xml:space="preserve">TOTAL CENTRE DE ASISTENTA </t>
  </si>
  <si>
    <t>CAMERA AGRICOLA ARGES</t>
  </si>
  <si>
    <t xml:space="preserve">EXCEDENT/DEFICIT SECT.DE FUNCTIONARE </t>
  </si>
  <si>
    <t>EXCEDENT/DEFICIT SECT.DE DEZVOLTARE</t>
  </si>
  <si>
    <t xml:space="preserve">TOTAL EXCEDENT/DEFICIT </t>
  </si>
  <si>
    <t>Finantare externa nerambursabila</t>
  </si>
  <si>
    <t>DIRECTIA JUDETEANA PENTRU EVIDENTA PERSOANELOR PITESTI</t>
  </si>
  <si>
    <t>83.10.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</si>
  <si>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</si>
  <si>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</si>
  <si>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</si>
  <si>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</si>
  <si>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</si>
  <si>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Centrul de Ingrijire si Asistenta BASCOVELE</t>
  </si>
  <si>
    <t>Complexul de Servicii pentru Persoane cu Dizabilitati VULTURESTI</t>
  </si>
  <si>
    <t>um=mii lei</t>
  </si>
  <si>
    <t>DENUMIRE INDICATORI</t>
  </si>
  <si>
    <t>Centru de Ingrijire si Asistenta PITESTI</t>
  </si>
  <si>
    <t>Venituri din contractele incheiate cu casele de asigurari sociale de sanatate</t>
  </si>
  <si>
    <t>Venituri din contractele incheiate cu DSP din sume alocate de la bugetul de stat</t>
  </si>
  <si>
    <t>Venituri din contractele incheiate cu DSP din sume alocate  din veniturile proprii ale Min. Sanatatii</t>
  </si>
  <si>
    <t xml:space="preserve">Venituri din contractele incheiate cu Institutele de medicina legala </t>
  </si>
  <si>
    <t>PROIECT "CENTRUL EUROPE DIRECT ARGES "</t>
  </si>
  <si>
    <t>BIBLIOTECA JUDETEANA "DINICU GOLESCU " PITESTI</t>
  </si>
  <si>
    <t>ESTIMARI ANII</t>
  </si>
  <si>
    <t>la Hotararea C.J. nr.         /02.02.2016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</si>
</sst>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29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5" fillId="13" borderId="0" applyNumberFormat="0" applyBorder="0" applyAlignment="0" applyProtection="0"/>
  </cellStyleXfs>
  <cellXfs count="178">
    <xf numFmtId="0" fontId="0" fillId="0" borderId="0" xfId="0"/>
    <xf numFmtId="0" fontId="5" fillId="0" borderId="0" xfId="0" applyFont="1"/>
    <xf numFmtId="164" fontId="5" fillId="0" borderId="0" xfId="1" applyFont="1"/>
    <xf numFmtId="164" fontId="5" fillId="0" borderId="0" xfId="1" applyFont="1" applyFill="1" applyBorder="1"/>
    <xf numFmtId="0" fontId="0" fillId="0" borderId="0" xfId="0" applyAlignment="1"/>
    <xf numFmtId="0" fontId="0" fillId="10" borderId="0" xfId="0" applyFill="1"/>
    <xf numFmtId="0" fontId="1" fillId="0" borderId="8" xfId="0" applyFont="1" applyFill="1" applyBorder="1" applyAlignment="1">
      <alignment horizontal="right"/>
    </xf>
    <xf numFmtId="0" fontId="1" fillId="10" borderId="0" xfId="0" applyFont="1" applyFill="1"/>
    <xf numFmtId="0" fontId="1" fillId="10" borderId="0" xfId="0" applyFont="1" applyFill="1" applyBorder="1"/>
    <xf numFmtId="2" fontId="2" fillId="10" borderId="0" xfId="0" applyNumberFormat="1" applyFont="1" applyFill="1" applyBorder="1" applyAlignment="1">
      <alignment horizontal="right" wrapText="1"/>
    </xf>
    <xf numFmtId="164" fontId="1" fillId="10" borderId="0" xfId="1" applyFont="1" applyFill="1" applyBorder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2" fontId="2" fillId="10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164" fontId="1" fillId="10" borderId="0" xfId="1" applyFont="1" applyFill="1" applyBorder="1"/>
    <xf numFmtId="2" fontId="12" fillId="10" borderId="0" xfId="4" applyNumberFormat="1" applyFill="1" applyBorder="1" applyAlignment="1">
      <alignment horizontal="right"/>
    </xf>
    <xf numFmtId="2" fontId="8" fillId="10" borderId="0" xfId="3" applyNumberFormat="1" applyFont="1" applyFill="1" applyBorder="1" applyAlignment="1">
      <alignment horizontal="right"/>
    </xf>
    <xf numFmtId="2" fontId="13" fillId="10" borderId="0" xfId="5" applyNumberFormat="1" applyFill="1" applyBorder="1" applyAlignment="1">
      <alignment horizontal="right"/>
    </xf>
    <xf numFmtId="164" fontId="14" fillId="10" borderId="0" xfId="1" applyFont="1" applyFill="1" applyBorder="1" applyAlignment="1">
      <alignment horizontal="center"/>
    </xf>
    <xf numFmtId="0" fontId="1" fillId="10" borderId="0" xfId="0" applyFont="1" applyFill="1" applyBorder="1" applyAlignment="1">
      <alignment horizontal="right"/>
    </xf>
    <xf numFmtId="2" fontId="11" fillId="10" borderId="0" xfId="2" applyNumberFormat="1" applyFont="1" applyFill="1" applyBorder="1" applyAlignment="1">
      <alignment horizontal="right"/>
    </xf>
    <xf numFmtId="164" fontId="8" fillId="10" borderId="0" xfId="1" applyFont="1" applyFill="1" applyBorder="1" applyAlignment="1">
      <alignment horizontal="right"/>
    </xf>
    <xf numFmtId="164" fontId="1" fillId="10" borderId="0" xfId="1" applyFont="1" applyFill="1" applyBorder="1" applyAlignment="1"/>
    <xf numFmtId="2" fontId="2" fillId="10" borderId="0" xfId="0" applyNumberFormat="1" applyFont="1" applyFill="1" applyBorder="1"/>
    <xf numFmtId="164" fontId="12" fillId="10" borderId="0" xfId="4" applyNumberFormat="1" applyFill="1" applyBorder="1" applyAlignment="1">
      <alignment horizontal="right"/>
    </xf>
    <xf numFmtId="2" fontId="4" fillId="10" borderId="0" xfId="0" applyNumberFormat="1" applyFont="1" applyFill="1" applyBorder="1"/>
    <xf numFmtId="2" fontId="3" fillId="10" borderId="0" xfId="0" applyNumberFormat="1" applyFont="1" applyFill="1" applyBorder="1"/>
    <xf numFmtId="0" fontId="5" fillId="10" borderId="0" xfId="0" applyFont="1" applyFill="1"/>
    <xf numFmtId="2" fontId="7" fillId="10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8" fillId="8" borderId="1" xfId="4" applyFont="1" applyBorder="1" applyAlignment="1">
      <alignment horizontal="left"/>
    </xf>
    <xf numFmtId="0" fontId="18" fillId="8" borderId="1" xfId="4" applyFont="1" applyBorder="1" applyAlignment="1">
      <alignment horizontal="center"/>
    </xf>
    <xf numFmtId="0" fontId="18" fillId="8" borderId="1" xfId="4" applyFont="1" applyBorder="1" applyAlignment="1">
      <alignment horizontal="left" wrapText="1"/>
    </xf>
    <xf numFmtId="0" fontId="17" fillId="3" borderId="1" xfId="0" applyFont="1" applyFill="1" applyBorder="1" applyAlignment="1">
      <alignment horizontal="left"/>
    </xf>
    <xf numFmtId="0" fontId="19" fillId="7" borderId="1" xfId="3" applyFont="1" applyBorder="1" applyAlignment="1">
      <alignment horizontal="center"/>
    </xf>
    <xf numFmtId="0" fontId="20" fillId="9" borderId="1" xfId="5" applyFont="1" applyBorder="1" applyAlignment="1">
      <alignment horizontal="left" wrapText="1"/>
    </xf>
    <xf numFmtId="0" fontId="20" fillId="9" borderId="1" xfId="5" applyFont="1" applyBorder="1" applyAlignment="1">
      <alignment horizontal="center"/>
    </xf>
    <xf numFmtId="0" fontId="20" fillId="9" borderId="1" xfId="5" applyFont="1" applyBorder="1" applyAlignment="1">
      <alignment horizontal="left"/>
    </xf>
    <xf numFmtId="0" fontId="20" fillId="9" borderId="1" xfId="5" applyFont="1" applyBorder="1"/>
    <xf numFmtId="49" fontId="20" fillId="9" borderId="1" xfId="5" applyNumberFormat="1" applyFont="1" applyBorder="1" applyAlignment="1">
      <alignment horizontal="center"/>
    </xf>
    <xf numFmtId="0" fontId="21" fillId="8" borderId="1" xfId="4" applyFont="1" applyBorder="1" applyAlignment="1">
      <alignment horizontal="center" wrapText="1"/>
    </xf>
    <xf numFmtId="0" fontId="21" fillId="8" borderId="1" xfId="4" applyFont="1" applyBorder="1" applyAlignment="1">
      <alignment horizontal="center"/>
    </xf>
    <xf numFmtId="0" fontId="17" fillId="0" borderId="5" xfId="0" applyFont="1" applyBorder="1"/>
    <xf numFmtId="0" fontId="17" fillId="0" borderId="5" xfId="0" applyFont="1" applyBorder="1" applyAlignment="1">
      <alignment horizontal="center"/>
    </xf>
    <xf numFmtId="0" fontId="22" fillId="13" borderId="1" xfId="6" applyFont="1" applyBorder="1" applyAlignment="1">
      <alignment horizontal="center"/>
    </xf>
    <xf numFmtId="164" fontId="22" fillId="13" borderId="1" xfId="6" applyNumberFormat="1" applyFont="1" applyBorder="1" applyAlignment="1">
      <alignment horizontal="center"/>
    </xf>
    <xf numFmtId="0" fontId="22" fillId="13" borderId="1" xfId="6" applyFont="1" applyBorder="1" applyAlignment="1">
      <alignment horizontal="left" wrapText="1"/>
    </xf>
    <xf numFmtId="0" fontId="22" fillId="13" borderId="1" xfId="6" applyFont="1" applyBorder="1" applyAlignment="1">
      <alignment horizontal="left"/>
    </xf>
    <xf numFmtId="0" fontId="22" fillId="13" borderId="1" xfId="6" applyFont="1" applyBorder="1"/>
    <xf numFmtId="164" fontId="18" fillId="8" borderId="1" xfId="4" applyNumberFormat="1" applyFont="1" applyBorder="1" applyAlignment="1">
      <alignment horizontal="center"/>
    </xf>
    <xf numFmtId="0" fontId="18" fillId="8" borderId="1" xfId="4" applyFont="1" applyBorder="1"/>
    <xf numFmtId="0" fontId="16" fillId="4" borderId="1" xfId="0" applyFont="1" applyFill="1" applyBorder="1" applyAlignment="1">
      <alignment horizontal="center" wrapText="1"/>
    </xf>
    <xf numFmtId="4" fontId="17" fillId="4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left" wrapText="1"/>
    </xf>
    <xf numFmtId="0" fontId="16" fillId="4" borderId="1" xfId="0" applyFont="1" applyFill="1" applyBorder="1" applyAlignment="1">
      <alignment horizontal="center"/>
    </xf>
    <xf numFmtId="0" fontId="23" fillId="6" borderId="1" xfId="2" applyFont="1" applyBorder="1" applyAlignment="1">
      <alignment horizontal="center" wrapText="1"/>
    </xf>
    <xf numFmtId="4" fontId="18" fillId="8" borderId="1" xfId="4" applyNumberFormat="1" applyFont="1" applyBorder="1" applyAlignment="1">
      <alignment horizontal="center"/>
    </xf>
    <xf numFmtId="0" fontId="21" fillId="8" borderId="1" xfId="4" applyFont="1" applyBorder="1" applyAlignment="1">
      <alignment horizontal="left"/>
    </xf>
    <xf numFmtId="0" fontId="21" fillId="8" borderId="1" xfId="4" applyFont="1" applyBorder="1"/>
    <xf numFmtId="0" fontId="16" fillId="5" borderId="1" xfId="0" applyFont="1" applyFill="1" applyBorder="1" applyAlignment="1">
      <alignment horizontal="center" wrapText="1"/>
    </xf>
    <xf numFmtId="0" fontId="18" fillId="8" borderId="1" xfId="4" applyFont="1" applyBorder="1" applyAlignment="1">
      <alignment horizontal="center" wrapText="1"/>
    </xf>
    <xf numFmtId="49" fontId="18" fillId="8" borderId="1" xfId="4" applyNumberFormat="1" applyFont="1" applyBorder="1" applyAlignment="1">
      <alignment horizontal="left" vertical="top"/>
    </xf>
    <xf numFmtId="49" fontId="18" fillId="8" borderId="1" xfId="4" applyNumberFormat="1" applyFont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4" fontId="17" fillId="10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7" fillId="10" borderId="1" xfId="0" applyFont="1" applyFill="1" applyBorder="1"/>
    <xf numFmtId="0" fontId="22" fillId="13" borderId="1" xfId="6" applyFont="1" applyBorder="1" applyAlignment="1">
      <alignment horizontal="center" wrapText="1"/>
    </xf>
    <xf numFmtId="2" fontId="22" fillId="13" borderId="1" xfId="6" applyNumberFormat="1" applyFont="1" applyBorder="1" applyAlignment="1">
      <alignment horizontal="center"/>
    </xf>
    <xf numFmtId="0" fontId="24" fillId="13" borderId="1" xfId="6" applyFont="1" applyBorder="1"/>
    <xf numFmtId="0" fontId="24" fillId="13" borderId="1" xfId="6" applyFont="1" applyBorder="1" applyAlignment="1">
      <alignment horizontal="center"/>
    </xf>
    <xf numFmtId="4" fontId="17" fillId="5" borderId="1" xfId="0" applyNumberFormat="1" applyFont="1" applyFill="1" applyBorder="1" applyAlignment="1">
      <alignment horizontal="center"/>
    </xf>
    <xf numFmtId="0" fontId="17" fillId="12" borderId="1" xfId="0" applyFont="1" applyFill="1" applyBorder="1" applyAlignment="1">
      <alignment horizontal="center" wrapText="1"/>
    </xf>
    <xf numFmtId="4" fontId="17" fillId="12" borderId="1" xfId="0" applyNumberFormat="1" applyFont="1" applyFill="1" applyBorder="1" applyAlignment="1">
      <alignment horizontal="center"/>
    </xf>
    <xf numFmtId="0" fontId="17" fillId="12" borderId="1" xfId="0" applyFont="1" applyFill="1" applyBorder="1" applyAlignment="1">
      <alignment horizontal="left" wrapText="1"/>
    </xf>
    <xf numFmtId="0" fontId="17" fillId="12" borderId="1" xfId="0" applyFont="1" applyFill="1" applyBorder="1" applyAlignment="1">
      <alignment horizontal="center"/>
    </xf>
    <xf numFmtId="0" fontId="17" fillId="12" borderId="1" xfId="0" applyFont="1" applyFill="1" applyBorder="1" applyAlignment="1">
      <alignment horizontal="left"/>
    </xf>
    <xf numFmtId="0" fontId="17" fillId="12" borderId="1" xfId="0" applyFont="1" applyFill="1" applyBorder="1"/>
    <xf numFmtId="2" fontId="20" fillId="9" borderId="1" xfId="5" applyNumberFormat="1" applyFont="1" applyBorder="1" applyAlignment="1">
      <alignment horizontal="center"/>
    </xf>
    <xf numFmtId="0" fontId="20" fillId="9" borderId="1" xfId="5" applyFont="1" applyBorder="1" applyAlignment="1">
      <alignment horizontal="center" wrapText="1"/>
    </xf>
    <xf numFmtId="0" fontId="25" fillId="0" borderId="1" xfId="0" applyFont="1" applyFill="1" applyBorder="1" applyAlignment="1">
      <alignment horizontal="center"/>
    </xf>
    <xf numFmtId="0" fontId="25" fillId="0" borderId="1" xfId="0" applyFont="1" applyBorder="1"/>
    <xf numFmtId="0" fontId="25" fillId="0" borderId="0" xfId="0" applyFont="1" applyFill="1" applyBorder="1" applyAlignment="1">
      <alignment horizontal="center"/>
    </xf>
    <xf numFmtId="0" fontId="17" fillId="0" borderId="0" xfId="0" applyFont="1" applyBorder="1"/>
    <xf numFmtId="2" fontId="25" fillId="0" borderId="0" xfId="0" applyNumberFormat="1" applyFont="1" applyBorder="1"/>
    <xf numFmtId="0" fontId="25" fillId="0" borderId="0" xfId="0" applyFont="1" applyFill="1" applyBorder="1"/>
    <xf numFmtId="0" fontId="21" fillId="10" borderId="1" xfId="4" applyFont="1" applyFill="1" applyBorder="1" applyAlignment="1">
      <alignment horizontal="center"/>
    </xf>
    <xf numFmtId="4" fontId="17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19" fillId="7" borderId="1" xfId="3" applyNumberFormat="1" applyFont="1" applyBorder="1" applyAlignment="1">
      <alignment horizontal="right"/>
    </xf>
    <xf numFmtId="4" fontId="20" fillId="9" borderId="1" xfId="5" applyNumberFormat="1" applyFont="1" applyBorder="1" applyAlignment="1">
      <alignment horizontal="right"/>
    </xf>
    <xf numFmtId="4" fontId="21" fillId="8" borderId="1" xfId="4" applyNumberFormat="1" applyFont="1" applyBorder="1" applyAlignment="1">
      <alignment horizontal="right"/>
    </xf>
    <xf numFmtId="4" fontId="21" fillId="10" borderId="1" xfId="4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7" fillId="0" borderId="5" xfId="0" applyNumberFormat="1" applyFont="1" applyFill="1" applyBorder="1" applyAlignment="1">
      <alignment horizontal="right"/>
    </xf>
    <xf numFmtId="4" fontId="22" fillId="13" borderId="1" xfId="6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6" fillId="10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/>
    </xf>
    <xf numFmtId="4" fontId="17" fillId="12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/>
    </xf>
    <xf numFmtId="4" fontId="16" fillId="10" borderId="1" xfId="0" applyNumberFormat="1" applyFont="1" applyFill="1" applyBorder="1" applyAlignment="1">
      <alignment horizontal="right"/>
    </xf>
    <xf numFmtId="0" fontId="17" fillId="11" borderId="0" xfId="0" applyFont="1" applyFill="1"/>
    <xf numFmtId="0" fontId="16" fillId="11" borderId="0" xfId="0" applyFont="1" applyFill="1" applyAlignment="1"/>
    <xf numFmtId="0" fontId="16" fillId="11" borderId="0" xfId="0" applyFont="1" applyFill="1" applyAlignment="1">
      <alignment horizontal="center"/>
    </xf>
    <xf numFmtId="0" fontId="17" fillId="11" borderId="0" xfId="0" applyFont="1" applyFill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11" borderId="1" xfId="0" applyFont="1" applyFill="1" applyBorder="1" applyAlignment="1">
      <alignment horizont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17" fillId="5" borderId="1" xfId="0" applyNumberFormat="1" applyFont="1" applyFill="1" applyBorder="1" applyAlignment="1">
      <alignment horizontal="right"/>
    </xf>
    <xf numFmtId="2" fontId="26" fillId="0" borderId="0" xfId="0" applyNumberFormat="1" applyFont="1" applyBorder="1"/>
    <xf numFmtId="0" fontId="17" fillId="0" borderId="0" xfId="0" applyFont="1" applyFill="1"/>
    <xf numFmtId="0" fontId="27" fillId="0" borderId="0" xfId="0" applyFont="1" applyFill="1"/>
    <xf numFmtId="2" fontId="28" fillId="0" borderId="0" xfId="0" applyNumberFormat="1" applyFont="1" applyFill="1"/>
    <xf numFmtId="4" fontId="17" fillId="0" borderId="5" xfId="1" applyNumberFormat="1" applyFont="1" applyFill="1" applyBorder="1" applyAlignment="1">
      <alignment horizontal="right"/>
    </xf>
    <xf numFmtId="4" fontId="17" fillId="0" borderId="1" xfId="1" applyNumberFormat="1" applyFont="1" applyBorder="1" applyAlignment="1">
      <alignment horizontal="right"/>
    </xf>
    <xf numFmtId="4" fontId="17" fillId="0" borderId="5" xfId="0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10" borderId="1" xfId="1" applyNumberFormat="1" applyFont="1" applyFill="1" applyBorder="1" applyAlignment="1">
      <alignment horizontal="right"/>
    </xf>
    <xf numFmtId="4" fontId="17" fillId="0" borderId="1" xfId="1" applyNumberFormat="1" applyFont="1" applyFill="1" applyBorder="1" applyAlignment="1">
      <alignment horizontal="right"/>
    </xf>
    <xf numFmtId="0" fontId="20" fillId="9" borderId="1" xfId="5" applyNumberFormat="1" applyFont="1" applyBorder="1" applyAlignment="1">
      <alignment horizontal="left" vertical="top"/>
    </xf>
    <xf numFmtId="4" fontId="17" fillId="0" borderId="1" xfId="1" applyNumberFormat="1" applyFont="1" applyBorder="1"/>
    <xf numFmtId="4" fontId="16" fillId="2" borderId="1" xfId="0" applyNumberFormat="1" applyFont="1" applyFill="1" applyBorder="1" applyAlignment="1">
      <alignment horizontal="right"/>
    </xf>
    <xf numFmtId="4" fontId="17" fillId="11" borderId="1" xfId="0" applyNumberFormat="1" applyFont="1" applyFill="1" applyBorder="1" applyAlignment="1">
      <alignment horizontal="right"/>
    </xf>
    <xf numFmtId="4" fontId="18" fillId="10" borderId="1" xfId="4" applyNumberFormat="1" applyFont="1" applyFill="1" applyBorder="1" applyAlignment="1">
      <alignment horizontal="right"/>
    </xf>
    <xf numFmtId="4" fontId="16" fillId="11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/>
    <xf numFmtId="4" fontId="16" fillId="11" borderId="5" xfId="0" applyNumberFormat="1" applyFont="1" applyFill="1" applyBorder="1" applyAlignment="1">
      <alignment horizontal="right"/>
    </xf>
    <xf numFmtId="4" fontId="17" fillId="0" borderId="5" xfId="0" applyNumberFormat="1" applyFont="1" applyFill="1" applyBorder="1" applyAlignment="1"/>
    <xf numFmtId="4" fontId="16" fillId="11" borderId="1" xfId="0" applyNumberFormat="1" applyFont="1" applyFill="1" applyBorder="1" applyAlignment="1">
      <alignment horizontal="right" wrapText="1"/>
    </xf>
    <xf numFmtId="4" fontId="17" fillId="11" borderId="5" xfId="0" applyNumberFormat="1" applyFont="1" applyFill="1" applyBorder="1" applyAlignment="1">
      <alignment horizontal="right"/>
    </xf>
    <xf numFmtId="4" fontId="23" fillId="6" borderId="1" xfId="2" applyNumberFormat="1" applyFont="1" applyBorder="1" applyAlignment="1">
      <alignment horizontal="right"/>
    </xf>
    <xf numFmtId="4" fontId="23" fillId="11" borderId="1" xfId="2" applyNumberFormat="1" applyFont="1" applyFill="1" applyBorder="1" applyAlignment="1">
      <alignment horizontal="right"/>
    </xf>
    <xf numFmtId="4" fontId="18" fillId="11" borderId="1" xfId="4" applyNumberFormat="1" applyFont="1" applyFill="1" applyBorder="1" applyAlignment="1">
      <alignment horizontal="right"/>
    </xf>
    <xf numFmtId="4" fontId="24" fillId="13" borderId="1" xfId="6" applyNumberFormat="1" applyFont="1" applyBorder="1" applyAlignment="1">
      <alignment horizontal="right"/>
    </xf>
    <xf numFmtId="4" fontId="16" fillId="12" borderId="1" xfId="0" applyNumberFormat="1" applyFont="1" applyFill="1" applyBorder="1" applyAlignment="1">
      <alignment horizontal="right" wrapText="1"/>
    </xf>
    <xf numFmtId="4" fontId="20" fillId="11" borderId="1" xfId="5" applyNumberFormat="1" applyFont="1" applyFill="1" applyBorder="1" applyAlignment="1">
      <alignment horizontal="right"/>
    </xf>
    <xf numFmtId="4" fontId="25" fillId="0" borderId="1" xfId="0" applyNumberFormat="1" applyFont="1" applyBorder="1" applyAlignment="1">
      <alignment horizontal="right"/>
    </xf>
    <xf numFmtId="4" fontId="26" fillId="0" borderId="1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1"/>
  <sheetViews>
    <sheetView tabSelected="1" zoomScaleNormal="100" workbookViewId="0">
      <selection activeCell="K6" sqref="K6"/>
    </sheetView>
  </sheetViews>
  <sheetFormatPr defaultRowHeight="12.75"/>
  <cols>
    <col min="1" max="1" width="49" style="36" customWidth="1"/>
    <col min="2" max="2" width="13.5703125" style="36" customWidth="1"/>
    <col min="3" max="3" width="18.28515625" style="36" customWidth="1"/>
    <col min="4" max="4" width="13.140625" style="129" hidden="1" customWidth="1"/>
    <col min="5" max="5" width="14.5703125" style="36" customWidth="1"/>
    <col min="6" max="6" width="14.28515625" style="36" customWidth="1"/>
    <col min="7" max="7" width="13.7109375" style="36" customWidth="1"/>
    <col min="8" max="8" width="8.140625" style="7" customWidth="1"/>
    <col min="10" max="10" width="14.42578125" style="1" customWidth="1"/>
    <col min="11" max="11" width="12.7109375" style="1" bestFit="1" customWidth="1"/>
  </cols>
  <sheetData>
    <row r="1" spans="1:8">
      <c r="A1" s="35" t="s">
        <v>58</v>
      </c>
    </row>
    <row r="3" spans="1:8">
      <c r="E3" s="37" t="s">
        <v>35</v>
      </c>
      <c r="F3" s="37"/>
    </row>
    <row r="4" spans="1:8">
      <c r="B4" s="37"/>
      <c r="C4" s="37"/>
      <c r="D4" s="130"/>
      <c r="E4" s="37" t="s">
        <v>104</v>
      </c>
      <c r="F4" s="37"/>
    </row>
    <row r="5" spans="1:8">
      <c r="B5" s="37"/>
      <c r="C5" s="37"/>
      <c r="D5" s="130"/>
    </row>
    <row r="6" spans="1:8">
      <c r="B6" s="38"/>
      <c r="C6" s="38"/>
      <c r="D6" s="131"/>
    </row>
    <row r="7" spans="1:8">
      <c r="A7" s="167" t="s">
        <v>0</v>
      </c>
      <c r="B7" s="167"/>
      <c r="C7" s="167"/>
      <c r="D7" s="167"/>
      <c r="E7" s="167"/>
      <c r="F7" s="167"/>
      <c r="G7" s="167"/>
      <c r="H7" s="11"/>
    </row>
    <row r="8" spans="1:8">
      <c r="A8" s="168" t="s">
        <v>66</v>
      </c>
      <c r="B8" s="168"/>
      <c r="C8" s="168"/>
      <c r="D8" s="168"/>
      <c r="E8" s="168"/>
      <c r="F8" s="168"/>
      <c r="G8" s="168"/>
      <c r="H8" s="12"/>
    </row>
    <row r="9" spans="1:8">
      <c r="A9" s="39"/>
      <c r="B9" s="40"/>
      <c r="C9" s="40"/>
      <c r="D9" s="132"/>
    </row>
    <row r="10" spans="1:8">
      <c r="A10" s="39"/>
      <c r="B10" s="40"/>
      <c r="C10" s="40"/>
      <c r="D10" s="132"/>
    </row>
    <row r="11" spans="1:8">
      <c r="C11" s="38"/>
      <c r="D11" s="131"/>
      <c r="G11" s="38" t="s">
        <v>94</v>
      </c>
      <c r="H11" s="11"/>
    </row>
    <row r="12" spans="1:8" ht="12.75" customHeight="1">
      <c r="A12" s="169" t="s">
        <v>95</v>
      </c>
      <c r="B12" s="169" t="s">
        <v>1</v>
      </c>
      <c r="C12" s="171" t="s">
        <v>74</v>
      </c>
      <c r="D12" s="173" t="s">
        <v>65</v>
      </c>
      <c r="E12" s="175" t="s">
        <v>103</v>
      </c>
      <c r="F12" s="176"/>
      <c r="G12" s="177"/>
      <c r="H12" s="12"/>
    </row>
    <row r="13" spans="1:8" ht="27.75" customHeight="1">
      <c r="A13" s="170"/>
      <c r="B13" s="170"/>
      <c r="C13" s="172"/>
      <c r="D13" s="174"/>
      <c r="E13" s="133">
        <v>2017</v>
      </c>
      <c r="F13" s="133">
        <v>2018</v>
      </c>
      <c r="G13" s="133">
        <v>2019</v>
      </c>
      <c r="H13" s="13"/>
    </row>
    <row r="14" spans="1:8" ht="21" customHeight="1">
      <c r="A14" s="31">
        <v>1</v>
      </c>
      <c r="B14" s="31">
        <v>2</v>
      </c>
      <c r="C14" s="31">
        <v>3</v>
      </c>
      <c r="D14" s="134">
        <v>6</v>
      </c>
      <c r="E14" s="31">
        <v>4</v>
      </c>
      <c r="F14" s="31">
        <v>5</v>
      </c>
      <c r="G14" s="31">
        <v>6</v>
      </c>
      <c r="H14" s="12"/>
    </row>
    <row r="15" spans="1:8" ht="20.25" customHeight="1">
      <c r="A15" s="41" t="s">
        <v>52</v>
      </c>
      <c r="B15" s="42"/>
      <c r="C15" s="150">
        <f>C16+C17+C18+C19+C20+C21+C22+C23+C24+C25+C26+C27+C28+C29+C30+C31+C32</f>
        <v>273953.62</v>
      </c>
      <c r="D15" s="150">
        <f>D16+D17+D18+D19+D20+D21+D22+D23+D24+D25+D26+D27+D28+D29+D30+D31+D32</f>
        <v>0</v>
      </c>
      <c r="E15" s="150">
        <f>E16+E17+E18+E19+E20+E21+E22+E23+E24+E25+E26+E27+E28+E29+E30+E31+E32</f>
        <v>285724</v>
      </c>
      <c r="F15" s="150">
        <f t="shared" ref="F15:G15" si="0">F16+F17+F18+F19+F20+F21+F22+F23+F24+F25+F26+F27+F28+F29+F30+F31+F32</f>
        <v>296753</v>
      </c>
      <c r="G15" s="150">
        <f t="shared" si="0"/>
        <v>311729</v>
      </c>
      <c r="H15" s="14"/>
    </row>
    <row r="16" spans="1:8" ht="24.75" customHeight="1">
      <c r="A16" s="43" t="s">
        <v>2</v>
      </c>
      <c r="B16" s="44" t="s">
        <v>3</v>
      </c>
      <c r="C16" s="106">
        <v>101</v>
      </c>
      <c r="D16" s="151"/>
      <c r="E16" s="106">
        <f>85+4+11</f>
        <v>100</v>
      </c>
      <c r="F16" s="106">
        <f>85+4+11</f>
        <v>100</v>
      </c>
      <c r="G16" s="106">
        <f>85+4+11</f>
        <v>100</v>
      </c>
      <c r="H16" s="15"/>
    </row>
    <row r="17" spans="1:8" ht="28.5" customHeight="1">
      <c r="A17" s="43" t="s">
        <v>4</v>
      </c>
      <c r="B17" s="45" t="s">
        <v>5</v>
      </c>
      <c r="C17" s="107">
        <f>2575+4965</f>
        <v>7540</v>
      </c>
      <c r="D17" s="151"/>
      <c r="E17" s="135">
        <f>509+305+3850+118+405+20+97+205+270+2137+118+130+3+123+110+40+84+38</f>
        <v>8562</v>
      </c>
      <c r="F17" s="135">
        <f>510+305+3970+121+410+20+97+205+275+2396+120+130+3+123+110+42+84+40</f>
        <v>8961</v>
      </c>
      <c r="G17" s="135">
        <f>511+305+4100+125+410+20+97+205+280+2694+125+130+3+123+110+44+84+40</f>
        <v>9406</v>
      </c>
      <c r="H17" s="8"/>
    </row>
    <row r="18" spans="1:8" ht="27" customHeight="1">
      <c r="A18" s="46" t="s">
        <v>6</v>
      </c>
      <c r="B18" s="45" t="s">
        <v>7</v>
      </c>
      <c r="C18" s="107">
        <v>3349</v>
      </c>
      <c r="D18" s="151"/>
      <c r="E18" s="34">
        <f>800+270+200+200+950+380+132+160+240</f>
        <v>3332</v>
      </c>
      <c r="F18" s="34">
        <f>800+280+200+220+950+380+135+160+240</f>
        <v>3365</v>
      </c>
      <c r="G18" s="34">
        <f>800+300+200+240+950+380+140+160+240</f>
        <v>3410</v>
      </c>
      <c r="H18" s="8"/>
    </row>
    <row r="19" spans="1:8" ht="37.5" customHeight="1">
      <c r="A19" s="46" t="s">
        <v>62</v>
      </c>
      <c r="B19" s="45" t="s">
        <v>59</v>
      </c>
      <c r="C19" s="107">
        <v>80</v>
      </c>
      <c r="D19" s="151"/>
      <c r="E19" s="34">
        <v>95</v>
      </c>
      <c r="F19" s="34">
        <v>95</v>
      </c>
      <c r="G19" s="34">
        <v>95</v>
      </c>
      <c r="H19" s="8"/>
    </row>
    <row r="20" spans="1:8" ht="27" customHeight="1">
      <c r="A20" s="43" t="s">
        <v>8</v>
      </c>
      <c r="B20" s="45" t="s">
        <v>9</v>
      </c>
      <c r="C20" s="107">
        <v>308</v>
      </c>
      <c r="D20" s="151"/>
      <c r="E20" s="34">
        <f>354</f>
        <v>354</v>
      </c>
      <c r="F20" s="34">
        <f>407</f>
        <v>407</v>
      </c>
      <c r="G20" s="34">
        <f>468</f>
        <v>468</v>
      </c>
      <c r="H20" s="8"/>
    </row>
    <row r="21" spans="1:8" ht="29.25" customHeight="1">
      <c r="A21" s="47" t="s">
        <v>97</v>
      </c>
      <c r="B21" s="45" t="s">
        <v>10</v>
      </c>
      <c r="C21" s="107">
        <v>178177.62</v>
      </c>
      <c r="D21" s="151"/>
      <c r="E21" s="34">
        <f>2440+26426+5858+108568+6660+8700+6962+9603+11000</f>
        <v>186217</v>
      </c>
      <c r="F21" s="34">
        <f>2440+27964+5858+114331+6660+8700+6957+9603+11000</f>
        <v>193513</v>
      </c>
      <c r="G21" s="34">
        <f>2440+30445+5858+120959+6660+8700+6958+9603+11000</f>
        <v>202623</v>
      </c>
      <c r="H21" s="8"/>
    </row>
    <row r="22" spans="1:8" ht="34.5" customHeight="1">
      <c r="A22" s="47" t="s">
        <v>98</v>
      </c>
      <c r="B22" s="45" t="s">
        <v>11</v>
      </c>
      <c r="C22" s="107">
        <v>25381</v>
      </c>
      <c r="D22" s="151"/>
      <c r="E22" s="107">
        <f>4500+50+20589+62+570+450+242</f>
        <v>26463</v>
      </c>
      <c r="F22" s="107">
        <f>4500+50+21933+570+450+242</f>
        <v>27745</v>
      </c>
      <c r="G22" s="107">
        <f>4500+50+23478+570+450+242</f>
        <v>29290</v>
      </c>
      <c r="H22" s="15"/>
    </row>
    <row r="23" spans="1:8" ht="31.5" customHeight="1">
      <c r="A23" s="47" t="s">
        <v>99</v>
      </c>
      <c r="B23" s="45" t="s">
        <v>12</v>
      </c>
      <c r="C23" s="107">
        <v>5458</v>
      </c>
      <c r="D23" s="151"/>
      <c r="E23" s="107">
        <f>400+5455+10+170+58</f>
        <v>6093</v>
      </c>
      <c r="F23" s="107">
        <f>200+6188+10+170+58</f>
        <v>6626</v>
      </c>
      <c r="G23" s="107">
        <f>447+7031+10+170+58</f>
        <v>7716</v>
      </c>
      <c r="H23" s="15"/>
    </row>
    <row r="24" spans="1:8" ht="34.5" customHeight="1">
      <c r="A24" s="47" t="s">
        <v>100</v>
      </c>
      <c r="B24" s="45" t="s">
        <v>13</v>
      </c>
      <c r="C24" s="107">
        <v>3731</v>
      </c>
      <c r="D24" s="151"/>
      <c r="E24" s="107">
        <f>3731</f>
        <v>3731</v>
      </c>
      <c r="F24" s="107">
        <f>3731</f>
        <v>3731</v>
      </c>
      <c r="G24" s="107">
        <f>3731</f>
        <v>3731</v>
      </c>
      <c r="H24" s="15"/>
    </row>
    <row r="25" spans="1:8" ht="34.5" customHeight="1">
      <c r="A25" s="47" t="s">
        <v>37</v>
      </c>
      <c r="B25" s="45" t="s">
        <v>33</v>
      </c>
      <c r="C25" s="107">
        <f>-3139-108-80</f>
        <v>-3327</v>
      </c>
      <c r="D25" s="151"/>
      <c r="E25" s="34">
        <f>-1715-74</f>
        <v>-1789</v>
      </c>
      <c r="F25" s="34">
        <f>-3053</f>
        <v>-3053</v>
      </c>
      <c r="G25" s="34">
        <f>-5781</f>
        <v>-5781</v>
      </c>
      <c r="H25" s="8"/>
    </row>
    <row r="26" spans="1:8" ht="23.25" customHeight="1">
      <c r="A26" s="47" t="s">
        <v>38</v>
      </c>
      <c r="B26" s="45" t="s">
        <v>34</v>
      </c>
      <c r="C26" s="107">
        <f>3139+108+80</f>
        <v>3327</v>
      </c>
      <c r="D26" s="151"/>
      <c r="E26" s="34">
        <f>1715+74</f>
        <v>1789</v>
      </c>
      <c r="F26" s="34">
        <f>3053</f>
        <v>3053</v>
      </c>
      <c r="G26" s="34">
        <f>5781</f>
        <v>5781</v>
      </c>
      <c r="H26" s="8"/>
    </row>
    <row r="27" spans="1:8" ht="25.5" customHeight="1">
      <c r="A27" s="47" t="s">
        <v>63</v>
      </c>
      <c r="B27" s="45" t="s">
        <v>60</v>
      </c>
      <c r="C27" s="107">
        <f>2572+980+22700+6080-400</f>
        <v>31932</v>
      </c>
      <c r="D27" s="151"/>
      <c r="E27" s="34">
        <f>1100+2700+3200+3850+5350+5550+1350+2100+1150+6530</f>
        <v>32880</v>
      </c>
      <c r="F27" s="34">
        <f>1150+2800+3400+3950+5500+5650+1370+2150+1150+6530</f>
        <v>33650</v>
      </c>
      <c r="G27" s="34">
        <f>1200+2900+3600+3950+5600+5700+1450+2200+1150+6530</f>
        <v>34280</v>
      </c>
      <c r="H27" s="8"/>
    </row>
    <row r="28" spans="1:8" ht="33.75" customHeight="1">
      <c r="A28" s="47" t="s">
        <v>54</v>
      </c>
      <c r="B28" s="45" t="s">
        <v>55</v>
      </c>
      <c r="C28" s="107">
        <v>10000</v>
      </c>
      <c r="D28" s="151"/>
      <c r="E28" s="34">
        <f>940+1000+7514+150+300+120+176+300</f>
        <v>10500</v>
      </c>
      <c r="F28" s="34">
        <f>940+1000+8641+150+300+110-141</f>
        <v>11000</v>
      </c>
      <c r="G28" s="34">
        <f>940+1000+9937+150+300+110-437</f>
        <v>12000</v>
      </c>
      <c r="H28" s="8"/>
    </row>
    <row r="29" spans="1:8" ht="33.75" customHeight="1">
      <c r="A29" s="47" t="s">
        <v>57</v>
      </c>
      <c r="B29" s="45" t="s">
        <v>56</v>
      </c>
      <c r="C29" s="107">
        <v>5000</v>
      </c>
      <c r="D29" s="151"/>
      <c r="E29" s="34">
        <f>145+62248+219+200+151+500-57963</f>
        <v>5500</v>
      </c>
      <c r="F29" s="34">
        <f>145+62248+280+200+267+500-57640</f>
        <v>6000</v>
      </c>
      <c r="G29" s="34">
        <f>145+62248+212+200+10+500-56315</f>
        <v>7000</v>
      </c>
      <c r="H29" s="8"/>
    </row>
    <row r="30" spans="1:8" ht="28.5" customHeight="1">
      <c r="A30" s="47" t="s">
        <v>64</v>
      </c>
      <c r="B30" s="45" t="s">
        <v>61</v>
      </c>
      <c r="C30" s="107">
        <v>900</v>
      </c>
      <c r="D30" s="151"/>
      <c r="E30" s="149">
        <v>900</v>
      </c>
      <c r="F30" s="149">
        <v>900</v>
      </c>
      <c r="G30" s="149">
        <v>900</v>
      </c>
      <c r="H30" s="16"/>
    </row>
    <row r="31" spans="1:8" ht="32.25" customHeight="1">
      <c r="A31" s="47" t="s">
        <v>69</v>
      </c>
      <c r="B31" s="45" t="s">
        <v>68</v>
      </c>
      <c r="C31" s="107">
        <f>722+984+200</f>
        <v>1906</v>
      </c>
      <c r="D31" s="151"/>
      <c r="E31" s="149">
        <f>50+112+200+200+345</f>
        <v>907</v>
      </c>
      <c r="F31" s="149">
        <f>10+100+250+300</f>
        <v>660</v>
      </c>
      <c r="G31" s="149">
        <f>10+300+400</f>
        <v>710</v>
      </c>
      <c r="H31" s="16"/>
    </row>
    <row r="32" spans="1:8" ht="25.5" customHeight="1">
      <c r="A32" s="47" t="s">
        <v>71</v>
      </c>
      <c r="B32" s="45" t="s">
        <v>70</v>
      </c>
      <c r="C32" s="107">
        <v>90</v>
      </c>
      <c r="D32" s="151"/>
      <c r="E32" s="149">
        <v>90</v>
      </c>
      <c r="F32" s="149">
        <v>0</v>
      </c>
      <c r="G32" s="149">
        <v>0</v>
      </c>
      <c r="H32" s="16"/>
    </row>
    <row r="33" spans="1:8" ht="24.75" customHeight="1">
      <c r="A33" s="48" t="s">
        <v>14</v>
      </c>
      <c r="B33" s="49"/>
      <c r="C33" s="108">
        <f>C34+C35+C36+C37+C38+C39+C40+C41+C42+C43+C44+C45+C46</f>
        <v>263630.62</v>
      </c>
      <c r="D33" s="108">
        <f t="shared" ref="D33:G33" si="1">D34+D35+D36+D37+D38+D39+D40+D41+D42+D43+D44+D45+D46</f>
        <v>0</v>
      </c>
      <c r="E33" s="108">
        <f t="shared" si="1"/>
        <v>277438</v>
      </c>
      <c r="F33" s="108">
        <f t="shared" si="1"/>
        <v>287040</v>
      </c>
      <c r="G33" s="108">
        <f t="shared" si="1"/>
        <v>298238</v>
      </c>
      <c r="H33" s="17"/>
    </row>
    <row r="34" spans="1:8" ht="26.25" customHeight="1">
      <c r="A34" s="43" t="s">
        <v>2</v>
      </c>
      <c r="B34" s="44" t="s">
        <v>3</v>
      </c>
      <c r="C34" s="106">
        <v>101</v>
      </c>
      <c r="D34" s="151"/>
      <c r="E34" s="106">
        <f>85+4+11</f>
        <v>100</v>
      </c>
      <c r="F34" s="106">
        <f>85+4+11</f>
        <v>100</v>
      </c>
      <c r="G34" s="106">
        <f>85+4+11</f>
        <v>100</v>
      </c>
      <c r="H34" s="15"/>
    </row>
    <row r="35" spans="1:8" ht="26.25" customHeight="1">
      <c r="A35" s="43" t="s">
        <v>4</v>
      </c>
      <c r="B35" s="45" t="s">
        <v>5</v>
      </c>
      <c r="C35" s="107">
        <f>2575+4965</f>
        <v>7540</v>
      </c>
      <c r="D35" s="151"/>
      <c r="E35" s="135">
        <f>509+305+3850+118+405+20+97+205+270+2137+118+130+3+123+110+40+84+38</f>
        <v>8562</v>
      </c>
      <c r="F35" s="135">
        <f>510+305+3970+121+410+20+97+205+275+2396+120+130+3+123+110+42+84+40</f>
        <v>8961</v>
      </c>
      <c r="G35" s="135">
        <f>511+305+4100+125+410+20+97+205+280+2694+125+130+3+123+110+44+84+40</f>
        <v>9406</v>
      </c>
      <c r="H35" s="8"/>
    </row>
    <row r="36" spans="1:8" ht="22.5" customHeight="1">
      <c r="A36" s="46" t="s">
        <v>6</v>
      </c>
      <c r="B36" s="45" t="s">
        <v>7</v>
      </c>
      <c r="C36" s="107">
        <v>3349</v>
      </c>
      <c r="D36" s="151"/>
      <c r="E36" s="34">
        <f>800+270+200+200+950+380+132+160+240</f>
        <v>3332</v>
      </c>
      <c r="F36" s="34">
        <f>800+280+200+220+950+380+135+160+240</f>
        <v>3365</v>
      </c>
      <c r="G36" s="34">
        <f>800+300+200+240+950+380+140+160+240</f>
        <v>3410</v>
      </c>
      <c r="H36" s="8"/>
    </row>
    <row r="37" spans="1:8" ht="31.5" customHeight="1">
      <c r="A37" s="46" t="s">
        <v>62</v>
      </c>
      <c r="B37" s="45" t="s">
        <v>59</v>
      </c>
      <c r="C37" s="107">
        <v>80</v>
      </c>
      <c r="D37" s="151"/>
      <c r="E37" s="34">
        <v>95</v>
      </c>
      <c r="F37" s="34">
        <v>95</v>
      </c>
      <c r="G37" s="34">
        <v>95</v>
      </c>
      <c r="H37" s="8"/>
    </row>
    <row r="38" spans="1:8" ht="21.75" customHeight="1">
      <c r="A38" s="43" t="s">
        <v>8</v>
      </c>
      <c r="B38" s="45" t="s">
        <v>9</v>
      </c>
      <c r="C38" s="107">
        <v>308</v>
      </c>
      <c r="D38" s="151"/>
      <c r="E38" s="107">
        <v>354</v>
      </c>
      <c r="F38" s="107">
        <v>407</v>
      </c>
      <c r="G38" s="107">
        <v>468</v>
      </c>
      <c r="H38" s="15"/>
    </row>
    <row r="39" spans="1:8" ht="28.5" customHeight="1">
      <c r="A39" s="47" t="s">
        <v>97</v>
      </c>
      <c r="B39" s="45" t="s">
        <v>10</v>
      </c>
      <c r="C39" s="107">
        <v>178177.62</v>
      </c>
      <c r="D39" s="151"/>
      <c r="E39" s="107">
        <f>2440+26426+5858+108568+6660+8700+6962+9603+11000</f>
        <v>186217</v>
      </c>
      <c r="F39" s="107">
        <f>2440+27964+5858+114331+6660+8700+6957+9603+11000</f>
        <v>193513</v>
      </c>
      <c r="G39" s="107">
        <f>2440+30445+5858+120959+6660+8700+6958+9603+11000</f>
        <v>202623</v>
      </c>
      <c r="H39" s="15"/>
    </row>
    <row r="40" spans="1:8" ht="32.25" customHeight="1">
      <c r="A40" s="47" t="s">
        <v>98</v>
      </c>
      <c r="B40" s="45" t="s">
        <v>11</v>
      </c>
      <c r="C40" s="107">
        <v>25381</v>
      </c>
      <c r="D40" s="151"/>
      <c r="E40" s="107">
        <v>26463</v>
      </c>
      <c r="F40" s="107">
        <f>4500+50+21933+570+450+242</f>
        <v>27745</v>
      </c>
      <c r="G40" s="107">
        <f>4500+50+23478+570+450+242</f>
        <v>29290</v>
      </c>
      <c r="H40" s="15"/>
    </row>
    <row r="41" spans="1:8" ht="37.5" customHeight="1">
      <c r="A41" s="47" t="s">
        <v>99</v>
      </c>
      <c r="B41" s="45" t="s">
        <v>12</v>
      </c>
      <c r="C41" s="107">
        <v>5458</v>
      </c>
      <c r="D41" s="151"/>
      <c r="E41" s="107">
        <f>400+5455+10+170+58</f>
        <v>6093</v>
      </c>
      <c r="F41" s="107">
        <f>200+6188+10+170+58</f>
        <v>6626</v>
      </c>
      <c r="G41" s="107">
        <f>447+7031+10+170+58</f>
        <v>7716</v>
      </c>
      <c r="H41" s="15"/>
    </row>
    <row r="42" spans="1:8" ht="39" customHeight="1">
      <c r="A42" s="47" t="s">
        <v>100</v>
      </c>
      <c r="B42" s="45" t="s">
        <v>13</v>
      </c>
      <c r="C42" s="107">
        <v>3731</v>
      </c>
      <c r="D42" s="151"/>
      <c r="E42" s="107">
        <v>3731</v>
      </c>
      <c r="F42" s="107">
        <v>3731</v>
      </c>
      <c r="G42" s="107">
        <v>3731</v>
      </c>
      <c r="H42" s="15"/>
    </row>
    <row r="43" spans="1:8" ht="35.25" customHeight="1">
      <c r="A43" s="47" t="s">
        <v>37</v>
      </c>
      <c r="B43" s="45" t="s">
        <v>33</v>
      </c>
      <c r="C43" s="107">
        <f>-3139-108-80</f>
        <v>-3327</v>
      </c>
      <c r="D43" s="151"/>
      <c r="E43" s="34">
        <f>-1715-74</f>
        <v>-1789</v>
      </c>
      <c r="F43" s="34">
        <f>-3053</f>
        <v>-3053</v>
      </c>
      <c r="G43" s="34">
        <f>-5781</f>
        <v>-5781</v>
      </c>
      <c r="H43" s="8"/>
    </row>
    <row r="44" spans="1:8" ht="21.75" customHeight="1">
      <c r="A44" s="47" t="s">
        <v>63</v>
      </c>
      <c r="B44" s="45" t="s">
        <v>60</v>
      </c>
      <c r="C44" s="107">
        <f>2572+980+22700+6080-400</f>
        <v>31932</v>
      </c>
      <c r="D44" s="151"/>
      <c r="E44" s="34">
        <f>1100+2700+3200+3850+5350+5550+1350+2100+1150+6530</f>
        <v>32880</v>
      </c>
      <c r="F44" s="34">
        <f>1150+2800+3400+3950+5500+5650+1370+2150+1150+6530</f>
        <v>33650</v>
      </c>
      <c r="G44" s="34">
        <f>1200+2900+3600+3950+5600+5700+1450+2200+1150+6530</f>
        <v>34280</v>
      </c>
      <c r="H44" s="8"/>
    </row>
    <row r="45" spans="1:8" ht="30" customHeight="1">
      <c r="A45" s="47" t="s">
        <v>54</v>
      </c>
      <c r="B45" s="45" t="s">
        <v>55</v>
      </c>
      <c r="C45" s="107">
        <v>10000</v>
      </c>
      <c r="D45" s="151"/>
      <c r="E45" s="34">
        <f>940+1000+7514+150+300+120+176+300</f>
        <v>10500</v>
      </c>
      <c r="F45" s="34">
        <f>940+1000+8641+150+300+110-141</f>
        <v>11000</v>
      </c>
      <c r="G45" s="34">
        <f>940+1000+9937+150+300+110-437</f>
        <v>12000</v>
      </c>
      <c r="H45" s="8"/>
    </row>
    <row r="46" spans="1:8" ht="30.75" customHeight="1">
      <c r="A46" s="47" t="s">
        <v>64</v>
      </c>
      <c r="B46" s="45" t="s">
        <v>61</v>
      </c>
      <c r="C46" s="107">
        <v>900</v>
      </c>
      <c r="D46" s="151"/>
      <c r="E46" s="149">
        <v>900</v>
      </c>
      <c r="F46" s="149">
        <v>900</v>
      </c>
      <c r="G46" s="149">
        <v>900</v>
      </c>
      <c r="H46" s="16"/>
    </row>
    <row r="47" spans="1:8" ht="26.25" customHeight="1">
      <c r="A47" s="50" t="s">
        <v>15</v>
      </c>
      <c r="B47" s="49"/>
      <c r="C47" s="108">
        <f>C48+C49+C50+C51</f>
        <v>10323</v>
      </c>
      <c r="D47" s="108">
        <f>D48+D49+D50+D51</f>
        <v>0</v>
      </c>
      <c r="E47" s="108">
        <f>E48+E49+E50+E51</f>
        <v>8286</v>
      </c>
      <c r="F47" s="108">
        <f t="shared" ref="F47:G47" si="2">F48+F49+F50+F51</f>
        <v>9713</v>
      </c>
      <c r="G47" s="108">
        <f t="shared" si="2"/>
        <v>13491</v>
      </c>
      <c r="H47" s="17"/>
    </row>
    <row r="48" spans="1:8" ht="27" customHeight="1">
      <c r="A48" s="51" t="s">
        <v>38</v>
      </c>
      <c r="B48" s="44" t="s">
        <v>34</v>
      </c>
      <c r="C48" s="106">
        <f>3139+108+80</f>
        <v>3327</v>
      </c>
      <c r="D48" s="151"/>
      <c r="E48" s="34">
        <f>1715+74</f>
        <v>1789</v>
      </c>
      <c r="F48" s="34">
        <v>3053</v>
      </c>
      <c r="G48" s="34">
        <v>5781</v>
      </c>
      <c r="H48" s="8"/>
    </row>
    <row r="49" spans="1:11" ht="35.25" customHeight="1">
      <c r="A49" s="47" t="s">
        <v>57</v>
      </c>
      <c r="B49" s="45" t="s">
        <v>56</v>
      </c>
      <c r="C49" s="107">
        <v>5000</v>
      </c>
      <c r="D49" s="151"/>
      <c r="E49" s="34">
        <f>145+62248+219+200+151+500-57963</f>
        <v>5500</v>
      </c>
      <c r="F49" s="34">
        <f>145+62248+280+200+267+500-57640</f>
        <v>6000</v>
      </c>
      <c r="G49" s="34">
        <f>145+62248+212+200+10+500-56315</f>
        <v>7000</v>
      </c>
      <c r="H49" s="8"/>
    </row>
    <row r="50" spans="1:11" ht="33" customHeight="1">
      <c r="A50" s="47" t="s">
        <v>69</v>
      </c>
      <c r="B50" s="45" t="s">
        <v>68</v>
      </c>
      <c r="C50" s="107">
        <f>722+984+200</f>
        <v>1906</v>
      </c>
      <c r="D50" s="151"/>
      <c r="E50" s="34">
        <f>50+112+200+200+345</f>
        <v>907</v>
      </c>
      <c r="F50" s="34">
        <f>10+100+250+300</f>
        <v>660</v>
      </c>
      <c r="G50" s="34">
        <f>10+300+400</f>
        <v>710</v>
      </c>
      <c r="H50" s="8"/>
    </row>
    <row r="51" spans="1:11" ht="22.5" customHeight="1">
      <c r="A51" s="47" t="s">
        <v>71</v>
      </c>
      <c r="B51" s="45" t="s">
        <v>70</v>
      </c>
      <c r="C51" s="107">
        <v>90</v>
      </c>
      <c r="D51" s="151"/>
      <c r="E51" s="34">
        <v>90</v>
      </c>
      <c r="F51" s="34">
        <v>0</v>
      </c>
      <c r="G51" s="34">
        <v>0</v>
      </c>
      <c r="H51" s="8"/>
    </row>
    <row r="52" spans="1:11" ht="22.5" customHeight="1">
      <c r="A52" s="52" t="s">
        <v>16</v>
      </c>
      <c r="B52" s="52"/>
      <c r="C52" s="109">
        <f>C62+C69+C178+C233+C297+C303</f>
        <v>280375.58999999997</v>
      </c>
      <c r="D52" s="109">
        <f>D62+D69+D178+D233+D297+D303</f>
        <v>0</v>
      </c>
      <c r="E52" s="109">
        <f>E62+E69+E178+E233+E297+E303</f>
        <v>285724</v>
      </c>
      <c r="F52" s="109">
        <f>F62+F69+F178+F233+F297+F303</f>
        <v>296753</v>
      </c>
      <c r="G52" s="109">
        <f>G62+G69+G178+G233+G297+G303</f>
        <v>311729</v>
      </c>
      <c r="H52" s="18"/>
    </row>
    <row r="53" spans="1:11" ht="33" customHeight="1">
      <c r="A53" s="53" t="s">
        <v>17</v>
      </c>
      <c r="B53" s="54"/>
      <c r="C53" s="110">
        <f>C64+C70+C179+C234+C299+C304</f>
        <v>280375.58999999997</v>
      </c>
      <c r="D53" s="110">
        <f>D64+D70+D179+D234+D299+D304</f>
        <v>0</v>
      </c>
      <c r="E53" s="110">
        <f>E63+E70+E179+E234+E299+E304</f>
        <v>285724</v>
      </c>
      <c r="F53" s="110">
        <f>F63+F70+F179+F234+F299+F304</f>
        <v>296753</v>
      </c>
      <c r="G53" s="110">
        <f>G63+G70+G179+G234+G299+G304</f>
        <v>311729</v>
      </c>
      <c r="H53" s="19"/>
    </row>
    <row r="54" spans="1:11" ht="19.5" customHeight="1">
      <c r="A54" s="55" t="s">
        <v>18</v>
      </c>
      <c r="B54" s="54"/>
      <c r="C54" s="110">
        <f>C64+C71+C180+C235+C300+C304</f>
        <v>268866.58999999997</v>
      </c>
      <c r="D54" s="110">
        <f>D64+D71+D180+D235+D300+D304</f>
        <v>0</v>
      </c>
      <c r="E54" s="110">
        <f>E64+E71+E180+E235+E300+E304</f>
        <v>277438</v>
      </c>
      <c r="F54" s="110">
        <f>F64+F71+F180+F235+F300+F304</f>
        <v>287040</v>
      </c>
      <c r="G54" s="110">
        <f>G64+G71+G180+G235+G300+G304</f>
        <v>298238</v>
      </c>
      <c r="H54" s="19"/>
    </row>
    <row r="55" spans="1:11" ht="24" customHeight="1">
      <c r="A55" s="56" t="s">
        <v>19</v>
      </c>
      <c r="B55" s="54">
        <v>10</v>
      </c>
      <c r="C55" s="110">
        <f>C65+C72+C181+C236+C301+C305</f>
        <v>172693.11</v>
      </c>
      <c r="D55" s="110">
        <f>D80+D301+D305</f>
        <v>0</v>
      </c>
      <c r="E55" s="110">
        <f>E72+E301+E305</f>
        <v>156888</v>
      </c>
      <c r="F55" s="110">
        <f>F72+F301+F305</f>
        <v>157076</v>
      </c>
      <c r="G55" s="110">
        <f>G72+G301+G305</f>
        <v>157266</v>
      </c>
      <c r="H55" s="19"/>
    </row>
    <row r="56" spans="1:11" ht="24.75" customHeight="1">
      <c r="A56" s="56" t="s">
        <v>20</v>
      </c>
      <c r="B56" s="54">
        <v>20</v>
      </c>
      <c r="C56" s="110">
        <f>C73+C66+C182+C237+C302+C306</f>
        <v>95994.2</v>
      </c>
      <c r="D56" s="110">
        <f>D81+D182+D237+D302+D306+D66</f>
        <v>0</v>
      </c>
      <c r="E56" s="110">
        <f>E66+E73+E182+E237+E302+E306</f>
        <v>103251.8</v>
      </c>
      <c r="F56" s="110">
        <f>F66+F73+F182+F237+F302+F306</f>
        <v>112303.8</v>
      </c>
      <c r="G56" s="110">
        <f>G66+G73+G182+G237+G302+G306</f>
        <v>123131.8</v>
      </c>
      <c r="H56" s="19"/>
    </row>
    <row r="57" spans="1:11" ht="24.75" customHeight="1">
      <c r="A57" s="56" t="s">
        <v>67</v>
      </c>
      <c r="B57" s="54">
        <v>59</v>
      </c>
      <c r="C57" s="110">
        <f>C82</f>
        <v>179.27999999999997</v>
      </c>
      <c r="D57" s="110">
        <f>D82</f>
        <v>0</v>
      </c>
      <c r="E57" s="110">
        <f>E82</f>
        <v>148.19999999999999</v>
      </c>
      <c r="F57" s="110">
        <f>F82</f>
        <v>140.19999999999999</v>
      </c>
      <c r="G57" s="110">
        <f>G82</f>
        <v>140.19999999999999</v>
      </c>
      <c r="H57" s="19"/>
    </row>
    <row r="58" spans="1:11" ht="21.75" customHeight="1">
      <c r="A58" s="56" t="s">
        <v>21</v>
      </c>
      <c r="B58" s="54"/>
      <c r="C58" s="110">
        <f>C75+C183+C238</f>
        <v>11509</v>
      </c>
      <c r="D58" s="110">
        <f>D83+D183+D238</f>
        <v>0</v>
      </c>
      <c r="E58" s="110">
        <f>E83+E183+E238+E67</f>
        <v>8286</v>
      </c>
      <c r="F58" s="110">
        <f t="shared" ref="F58:G58" si="3">F83+F183+F238+F67</f>
        <v>9713</v>
      </c>
      <c r="G58" s="110">
        <f t="shared" si="3"/>
        <v>13491</v>
      </c>
      <c r="H58" s="19"/>
    </row>
    <row r="59" spans="1:11" ht="21" customHeight="1">
      <c r="A59" s="148" t="s">
        <v>84</v>
      </c>
      <c r="B59" s="57" t="s">
        <v>72</v>
      </c>
      <c r="C59" s="110">
        <f>C184</f>
        <v>90</v>
      </c>
      <c r="D59" s="110">
        <f>D184</f>
        <v>0</v>
      </c>
      <c r="E59" s="110">
        <f>E184</f>
        <v>90</v>
      </c>
      <c r="F59" s="110">
        <f>F184</f>
        <v>0</v>
      </c>
      <c r="G59" s="110">
        <f>G184</f>
        <v>0</v>
      </c>
      <c r="H59" s="19"/>
    </row>
    <row r="60" spans="1:11" ht="22.5" customHeight="1">
      <c r="A60" s="56" t="s">
        <v>78</v>
      </c>
      <c r="B60" s="54" t="s">
        <v>77</v>
      </c>
      <c r="C60" s="110">
        <f>C185</f>
        <v>62</v>
      </c>
      <c r="D60" s="110">
        <f t="shared" ref="D60:G60" si="4">D185</f>
        <v>0</v>
      </c>
      <c r="E60" s="110">
        <f t="shared" si="4"/>
        <v>62</v>
      </c>
      <c r="F60" s="110">
        <f t="shared" si="4"/>
        <v>0</v>
      </c>
      <c r="G60" s="110">
        <f t="shared" si="4"/>
        <v>0</v>
      </c>
      <c r="H60" s="19"/>
    </row>
    <row r="61" spans="1:11" ht="27" customHeight="1">
      <c r="A61" s="56" t="s">
        <v>22</v>
      </c>
      <c r="B61" s="54">
        <v>70</v>
      </c>
      <c r="C61" s="110">
        <f>C76+C186+C239</f>
        <v>11357</v>
      </c>
      <c r="D61" s="110">
        <f>D84+D186+D239</f>
        <v>0</v>
      </c>
      <c r="E61" s="110">
        <f>E84+E186+E239+E68</f>
        <v>8134</v>
      </c>
      <c r="F61" s="110">
        <f t="shared" ref="F61:G61" si="5">F84+F186+F239+F68</f>
        <v>9713</v>
      </c>
      <c r="G61" s="110">
        <f t="shared" si="5"/>
        <v>13491</v>
      </c>
      <c r="H61" s="19"/>
      <c r="J61"/>
      <c r="K61"/>
    </row>
    <row r="62" spans="1:11" ht="30.75" customHeight="1">
      <c r="A62" s="58" t="s">
        <v>85</v>
      </c>
      <c r="B62" s="59" t="s">
        <v>51</v>
      </c>
      <c r="C62" s="111">
        <f>C64</f>
        <v>983</v>
      </c>
      <c r="D62" s="108">
        <f>D64</f>
        <v>0</v>
      </c>
      <c r="E62" s="108">
        <f>E63</f>
        <v>1153</v>
      </c>
      <c r="F62" s="108">
        <f t="shared" ref="F62:G62" si="6">F63</f>
        <v>1163</v>
      </c>
      <c r="G62" s="108">
        <f t="shared" si="6"/>
        <v>1213</v>
      </c>
      <c r="H62" s="17"/>
      <c r="J62"/>
      <c r="K62"/>
    </row>
    <row r="63" spans="1:11" ht="24.75" customHeight="1">
      <c r="A63" s="71" t="s">
        <v>17</v>
      </c>
      <c r="B63" s="105"/>
      <c r="C63" s="112">
        <v>983</v>
      </c>
      <c r="D63" s="152"/>
      <c r="E63" s="152">
        <f>E64+E67</f>
        <v>1153</v>
      </c>
      <c r="F63" s="152">
        <f t="shared" ref="F63:G63" si="7">F64+F67</f>
        <v>1163</v>
      </c>
      <c r="G63" s="152">
        <f t="shared" si="7"/>
        <v>1213</v>
      </c>
      <c r="H63" s="17"/>
      <c r="J63"/>
      <c r="K63"/>
    </row>
    <row r="64" spans="1:11" ht="22.5" customHeight="1">
      <c r="A64" s="43" t="s">
        <v>18</v>
      </c>
      <c r="B64" s="32"/>
      <c r="C64" s="113">
        <f>C65+C66</f>
        <v>983</v>
      </c>
      <c r="D64" s="153">
        <f>D66</f>
        <v>0</v>
      </c>
      <c r="E64" s="154">
        <f>E65+E66</f>
        <v>1103</v>
      </c>
      <c r="F64" s="154">
        <f t="shared" ref="F64:G64" si="8">F65+F66</f>
        <v>1153</v>
      </c>
      <c r="G64" s="154">
        <f t="shared" si="8"/>
        <v>1203</v>
      </c>
      <c r="H64" s="14"/>
      <c r="J64"/>
      <c r="K64"/>
    </row>
    <row r="65" spans="1:11" ht="21" customHeight="1">
      <c r="A65" s="33" t="s">
        <v>19</v>
      </c>
      <c r="B65" s="32">
        <v>10</v>
      </c>
      <c r="C65" s="114">
        <v>700</v>
      </c>
      <c r="D65" s="155"/>
      <c r="E65" s="156">
        <v>800</v>
      </c>
      <c r="F65" s="156">
        <v>850</v>
      </c>
      <c r="G65" s="156">
        <v>850</v>
      </c>
      <c r="H65" s="14"/>
      <c r="J65"/>
      <c r="K65"/>
    </row>
    <row r="66" spans="1:11" ht="22.5" customHeight="1">
      <c r="A66" s="60" t="s">
        <v>20</v>
      </c>
      <c r="B66" s="61">
        <v>20</v>
      </c>
      <c r="C66" s="114">
        <f>280+3</f>
        <v>283</v>
      </c>
      <c r="D66" s="155"/>
      <c r="E66" s="142">
        <f>3+300</f>
        <v>303</v>
      </c>
      <c r="F66" s="142">
        <f>3+300</f>
        <v>303</v>
      </c>
      <c r="G66" s="142">
        <f>3+350</f>
        <v>353</v>
      </c>
      <c r="H66" s="10"/>
      <c r="I66" s="4"/>
      <c r="J66"/>
      <c r="K66"/>
    </row>
    <row r="67" spans="1:11" ht="22.5" customHeight="1">
      <c r="A67" s="33" t="s">
        <v>21</v>
      </c>
      <c r="B67" s="32"/>
      <c r="C67" s="114">
        <v>0</v>
      </c>
      <c r="D67" s="155"/>
      <c r="E67" s="142">
        <f>E68</f>
        <v>50</v>
      </c>
      <c r="F67" s="142">
        <f t="shared" ref="F67:G67" si="9">F68</f>
        <v>10</v>
      </c>
      <c r="G67" s="142">
        <f t="shared" si="9"/>
        <v>10</v>
      </c>
      <c r="H67" s="10"/>
      <c r="I67" s="4"/>
      <c r="J67"/>
      <c r="K67"/>
    </row>
    <row r="68" spans="1:11" ht="22.5" customHeight="1">
      <c r="A68" s="33" t="s">
        <v>22</v>
      </c>
      <c r="B68" s="32">
        <v>70</v>
      </c>
      <c r="C68" s="114">
        <v>0</v>
      </c>
      <c r="D68" s="155"/>
      <c r="E68" s="142">
        <v>50</v>
      </c>
      <c r="F68" s="142">
        <v>10</v>
      </c>
      <c r="G68" s="142">
        <v>10</v>
      </c>
      <c r="H68" s="10"/>
      <c r="I68" s="4"/>
      <c r="J68"/>
      <c r="K68"/>
    </row>
    <row r="69" spans="1:11" ht="23.25" customHeight="1">
      <c r="A69" s="62" t="s">
        <v>23</v>
      </c>
      <c r="B69" s="63">
        <v>66.099999999999994</v>
      </c>
      <c r="C69" s="115">
        <f>C77+C154</f>
        <v>239178.59</v>
      </c>
      <c r="D69" s="115">
        <f t="shared" ref="D69:G69" si="10">D77+D154</f>
        <v>0</v>
      </c>
      <c r="E69" s="115">
        <f t="shared" si="10"/>
        <v>244647</v>
      </c>
      <c r="F69" s="115">
        <f t="shared" si="10"/>
        <v>255177</v>
      </c>
      <c r="G69" s="115">
        <f t="shared" si="10"/>
        <v>269388</v>
      </c>
      <c r="H69" s="20"/>
      <c r="J69"/>
      <c r="K69"/>
    </row>
    <row r="70" spans="1:11" ht="29.25" customHeight="1">
      <c r="A70" s="64" t="s">
        <v>17</v>
      </c>
      <c r="B70" s="62"/>
      <c r="C70" s="115">
        <f>C78+C155</f>
        <v>239178.59</v>
      </c>
      <c r="D70" s="115">
        <f t="shared" ref="D70:G70" si="11">D78+D155</f>
        <v>0</v>
      </c>
      <c r="E70" s="115">
        <f t="shared" si="11"/>
        <v>244647</v>
      </c>
      <c r="F70" s="115">
        <f t="shared" si="11"/>
        <v>255177</v>
      </c>
      <c r="G70" s="115">
        <f t="shared" si="11"/>
        <v>269388</v>
      </c>
      <c r="H70" s="20"/>
      <c r="J70"/>
      <c r="K70"/>
    </row>
    <row r="71" spans="1:11" ht="23.25" customHeight="1">
      <c r="A71" s="65" t="s">
        <v>18</v>
      </c>
      <c r="B71" s="62"/>
      <c r="C71" s="115">
        <f>C79+C155</f>
        <v>229853.59</v>
      </c>
      <c r="D71" s="115">
        <f t="shared" ref="D71:G71" si="12">D79+D155</f>
        <v>0</v>
      </c>
      <c r="E71" s="115">
        <f t="shared" si="12"/>
        <v>237358</v>
      </c>
      <c r="F71" s="115">
        <f t="shared" si="12"/>
        <v>246124</v>
      </c>
      <c r="G71" s="115">
        <f t="shared" si="12"/>
        <v>256607</v>
      </c>
      <c r="H71" s="20"/>
      <c r="J71"/>
      <c r="K71"/>
    </row>
    <row r="72" spans="1:11" ht="23.25" customHeight="1">
      <c r="A72" s="66" t="s">
        <v>19</v>
      </c>
      <c r="B72" s="62">
        <v>10</v>
      </c>
      <c r="C72" s="115">
        <f>C80+C156</f>
        <v>152559.10999999999</v>
      </c>
      <c r="D72" s="115">
        <f t="shared" ref="D72:G72" si="13">D80+D156</f>
        <v>0</v>
      </c>
      <c r="E72" s="115">
        <f t="shared" si="13"/>
        <v>152988</v>
      </c>
      <c r="F72" s="115">
        <f t="shared" si="13"/>
        <v>153076</v>
      </c>
      <c r="G72" s="115">
        <f t="shared" si="13"/>
        <v>153166</v>
      </c>
      <c r="H72" s="20"/>
      <c r="J72"/>
      <c r="K72"/>
    </row>
    <row r="73" spans="1:11" ht="23.25" customHeight="1">
      <c r="A73" s="66" t="s">
        <v>20</v>
      </c>
      <c r="B73" s="62">
        <v>20</v>
      </c>
      <c r="C73" s="115">
        <f>C81+C157</f>
        <v>77115.199999999997</v>
      </c>
      <c r="D73" s="115">
        <f t="shared" ref="D73:G73" si="14">D81+D157</f>
        <v>0</v>
      </c>
      <c r="E73" s="115">
        <f t="shared" si="14"/>
        <v>84221.8</v>
      </c>
      <c r="F73" s="115">
        <f t="shared" si="14"/>
        <v>92907.8</v>
      </c>
      <c r="G73" s="115">
        <f t="shared" si="14"/>
        <v>103300.8</v>
      </c>
      <c r="H73" s="20"/>
      <c r="J73"/>
      <c r="K73"/>
    </row>
    <row r="74" spans="1:11" ht="23.25" customHeight="1">
      <c r="A74" s="66" t="s">
        <v>67</v>
      </c>
      <c r="B74" s="62">
        <v>59</v>
      </c>
      <c r="C74" s="115">
        <f>C82</f>
        <v>179.27999999999997</v>
      </c>
      <c r="D74" s="115">
        <f t="shared" ref="D74:G74" si="15">D82</f>
        <v>0</v>
      </c>
      <c r="E74" s="115">
        <f t="shared" si="15"/>
        <v>148.19999999999999</v>
      </c>
      <c r="F74" s="115">
        <f t="shared" si="15"/>
        <v>140.19999999999999</v>
      </c>
      <c r="G74" s="115">
        <f t="shared" si="15"/>
        <v>140.19999999999999</v>
      </c>
      <c r="H74" s="20"/>
      <c r="J74"/>
      <c r="K74"/>
    </row>
    <row r="75" spans="1:11" ht="23.25" customHeight="1">
      <c r="A75" s="66" t="s">
        <v>21</v>
      </c>
      <c r="B75" s="62"/>
      <c r="C75" s="115">
        <f>C83</f>
        <v>9325</v>
      </c>
      <c r="D75" s="115">
        <f t="shared" ref="D75:G75" si="16">D83</f>
        <v>0</v>
      </c>
      <c r="E75" s="115">
        <f t="shared" si="16"/>
        <v>7289</v>
      </c>
      <c r="F75" s="115">
        <f t="shared" si="16"/>
        <v>9053</v>
      </c>
      <c r="G75" s="115">
        <f t="shared" si="16"/>
        <v>12781</v>
      </c>
      <c r="H75" s="20"/>
      <c r="J75"/>
      <c r="K75"/>
    </row>
    <row r="76" spans="1:11" ht="23.25" customHeight="1">
      <c r="A76" s="66" t="s">
        <v>22</v>
      </c>
      <c r="B76" s="62">
        <v>70</v>
      </c>
      <c r="C76" s="115">
        <f>C84</f>
        <v>9325</v>
      </c>
      <c r="D76" s="115">
        <f t="shared" ref="D76:G76" si="17">D84</f>
        <v>0</v>
      </c>
      <c r="E76" s="115">
        <f t="shared" si="17"/>
        <v>7289</v>
      </c>
      <c r="F76" s="115">
        <f t="shared" si="17"/>
        <v>9053</v>
      </c>
      <c r="G76" s="115">
        <f t="shared" si="17"/>
        <v>12781</v>
      </c>
      <c r="H76" s="20"/>
      <c r="J76"/>
      <c r="K76"/>
    </row>
    <row r="77" spans="1:11" ht="23.25" customHeight="1">
      <c r="A77" s="49" t="s">
        <v>76</v>
      </c>
      <c r="B77" s="67">
        <v>66.099999999999994</v>
      </c>
      <c r="C77" s="108">
        <f>C78</f>
        <v>236606.59</v>
      </c>
      <c r="D77" s="108">
        <f t="shared" ref="D77:G77" si="18">D78</f>
        <v>0</v>
      </c>
      <c r="E77" s="108">
        <f t="shared" si="18"/>
        <v>241947</v>
      </c>
      <c r="F77" s="108">
        <f t="shared" si="18"/>
        <v>252377</v>
      </c>
      <c r="G77" s="108">
        <f t="shared" si="18"/>
        <v>266488</v>
      </c>
      <c r="H77" s="20"/>
      <c r="J77"/>
      <c r="K77"/>
    </row>
    <row r="78" spans="1:11" ht="31.5" customHeight="1">
      <c r="A78" s="50" t="s">
        <v>17</v>
      </c>
      <c r="B78" s="49"/>
      <c r="C78" s="108">
        <f t="shared" ref="C78:G81" si="19">C86+C94+C102+C109+C117+C125+C133+C141+C148</f>
        <v>236606.59</v>
      </c>
      <c r="D78" s="108">
        <f t="shared" si="19"/>
        <v>0</v>
      </c>
      <c r="E78" s="108">
        <f t="shared" si="19"/>
        <v>241947</v>
      </c>
      <c r="F78" s="108">
        <f t="shared" si="19"/>
        <v>252377</v>
      </c>
      <c r="G78" s="108">
        <f t="shared" si="19"/>
        <v>266488</v>
      </c>
      <c r="H78" s="17"/>
      <c r="J78"/>
      <c r="K78"/>
    </row>
    <row r="79" spans="1:11" ht="25.5" customHeight="1">
      <c r="A79" s="48" t="s">
        <v>18</v>
      </c>
      <c r="B79" s="49"/>
      <c r="C79" s="108">
        <f t="shared" si="19"/>
        <v>227281.59</v>
      </c>
      <c r="D79" s="108">
        <f t="shared" si="19"/>
        <v>0</v>
      </c>
      <c r="E79" s="108">
        <f t="shared" si="19"/>
        <v>234658</v>
      </c>
      <c r="F79" s="108">
        <f t="shared" si="19"/>
        <v>243324</v>
      </c>
      <c r="G79" s="108">
        <f t="shared" si="19"/>
        <v>253707</v>
      </c>
      <c r="H79" s="17"/>
      <c r="J79"/>
      <c r="K79"/>
    </row>
    <row r="80" spans="1:11" ht="18.75" customHeight="1">
      <c r="A80" s="68" t="s">
        <v>19</v>
      </c>
      <c r="B80" s="49">
        <v>10</v>
      </c>
      <c r="C80" s="108">
        <f t="shared" si="19"/>
        <v>150264.10999999999</v>
      </c>
      <c r="D80" s="108">
        <f t="shared" si="19"/>
        <v>0</v>
      </c>
      <c r="E80" s="108">
        <f t="shared" si="19"/>
        <v>150581</v>
      </c>
      <c r="F80" s="108">
        <f t="shared" si="19"/>
        <v>150581</v>
      </c>
      <c r="G80" s="108">
        <f t="shared" si="19"/>
        <v>150581</v>
      </c>
      <c r="H80" s="17"/>
      <c r="J80"/>
      <c r="K80"/>
    </row>
    <row r="81" spans="1:11" ht="20.25" customHeight="1">
      <c r="A81" s="68" t="s">
        <v>20</v>
      </c>
      <c r="B81" s="49">
        <v>20</v>
      </c>
      <c r="C81" s="108">
        <f t="shared" si="19"/>
        <v>76838.2</v>
      </c>
      <c r="D81" s="108">
        <f t="shared" si="19"/>
        <v>0</v>
      </c>
      <c r="E81" s="108">
        <f t="shared" si="19"/>
        <v>83928.8</v>
      </c>
      <c r="F81" s="108">
        <f t="shared" si="19"/>
        <v>92602.8</v>
      </c>
      <c r="G81" s="108">
        <f t="shared" si="19"/>
        <v>102985.8</v>
      </c>
      <c r="H81" s="17"/>
      <c r="J81"/>
      <c r="K81"/>
    </row>
    <row r="82" spans="1:11" ht="18.75" customHeight="1">
      <c r="A82" s="68" t="s">
        <v>67</v>
      </c>
      <c r="B82" s="49">
        <v>59</v>
      </c>
      <c r="C82" s="108">
        <f>C90+C98+C113+C121+C129+C137</f>
        <v>179.27999999999997</v>
      </c>
      <c r="D82" s="108">
        <f>D90+D98+D113+D121+D129+D137</f>
        <v>0</v>
      </c>
      <c r="E82" s="108">
        <f>E90+E98+E113+E121+E129+E137</f>
        <v>148.19999999999999</v>
      </c>
      <c r="F82" s="108">
        <f>F90+F98+F113+F121+F129+F137</f>
        <v>140.19999999999999</v>
      </c>
      <c r="G82" s="108">
        <f>G90+G98+G113+G121+G129+G137</f>
        <v>140.19999999999999</v>
      </c>
      <c r="H82" s="17"/>
      <c r="J82"/>
      <c r="K82"/>
    </row>
    <row r="83" spans="1:11" ht="21" customHeight="1">
      <c r="A83" s="68" t="s">
        <v>21</v>
      </c>
      <c r="B83" s="49"/>
      <c r="C83" s="108">
        <f t="shared" ref="C83:G84" si="20">C91+C99+C106+C114+C122+C130+C138+C145+C152</f>
        <v>9325</v>
      </c>
      <c r="D83" s="108">
        <f t="shared" si="20"/>
        <v>0</v>
      </c>
      <c r="E83" s="108">
        <f t="shared" si="20"/>
        <v>7289</v>
      </c>
      <c r="F83" s="108">
        <f t="shared" si="20"/>
        <v>9053</v>
      </c>
      <c r="G83" s="108">
        <f t="shared" si="20"/>
        <v>12781</v>
      </c>
      <c r="H83" s="17"/>
      <c r="J83"/>
      <c r="K83"/>
    </row>
    <row r="84" spans="1:11" ht="22.5" customHeight="1">
      <c r="A84" s="68" t="s">
        <v>22</v>
      </c>
      <c r="B84" s="49">
        <v>70</v>
      </c>
      <c r="C84" s="108">
        <f t="shared" si="20"/>
        <v>9325</v>
      </c>
      <c r="D84" s="108">
        <f t="shared" si="20"/>
        <v>0</v>
      </c>
      <c r="E84" s="108">
        <f t="shared" si="20"/>
        <v>7289</v>
      </c>
      <c r="F84" s="108">
        <f t="shared" si="20"/>
        <v>9053</v>
      </c>
      <c r="G84" s="108">
        <f t="shared" si="20"/>
        <v>12781</v>
      </c>
      <c r="H84" s="17"/>
      <c r="J84"/>
      <c r="K84"/>
    </row>
    <row r="85" spans="1:11" ht="30.75" customHeight="1">
      <c r="A85" s="69" t="s">
        <v>45</v>
      </c>
      <c r="B85" s="70">
        <v>66.099999999999994</v>
      </c>
      <c r="C85" s="116">
        <f t="shared" ref="C85" si="21">C86</f>
        <v>142895</v>
      </c>
      <c r="D85" s="153">
        <f>D86</f>
        <v>0</v>
      </c>
      <c r="E85" s="116">
        <f t="shared" ref="E85:G85" si="22">E86</f>
        <v>152633</v>
      </c>
      <c r="F85" s="116">
        <f t="shared" si="22"/>
        <v>162586</v>
      </c>
      <c r="G85" s="116">
        <f t="shared" si="22"/>
        <v>173794</v>
      </c>
      <c r="H85" s="14"/>
      <c r="J85"/>
      <c r="K85"/>
    </row>
    <row r="86" spans="1:11" ht="18.75" customHeight="1">
      <c r="A86" s="71" t="s">
        <v>17</v>
      </c>
      <c r="B86" s="44"/>
      <c r="C86" s="113">
        <f t="shared" ref="C86" si="23">C87+C91</f>
        <v>142895</v>
      </c>
      <c r="D86" s="153">
        <f>D87</f>
        <v>0</v>
      </c>
      <c r="E86" s="113">
        <f t="shared" ref="E86:G86" si="24">E87+E91</f>
        <v>152633</v>
      </c>
      <c r="F86" s="113">
        <f t="shared" si="24"/>
        <v>162586</v>
      </c>
      <c r="G86" s="113">
        <f t="shared" si="24"/>
        <v>173794</v>
      </c>
      <c r="H86" s="14"/>
      <c r="J86"/>
      <c r="K86"/>
    </row>
    <row r="87" spans="1:11" ht="19.5" customHeight="1">
      <c r="A87" s="43" t="s">
        <v>18</v>
      </c>
      <c r="B87" s="44"/>
      <c r="C87" s="113">
        <f t="shared" ref="C87:G87" si="25">C88+C89+C90</f>
        <v>140255</v>
      </c>
      <c r="D87" s="113">
        <f t="shared" si="25"/>
        <v>0</v>
      </c>
      <c r="E87" s="113">
        <f t="shared" si="25"/>
        <v>148348</v>
      </c>
      <c r="F87" s="113">
        <f t="shared" si="25"/>
        <v>157486</v>
      </c>
      <c r="G87" s="113">
        <f t="shared" si="25"/>
        <v>167861</v>
      </c>
      <c r="H87" s="14"/>
      <c r="J87"/>
      <c r="K87"/>
    </row>
    <row r="88" spans="1:11" ht="19.5" customHeight="1">
      <c r="A88" s="33" t="s">
        <v>19</v>
      </c>
      <c r="B88" s="32">
        <v>10</v>
      </c>
      <c r="C88" s="106">
        <v>86444</v>
      </c>
      <c r="D88" s="151"/>
      <c r="E88" s="143">
        <v>86444</v>
      </c>
      <c r="F88" s="143">
        <v>86444</v>
      </c>
      <c r="G88" s="143">
        <v>86444</v>
      </c>
      <c r="H88" s="10"/>
      <c r="J88"/>
      <c r="K88"/>
    </row>
    <row r="89" spans="1:11" ht="20.25" customHeight="1">
      <c r="A89" s="33" t="s">
        <v>39</v>
      </c>
      <c r="B89" s="32">
        <v>20</v>
      </c>
      <c r="C89" s="106">
        <v>53768</v>
      </c>
      <c r="D89" s="151"/>
      <c r="E89" s="106">
        <v>61861</v>
      </c>
      <c r="F89" s="106">
        <f>71140-141</f>
        <v>70999</v>
      </c>
      <c r="G89" s="106">
        <f>81811-437</f>
        <v>81374</v>
      </c>
      <c r="H89" s="21"/>
      <c r="I89" s="1"/>
      <c r="J89"/>
    </row>
    <row r="90" spans="1:11" ht="18" customHeight="1">
      <c r="A90" s="33" t="s">
        <v>67</v>
      </c>
      <c r="B90" s="32">
        <v>59</v>
      </c>
      <c r="C90" s="106">
        <v>43</v>
      </c>
      <c r="D90" s="151"/>
      <c r="E90" s="106">
        <v>43</v>
      </c>
      <c r="F90" s="106">
        <v>43</v>
      </c>
      <c r="G90" s="106">
        <v>43</v>
      </c>
      <c r="H90" s="21"/>
      <c r="J90"/>
      <c r="K90"/>
    </row>
    <row r="91" spans="1:11" ht="17.25" customHeight="1">
      <c r="A91" s="33" t="s">
        <v>21</v>
      </c>
      <c r="B91" s="32"/>
      <c r="C91" s="117">
        <f t="shared" ref="C91" si="26">C92</f>
        <v>2640</v>
      </c>
      <c r="D91" s="153"/>
      <c r="E91" s="117">
        <f t="shared" ref="E91:G91" si="27">E92</f>
        <v>4285</v>
      </c>
      <c r="F91" s="117">
        <f t="shared" si="27"/>
        <v>5100</v>
      </c>
      <c r="G91" s="117">
        <f t="shared" si="27"/>
        <v>5933</v>
      </c>
      <c r="H91" s="14"/>
    </row>
    <row r="92" spans="1:11" ht="18.75" customHeight="1">
      <c r="A92" s="33" t="s">
        <v>22</v>
      </c>
      <c r="B92" s="32">
        <v>70</v>
      </c>
      <c r="C92" s="106">
        <v>2640</v>
      </c>
      <c r="D92" s="151"/>
      <c r="E92" s="106">
        <f>80125-57963-17877</f>
        <v>4285</v>
      </c>
      <c r="F92" s="106">
        <f>80125-57148-17877</f>
        <v>5100</v>
      </c>
      <c r="G92" s="106">
        <f>80125-56315-17877</f>
        <v>5933</v>
      </c>
      <c r="H92" s="21"/>
    </row>
    <row r="93" spans="1:11" ht="32.25" customHeight="1">
      <c r="A93" s="72" t="s">
        <v>24</v>
      </c>
      <c r="B93" s="70">
        <v>66.099999999999994</v>
      </c>
      <c r="C93" s="118">
        <f t="shared" ref="C93" si="28">C94</f>
        <v>34340</v>
      </c>
      <c r="D93" s="157">
        <f>D94</f>
        <v>0</v>
      </c>
      <c r="E93" s="118">
        <f t="shared" ref="E93:G93" si="29">E94</f>
        <v>32616</v>
      </c>
      <c r="F93" s="118">
        <f t="shared" si="29"/>
        <v>33954</v>
      </c>
      <c r="G93" s="118">
        <f t="shared" si="29"/>
        <v>36682</v>
      </c>
      <c r="H93" s="9"/>
    </row>
    <row r="94" spans="1:11" ht="22.5" customHeight="1">
      <c r="A94" s="71" t="s">
        <v>17</v>
      </c>
      <c r="B94" s="44"/>
      <c r="C94" s="119">
        <f t="shared" ref="C94" si="30">C95+C99</f>
        <v>34340</v>
      </c>
      <c r="D94" s="157">
        <f>D95</f>
        <v>0</v>
      </c>
      <c r="E94" s="119">
        <f t="shared" ref="E94:G94" si="31">E95+E99</f>
        <v>32616</v>
      </c>
      <c r="F94" s="119">
        <f t="shared" si="31"/>
        <v>33954</v>
      </c>
      <c r="G94" s="119">
        <f t="shared" si="31"/>
        <v>36682</v>
      </c>
      <c r="H94" s="9"/>
    </row>
    <row r="95" spans="1:11" ht="22.5" customHeight="1">
      <c r="A95" s="43" t="s">
        <v>18</v>
      </c>
      <c r="B95" s="44"/>
      <c r="C95" s="119">
        <f t="shared" ref="C95:G95" si="32">C96+C97+C98</f>
        <v>30701</v>
      </c>
      <c r="D95" s="119">
        <f t="shared" si="32"/>
        <v>0</v>
      </c>
      <c r="E95" s="119">
        <f t="shared" si="32"/>
        <v>30901</v>
      </c>
      <c r="F95" s="119">
        <f t="shared" si="32"/>
        <v>30901</v>
      </c>
      <c r="G95" s="119">
        <f t="shared" si="32"/>
        <v>30901</v>
      </c>
      <c r="H95" s="9"/>
    </row>
    <row r="96" spans="1:11" ht="21" customHeight="1">
      <c r="A96" s="33" t="s">
        <v>19</v>
      </c>
      <c r="B96" s="32">
        <v>10</v>
      </c>
      <c r="C96" s="106">
        <v>22326</v>
      </c>
      <c r="D96" s="151"/>
      <c r="E96" s="143">
        <v>22326</v>
      </c>
      <c r="F96" s="143">
        <v>22326</v>
      </c>
      <c r="G96" s="143">
        <v>22326</v>
      </c>
      <c r="H96" s="10"/>
    </row>
    <row r="97" spans="1:11" ht="18.75" customHeight="1">
      <c r="A97" s="33" t="s">
        <v>20</v>
      </c>
      <c r="B97" s="32">
        <v>20</v>
      </c>
      <c r="C97" s="106">
        <v>8318</v>
      </c>
      <c r="D97" s="151"/>
      <c r="E97" s="106">
        <v>8518</v>
      </c>
      <c r="F97" s="106">
        <v>8518</v>
      </c>
      <c r="G97" s="106">
        <v>8518</v>
      </c>
      <c r="H97" s="21"/>
      <c r="I97" s="1"/>
    </row>
    <row r="98" spans="1:11" ht="18" customHeight="1">
      <c r="A98" s="33" t="s">
        <v>67</v>
      </c>
      <c r="B98" s="32">
        <v>59</v>
      </c>
      <c r="C98" s="106">
        <v>57</v>
      </c>
      <c r="D98" s="151"/>
      <c r="E98" s="106">
        <v>57</v>
      </c>
      <c r="F98" s="106">
        <v>57</v>
      </c>
      <c r="G98" s="106">
        <v>57</v>
      </c>
      <c r="H98" s="21"/>
    </row>
    <row r="99" spans="1:11" ht="19.5" customHeight="1">
      <c r="A99" s="33" t="s">
        <v>21</v>
      </c>
      <c r="B99" s="32"/>
      <c r="C99" s="117">
        <f t="shared" ref="C99" si="33">C100</f>
        <v>3639</v>
      </c>
      <c r="D99" s="153"/>
      <c r="E99" s="117">
        <f t="shared" ref="E99:G99" si="34">E100</f>
        <v>1715</v>
      </c>
      <c r="F99" s="117">
        <f t="shared" si="34"/>
        <v>3053</v>
      </c>
      <c r="G99" s="117">
        <f t="shared" si="34"/>
        <v>5781</v>
      </c>
      <c r="H99" s="14"/>
    </row>
    <row r="100" spans="1:11" ht="20.25" customHeight="1">
      <c r="A100" s="33" t="s">
        <v>22</v>
      </c>
      <c r="B100" s="32">
        <v>70</v>
      </c>
      <c r="C100" s="106">
        <v>3639</v>
      </c>
      <c r="D100" s="151"/>
      <c r="E100" s="106">
        <v>1715</v>
      </c>
      <c r="F100" s="106">
        <v>3053</v>
      </c>
      <c r="G100" s="106">
        <v>5781</v>
      </c>
      <c r="H100" s="21"/>
    </row>
    <row r="101" spans="1:11" ht="29.25" customHeight="1">
      <c r="A101" s="69" t="s">
        <v>46</v>
      </c>
      <c r="B101" s="70">
        <v>66.099999999999994</v>
      </c>
      <c r="C101" s="118">
        <f t="shared" ref="C101" si="35">C102</f>
        <v>11466</v>
      </c>
      <c r="D101" s="157">
        <f>D102</f>
        <v>0</v>
      </c>
      <c r="E101" s="118">
        <f t="shared" ref="E101:G101" si="36">E102</f>
        <v>9998</v>
      </c>
      <c r="F101" s="118">
        <f t="shared" si="36"/>
        <v>9998</v>
      </c>
      <c r="G101" s="118">
        <f t="shared" si="36"/>
        <v>9998</v>
      </c>
      <c r="H101" s="9"/>
      <c r="K101" s="2"/>
    </row>
    <row r="102" spans="1:11" ht="18.75" customHeight="1">
      <c r="A102" s="71" t="s">
        <v>17</v>
      </c>
      <c r="B102" s="44"/>
      <c r="C102" s="119">
        <f>C103+C106</f>
        <v>11466</v>
      </c>
      <c r="D102" s="157">
        <f>D103</f>
        <v>0</v>
      </c>
      <c r="E102" s="119">
        <f>E103+E106</f>
        <v>9998</v>
      </c>
      <c r="F102" s="119">
        <f>F103+F106</f>
        <v>9998</v>
      </c>
      <c r="G102" s="119">
        <f>G103+G106</f>
        <v>9998</v>
      </c>
      <c r="H102" s="9"/>
      <c r="K102" s="2"/>
    </row>
    <row r="103" spans="1:11" ht="18.75" customHeight="1">
      <c r="A103" s="43" t="s">
        <v>18</v>
      </c>
      <c r="B103" s="44"/>
      <c r="C103" s="119">
        <f t="shared" ref="C103" si="37">C104+C105</f>
        <v>11202</v>
      </c>
      <c r="D103" s="157">
        <f>D104+D105</f>
        <v>0</v>
      </c>
      <c r="E103" s="119">
        <f t="shared" ref="E103:G103" si="38">E104+E105</f>
        <v>9998</v>
      </c>
      <c r="F103" s="119">
        <f t="shared" si="38"/>
        <v>9998</v>
      </c>
      <c r="G103" s="119">
        <f t="shared" si="38"/>
        <v>9998</v>
      </c>
      <c r="H103" s="9"/>
    </row>
    <row r="104" spans="1:11" ht="18.75" customHeight="1">
      <c r="A104" s="33" t="s">
        <v>19</v>
      </c>
      <c r="B104" s="32">
        <v>10</v>
      </c>
      <c r="C104" s="106">
        <v>9355</v>
      </c>
      <c r="D104" s="151"/>
      <c r="E104" s="106">
        <v>9355</v>
      </c>
      <c r="F104" s="106">
        <v>9355</v>
      </c>
      <c r="G104" s="106">
        <v>9355</v>
      </c>
      <c r="H104" s="21"/>
    </row>
    <row r="105" spans="1:11" ht="18" customHeight="1">
      <c r="A105" s="33" t="s">
        <v>20</v>
      </c>
      <c r="B105" s="32">
        <v>20</v>
      </c>
      <c r="C105" s="106">
        <v>1847</v>
      </c>
      <c r="D105" s="151"/>
      <c r="E105" s="106">
        <v>643</v>
      </c>
      <c r="F105" s="106">
        <v>643</v>
      </c>
      <c r="G105" s="106">
        <v>643</v>
      </c>
      <c r="H105" s="21"/>
      <c r="I105" s="1"/>
    </row>
    <row r="106" spans="1:11" ht="18.75" customHeight="1">
      <c r="A106" s="33" t="s">
        <v>21</v>
      </c>
      <c r="B106" s="32"/>
      <c r="C106" s="106">
        <f t="shared" ref="C106" si="39">C107</f>
        <v>264</v>
      </c>
      <c r="D106" s="151"/>
      <c r="E106" s="106">
        <f t="shared" ref="E106:G106" si="40">E107</f>
        <v>0</v>
      </c>
      <c r="F106" s="106">
        <f t="shared" si="40"/>
        <v>0</v>
      </c>
      <c r="G106" s="106">
        <f t="shared" si="40"/>
        <v>0</v>
      </c>
      <c r="H106" s="15"/>
    </row>
    <row r="107" spans="1:11" ht="20.25" customHeight="1">
      <c r="A107" s="33" t="s">
        <v>22</v>
      </c>
      <c r="B107" s="32">
        <v>70</v>
      </c>
      <c r="C107" s="106">
        <v>264</v>
      </c>
      <c r="D107" s="151"/>
      <c r="E107" s="106">
        <v>0</v>
      </c>
      <c r="F107" s="106">
        <v>0</v>
      </c>
      <c r="G107" s="106">
        <v>0</v>
      </c>
      <c r="H107" s="21"/>
    </row>
    <row r="108" spans="1:11" ht="29.25" customHeight="1">
      <c r="A108" s="69" t="s">
        <v>47</v>
      </c>
      <c r="B108" s="70">
        <v>66.099999999999994</v>
      </c>
      <c r="C108" s="118">
        <f t="shared" ref="C108" si="41">C109</f>
        <v>7236</v>
      </c>
      <c r="D108" s="157">
        <f>D109</f>
        <v>0</v>
      </c>
      <c r="E108" s="118">
        <f t="shared" ref="E108:G108" si="42">E109</f>
        <v>7893</v>
      </c>
      <c r="F108" s="118">
        <f t="shared" si="42"/>
        <v>7829</v>
      </c>
      <c r="G108" s="118">
        <f t="shared" si="42"/>
        <v>7742</v>
      </c>
      <c r="H108" s="9"/>
      <c r="J108"/>
      <c r="K108"/>
    </row>
    <row r="109" spans="1:11" ht="22.5" customHeight="1">
      <c r="A109" s="71" t="s">
        <v>17</v>
      </c>
      <c r="B109" s="44"/>
      <c r="C109" s="119">
        <f t="shared" ref="C109" si="43">C110+C114</f>
        <v>7236</v>
      </c>
      <c r="D109" s="157">
        <f>D110</f>
        <v>0</v>
      </c>
      <c r="E109" s="119">
        <f t="shared" ref="E109:G109" si="44">E110+E114</f>
        <v>7893</v>
      </c>
      <c r="F109" s="119">
        <f t="shared" si="44"/>
        <v>7829</v>
      </c>
      <c r="G109" s="119">
        <f t="shared" si="44"/>
        <v>7742</v>
      </c>
      <c r="H109" s="9"/>
      <c r="J109"/>
      <c r="K109"/>
    </row>
    <row r="110" spans="1:11" ht="21.75" customHeight="1">
      <c r="A110" s="43" t="s">
        <v>18</v>
      </c>
      <c r="B110" s="44"/>
      <c r="C110" s="119">
        <f>C111+C112+C113</f>
        <v>7186</v>
      </c>
      <c r="D110" s="157">
        <f>D111+D112</f>
        <v>0</v>
      </c>
      <c r="E110" s="119">
        <f t="shared" ref="E110:G110" si="45">E111+E112</f>
        <v>7742</v>
      </c>
      <c r="F110" s="119">
        <f t="shared" si="45"/>
        <v>7729</v>
      </c>
      <c r="G110" s="119">
        <f t="shared" si="45"/>
        <v>7732</v>
      </c>
      <c r="H110" s="9"/>
      <c r="J110"/>
      <c r="K110"/>
    </row>
    <row r="111" spans="1:11" ht="17.25" customHeight="1">
      <c r="A111" s="33" t="s">
        <v>19</v>
      </c>
      <c r="B111" s="32">
        <v>10</v>
      </c>
      <c r="C111" s="106">
        <v>5784</v>
      </c>
      <c r="D111" s="151"/>
      <c r="E111" s="106">
        <v>5964</v>
      </c>
      <c r="F111" s="106">
        <v>5964</v>
      </c>
      <c r="G111" s="106">
        <v>5964</v>
      </c>
      <c r="H111" s="21"/>
      <c r="J111"/>
      <c r="K111"/>
    </row>
    <row r="112" spans="1:11" ht="16.5" customHeight="1">
      <c r="A112" s="33" t="s">
        <v>39</v>
      </c>
      <c r="B112" s="32">
        <v>20</v>
      </c>
      <c r="C112" s="106">
        <v>1395</v>
      </c>
      <c r="D112" s="151"/>
      <c r="E112" s="106">
        <v>1778</v>
      </c>
      <c r="F112" s="106">
        <v>1765</v>
      </c>
      <c r="G112" s="106">
        <v>1768</v>
      </c>
      <c r="H112" s="21"/>
      <c r="J112"/>
      <c r="K112"/>
    </row>
    <row r="113" spans="1:11" ht="17.25" customHeight="1">
      <c r="A113" s="33" t="s">
        <v>67</v>
      </c>
      <c r="B113" s="32">
        <v>59</v>
      </c>
      <c r="C113" s="106">
        <v>7</v>
      </c>
      <c r="D113" s="151"/>
      <c r="E113" s="106">
        <v>0</v>
      </c>
      <c r="F113" s="106">
        <v>0</v>
      </c>
      <c r="G113" s="106">
        <v>0</v>
      </c>
      <c r="H113" s="21"/>
      <c r="J113"/>
      <c r="K113"/>
    </row>
    <row r="114" spans="1:11" ht="17.25" customHeight="1">
      <c r="A114" s="33" t="s">
        <v>21</v>
      </c>
      <c r="B114" s="32"/>
      <c r="C114" s="106">
        <f t="shared" ref="C114" si="46">C115</f>
        <v>50</v>
      </c>
      <c r="D114" s="151"/>
      <c r="E114" s="106">
        <f t="shared" ref="E114:G114" si="47">E115</f>
        <v>151</v>
      </c>
      <c r="F114" s="106">
        <f t="shared" si="47"/>
        <v>100</v>
      </c>
      <c r="G114" s="106">
        <f t="shared" si="47"/>
        <v>10</v>
      </c>
      <c r="H114" s="15"/>
      <c r="J114"/>
      <c r="K114"/>
    </row>
    <row r="115" spans="1:11" ht="17.25" customHeight="1">
      <c r="A115" s="33" t="s">
        <v>22</v>
      </c>
      <c r="B115" s="32">
        <v>70</v>
      </c>
      <c r="C115" s="106">
        <v>50</v>
      </c>
      <c r="D115" s="151"/>
      <c r="E115" s="106">
        <f>1463-1312</f>
        <v>151</v>
      </c>
      <c r="F115" s="106">
        <f>2055-167-1788</f>
        <v>100</v>
      </c>
      <c r="G115" s="106">
        <f>110-100</f>
        <v>10</v>
      </c>
      <c r="H115" s="21"/>
      <c r="J115"/>
      <c r="K115"/>
    </row>
    <row r="116" spans="1:11" ht="47.25" customHeight="1">
      <c r="A116" s="69" t="s">
        <v>48</v>
      </c>
      <c r="B116" s="70">
        <v>66.099999999999994</v>
      </c>
      <c r="C116" s="118">
        <f t="shared" ref="C116" si="48">C117</f>
        <v>7607</v>
      </c>
      <c r="D116" s="157">
        <f>D117</f>
        <v>0</v>
      </c>
      <c r="E116" s="118">
        <f t="shared" ref="E116:G116" si="49">E117</f>
        <v>7214</v>
      </c>
      <c r="F116" s="118">
        <f t="shared" si="49"/>
        <v>7083</v>
      </c>
      <c r="G116" s="118">
        <f t="shared" si="49"/>
        <v>7145</v>
      </c>
      <c r="H116" s="9"/>
      <c r="J116"/>
      <c r="K116"/>
    </row>
    <row r="117" spans="1:11" ht="24" customHeight="1">
      <c r="A117" s="71" t="s">
        <v>17</v>
      </c>
      <c r="B117" s="44"/>
      <c r="C117" s="119">
        <f t="shared" ref="C117" si="50">C118+C122</f>
        <v>7607</v>
      </c>
      <c r="D117" s="157">
        <f>D118</f>
        <v>0</v>
      </c>
      <c r="E117" s="119">
        <f t="shared" ref="E117:G117" si="51">E118+E122</f>
        <v>7214</v>
      </c>
      <c r="F117" s="119">
        <f t="shared" si="51"/>
        <v>7083</v>
      </c>
      <c r="G117" s="119">
        <f t="shared" si="51"/>
        <v>7145</v>
      </c>
      <c r="H117" s="9"/>
      <c r="J117"/>
      <c r="K117"/>
    </row>
    <row r="118" spans="1:11" ht="21" customHeight="1">
      <c r="A118" s="43" t="s">
        <v>18</v>
      </c>
      <c r="B118" s="44"/>
      <c r="C118" s="119">
        <f t="shared" ref="C118:G118" si="52">C119+C120+C121</f>
        <v>6800</v>
      </c>
      <c r="D118" s="119">
        <f t="shared" si="52"/>
        <v>0</v>
      </c>
      <c r="E118" s="119">
        <f t="shared" si="52"/>
        <v>6921</v>
      </c>
      <c r="F118" s="119">
        <f t="shared" si="52"/>
        <v>6933</v>
      </c>
      <c r="G118" s="119">
        <f t="shared" si="52"/>
        <v>6933</v>
      </c>
      <c r="H118" s="9"/>
      <c r="J118"/>
      <c r="K118"/>
    </row>
    <row r="119" spans="1:11" ht="18.75" customHeight="1">
      <c r="A119" s="33" t="s">
        <v>19</v>
      </c>
      <c r="B119" s="32">
        <v>10</v>
      </c>
      <c r="C119" s="106">
        <v>4829</v>
      </c>
      <c r="D119" s="151"/>
      <c r="E119" s="106">
        <v>4829</v>
      </c>
      <c r="F119" s="106">
        <v>4829</v>
      </c>
      <c r="G119" s="106">
        <v>4829</v>
      </c>
      <c r="H119" s="21"/>
      <c r="J119"/>
      <c r="K119"/>
    </row>
    <row r="120" spans="1:11" ht="18" customHeight="1">
      <c r="A120" s="33" t="s">
        <v>20</v>
      </c>
      <c r="B120" s="32">
        <v>20</v>
      </c>
      <c r="C120" s="106">
        <v>1955</v>
      </c>
      <c r="D120" s="151"/>
      <c r="E120" s="106">
        <v>2084</v>
      </c>
      <c r="F120" s="106">
        <v>2104</v>
      </c>
      <c r="G120" s="106">
        <v>2104</v>
      </c>
      <c r="H120" s="21"/>
      <c r="J120"/>
    </row>
    <row r="121" spans="1:11" ht="18.75" customHeight="1">
      <c r="A121" s="33" t="s">
        <v>67</v>
      </c>
      <c r="B121" s="32">
        <v>59</v>
      </c>
      <c r="C121" s="106">
        <v>16</v>
      </c>
      <c r="D121" s="151"/>
      <c r="E121" s="106">
        <v>8</v>
      </c>
      <c r="F121" s="106">
        <v>0</v>
      </c>
      <c r="G121" s="106">
        <v>0</v>
      </c>
      <c r="H121" s="21"/>
      <c r="I121" s="1"/>
      <c r="J121"/>
    </row>
    <row r="122" spans="1:11" ht="18.75" customHeight="1">
      <c r="A122" s="33" t="s">
        <v>21</v>
      </c>
      <c r="B122" s="32"/>
      <c r="C122" s="117">
        <f t="shared" ref="C122" si="53">C123</f>
        <v>807</v>
      </c>
      <c r="D122" s="153"/>
      <c r="E122" s="117">
        <f t="shared" ref="E122:G122" si="54">E123</f>
        <v>293</v>
      </c>
      <c r="F122" s="117">
        <f t="shared" si="54"/>
        <v>150</v>
      </c>
      <c r="G122" s="117">
        <f t="shared" si="54"/>
        <v>212</v>
      </c>
      <c r="H122" s="14"/>
      <c r="J122"/>
      <c r="K122"/>
    </row>
    <row r="123" spans="1:11" ht="22.5" customHeight="1">
      <c r="A123" s="33" t="s">
        <v>22</v>
      </c>
      <c r="B123" s="32">
        <v>70</v>
      </c>
      <c r="C123" s="106">
        <v>807</v>
      </c>
      <c r="D123" s="151">
        <v>0</v>
      </c>
      <c r="E123" s="106">
        <v>293</v>
      </c>
      <c r="F123" s="106">
        <f>280-130</f>
        <v>150</v>
      </c>
      <c r="G123" s="106">
        <v>212</v>
      </c>
      <c r="H123" s="21"/>
      <c r="J123"/>
      <c r="K123"/>
    </row>
    <row r="124" spans="1:11" ht="33" customHeight="1">
      <c r="A124" s="69" t="s">
        <v>49</v>
      </c>
      <c r="B124" s="70">
        <v>66.099999999999994</v>
      </c>
      <c r="C124" s="118">
        <f t="shared" ref="C124" si="55">C125</f>
        <v>10171.1</v>
      </c>
      <c r="D124" s="157">
        <f>D125</f>
        <v>0</v>
      </c>
      <c r="E124" s="118">
        <f t="shared" ref="E124:G124" si="56">E125</f>
        <v>9894</v>
      </c>
      <c r="F124" s="118">
        <f t="shared" si="56"/>
        <v>9744</v>
      </c>
      <c r="G124" s="118">
        <f t="shared" si="56"/>
        <v>9894</v>
      </c>
      <c r="H124" s="9"/>
      <c r="J124"/>
      <c r="K124"/>
    </row>
    <row r="125" spans="1:11" ht="23.25" customHeight="1">
      <c r="A125" s="71" t="s">
        <v>17</v>
      </c>
      <c r="B125" s="44"/>
      <c r="C125" s="119">
        <f>C126+C130</f>
        <v>10171.1</v>
      </c>
      <c r="D125" s="157">
        <f>D126</f>
        <v>0</v>
      </c>
      <c r="E125" s="119">
        <f>E126+E130</f>
        <v>9894</v>
      </c>
      <c r="F125" s="119">
        <f>F126+F130</f>
        <v>9744</v>
      </c>
      <c r="G125" s="119">
        <f>G126+G130</f>
        <v>9894</v>
      </c>
      <c r="H125" s="9"/>
      <c r="J125"/>
      <c r="K125"/>
    </row>
    <row r="126" spans="1:11" ht="18.75" customHeight="1">
      <c r="A126" s="43" t="s">
        <v>18</v>
      </c>
      <c r="B126" s="44"/>
      <c r="C126" s="119">
        <f>C127+C128+C129</f>
        <v>10171.1</v>
      </c>
      <c r="D126" s="119">
        <f t="shared" ref="D126:G126" si="57">D127+D128+D129</f>
        <v>0</v>
      </c>
      <c r="E126" s="119">
        <f t="shared" si="57"/>
        <v>9694</v>
      </c>
      <c r="F126" s="119">
        <f t="shared" si="57"/>
        <v>9694</v>
      </c>
      <c r="G126" s="119">
        <f t="shared" si="57"/>
        <v>9694</v>
      </c>
      <c r="H126" s="9"/>
    </row>
    <row r="127" spans="1:11" ht="21.75" customHeight="1">
      <c r="A127" s="33" t="s">
        <v>19</v>
      </c>
      <c r="B127" s="32">
        <v>10</v>
      </c>
      <c r="C127" s="106">
        <v>7513</v>
      </c>
      <c r="D127" s="151"/>
      <c r="E127" s="106">
        <v>7513</v>
      </c>
      <c r="F127" s="136">
        <v>7513</v>
      </c>
      <c r="G127" s="106">
        <v>7513</v>
      </c>
      <c r="H127" s="21"/>
    </row>
    <row r="128" spans="1:11" ht="17.25" customHeight="1">
      <c r="A128" s="33" t="s">
        <v>20</v>
      </c>
      <c r="B128" s="32">
        <v>20</v>
      </c>
      <c r="C128" s="106">
        <v>2617.9</v>
      </c>
      <c r="D128" s="151"/>
      <c r="E128" s="106">
        <v>2140.8000000000002</v>
      </c>
      <c r="F128" s="106">
        <v>2140.8000000000002</v>
      </c>
      <c r="G128" s="106">
        <v>2140.8000000000002</v>
      </c>
      <c r="H128" s="21"/>
    </row>
    <row r="129" spans="1:11" ht="17.25" customHeight="1">
      <c r="A129" s="33" t="s">
        <v>67</v>
      </c>
      <c r="B129" s="32">
        <v>59</v>
      </c>
      <c r="C129" s="106">
        <v>40.200000000000003</v>
      </c>
      <c r="D129" s="151"/>
      <c r="E129" s="106">
        <v>40.200000000000003</v>
      </c>
      <c r="F129" s="106">
        <v>40.200000000000003</v>
      </c>
      <c r="G129" s="106">
        <v>40.200000000000003</v>
      </c>
      <c r="H129" s="21"/>
      <c r="I129" s="1"/>
    </row>
    <row r="130" spans="1:11" ht="17.25" customHeight="1">
      <c r="A130" s="33" t="s">
        <v>21</v>
      </c>
      <c r="B130" s="32"/>
      <c r="C130" s="117">
        <f t="shared" ref="C130" si="58">C131</f>
        <v>0</v>
      </c>
      <c r="D130" s="153"/>
      <c r="E130" s="117">
        <f t="shared" ref="E130:G130" si="59">E131</f>
        <v>200</v>
      </c>
      <c r="F130" s="117">
        <f t="shared" si="59"/>
        <v>50</v>
      </c>
      <c r="G130" s="117">
        <f t="shared" si="59"/>
        <v>200</v>
      </c>
      <c r="H130" s="14"/>
    </row>
    <row r="131" spans="1:11" ht="18" customHeight="1">
      <c r="A131" s="33" t="s">
        <v>22</v>
      </c>
      <c r="B131" s="32">
        <v>70</v>
      </c>
      <c r="C131" s="106">
        <v>0</v>
      </c>
      <c r="D131" s="151"/>
      <c r="E131" s="106">
        <v>200</v>
      </c>
      <c r="F131" s="106">
        <f>200-150</f>
        <v>50</v>
      </c>
      <c r="G131" s="106">
        <v>200</v>
      </c>
      <c r="H131" s="21"/>
    </row>
    <row r="132" spans="1:11" ht="31.5" customHeight="1">
      <c r="A132" s="69" t="s">
        <v>25</v>
      </c>
      <c r="B132" s="70">
        <v>66.099999999999994</v>
      </c>
      <c r="C132" s="118">
        <f t="shared" ref="C132" si="60">C133</f>
        <v>8673.380000000001</v>
      </c>
      <c r="D132" s="157">
        <f>D133</f>
        <v>0</v>
      </c>
      <c r="E132" s="118">
        <f t="shared" ref="E132:G132" si="61">E133</f>
        <v>6354</v>
      </c>
      <c r="F132" s="118">
        <f t="shared" si="61"/>
        <v>6183</v>
      </c>
      <c r="G132" s="118">
        <f t="shared" si="61"/>
        <v>6188</v>
      </c>
      <c r="H132" s="9"/>
      <c r="K132" s="2"/>
    </row>
    <row r="133" spans="1:11" ht="20.25" customHeight="1">
      <c r="A133" s="71" t="s">
        <v>17</v>
      </c>
      <c r="B133" s="44"/>
      <c r="C133" s="119">
        <f>C134+C138</f>
        <v>8673.380000000001</v>
      </c>
      <c r="D133" s="157">
        <f>D134</f>
        <v>0</v>
      </c>
      <c r="E133" s="119">
        <f>E134+E138</f>
        <v>6354</v>
      </c>
      <c r="F133" s="119">
        <f>F134+F138</f>
        <v>6183</v>
      </c>
      <c r="G133" s="119">
        <f>G134+G138</f>
        <v>6188</v>
      </c>
      <c r="H133" s="9"/>
    </row>
    <row r="134" spans="1:11" ht="21" customHeight="1">
      <c r="A134" s="43" t="s">
        <v>18</v>
      </c>
      <c r="B134" s="44"/>
      <c r="C134" s="119">
        <f>C135+C136+C137</f>
        <v>7358.38</v>
      </c>
      <c r="D134" s="119">
        <f t="shared" ref="D134:G134" si="62">D135+D136+D137</f>
        <v>0</v>
      </c>
      <c r="E134" s="119">
        <f t="shared" si="62"/>
        <v>6354</v>
      </c>
      <c r="F134" s="119">
        <f t="shared" si="62"/>
        <v>6183</v>
      </c>
      <c r="G134" s="119">
        <f t="shared" si="62"/>
        <v>6188</v>
      </c>
      <c r="H134" s="9"/>
    </row>
    <row r="135" spans="1:11" ht="23.25" customHeight="1">
      <c r="A135" s="33" t="s">
        <v>19</v>
      </c>
      <c r="B135" s="32">
        <v>10</v>
      </c>
      <c r="C135" s="106">
        <v>4750</v>
      </c>
      <c r="D135" s="151"/>
      <c r="E135" s="106">
        <v>4750</v>
      </c>
      <c r="F135" s="106">
        <v>4750</v>
      </c>
      <c r="G135" s="106">
        <v>4750</v>
      </c>
      <c r="H135" s="21"/>
    </row>
    <row r="136" spans="1:11" ht="20.25" customHeight="1">
      <c r="A136" s="33" t="s">
        <v>20</v>
      </c>
      <c r="B136" s="32">
        <v>20</v>
      </c>
      <c r="C136" s="106">
        <v>2592.3000000000002</v>
      </c>
      <c r="D136" s="151"/>
      <c r="E136" s="106">
        <f>1428+176</f>
        <v>1604</v>
      </c>
      <c r="F136" s="106">
        <v>1433</v>
      </c>
      <c r="G136" s="106">
        <v>1438</v>
      </c>
      <c r="H136" s="21"/>
    </row>
    <row r="137" spans="1:11" ht="21" customHeight="1">
      <c r="A137" s="33" t="s">
        <v>67</v>
      </c>
      <c r="B137" s="32">
        <v>59</v>
      </c>
      <c r="C137" s="106">
        <v>16.079999999999998</v>
      </c>
      <c r="D137" s="151"/>
      <c r="E137" s="106">
        <v>0</v>
      </c>
      <c r="F137" s="106">
        <v>0</v>
      </c>
      <c r="G137" s="106">
        <v>0</v>
      </c>
      <c r="H137" s="21"/>
      <c r="I137" s="1"/>
    </row>
    <row r="138" spans="1:11" ht="18" customHeight="1">
      <c r="A138" s="33" t="s">
        <v>21</v>
      </c>
      <c r="B138" s="32"/>
      <c r="C138" s="106">
        <f t="shared" ref="C138" si="63">C139</f>
        <v>1315</v>
      </c>
      <c r="D138" s="151"/>
      <c r="E138" s="106">
        <f t="shared" ref="E138:G138" si="64">E139</f>
        <v>0</v>
      </c>
      <c r="F138" s="106">
        <f t="shared" si="64"/>
        <v>0</v>
      </c>
      <c r="G138" s="106">
        <f t="shared" si="64"/>
        <v>0</v>
      </c>
      <c r="H138" s="15"/>
    </row>
    <row r="139" spans="1:11" ht="18" customHeight="1">
      <c r="A139" s="33" t="s">
        <v>22</v>
      </c>
      <c r="B139" s="32">
        <v>70</v>
      </c>
      <c r="C139" s="106">
        <v>1315</v>
      </c>
      <c r="D139" s="151"/>
      <c r="E139" s="106">
        <v>0</v>
      </c>
      <c r="F139" s="106">
        <v>0</v>
      </c>
      <c r="G139" s="106">
        <v>0</v>
      </c>
      <c r="H139" s="21"/>
    </row>
    <row r="140" spans="1:11" ht="21.75" customHeight="1">
      <c r="A140" s="69" t="s">
        <v>50</v>
      </c>
      <c r="B140" s="70">
        <v>66.099999999999994</v>
      </c>
      <c r="C140" s="116">
        <f t="shared" ref="C140" si="65">C141</f>
        <v>11049</v>
      </c>
      <c r="D140" s="153">
        <f>D141</f>
        <v>0</v>
      </c>
      <c r="E140" s="116">
        <f t="shared" ref="E140:G140" si="66">E141</f>
        <v>11800</v>
      </c>
      <c r="F140" s="116">
        <f t="shared" si="66"/>
        <v>11500</v>
      </c>
      <c r="G140" s="116">
        <f t="shared" si="66"/>
        <v>11500</v>
      </c>
      <c r="H140" s="14"/>
    </row>
    <row r="141" spans="1:11" ht="21" customHeight="1">
      <c r="A141" s="71" t="s">
        <v>17</v>
      </c>
      <c r="B141" s="44"/>
      <c r="C141" s="113">
        <f t="shared" ref="C141" si="67">C142+C145</f>
        <v>11049</v>
      </c>
      <c r="D141" s="153">
        <f>D142</f>
        <v>0</v>
      </c>
      <c r="E141" s="113">
        <f t="shared" ref="E141:G141" si="68">E142+E145</f>
        <v>11800</v>
      </c>
      <c r="F141" s="113">
        <f t="shared" si="68"/>
        <v>11500</v>
      </c>
      <c r="G141" s="113">
        <f t="shared" si="68"/>
        <v>11500</v>
      </c>
      <c r="H141" s="14"/>
    </row>
    <row r="142" spans="1:11" ht="21.75" customHeight="1">
      <c r="A142" s="43" t="s">
        <v>18</v>
      </c>
      <c r="B142" s="44"/>
      <c r="C142" s="113">
        <f t="shared" ref="C142" si="69">C143+C144</f>
        <v>10539</v>
      </c>
      <c r="D142" s="153">
        <f>D143+D144</f>
        <v>0</v>
      </c>
      <c r="E142" s="113">
        <f t="shared" ref="E142:G142" si="70">E143+E144</f>
        <v>11300</v>
      </c>
      <c r="F142" s="113">
        <f t="shared" si="70"/>
        <v>11000</v>
      </c>
      <c r="G142" s="113">
        <f t="shared" si="70"/>
        <v>11000</v>
      </c>
      <c r="H142" s="14"/>
      <c r="I142" s="1"/>
    </row>
    <row r="143" spans="1:11" ht="19.5" customHeight="1">
      <c r="A143" s="33" t="s">
        <v>19</v>
      </c>
      <c r="B143" s="32">
        <v>10</v>
      </c>
      <c r="C143" s="106">
        <v>7364</v>
      </c>
      <c r="D143" s="151"/>
      <c r="E143" s="106">
        <v>7500</v>
      </c>
      <c r="F143" s="106">
        <v>7500</v>
      </c>
      <c r="G143" s="106">
        <v>7500</v>
      </c>
      <c r="H143" s="21"/>
    </row>
    <row r="144" spans="1:11" ht="19.5" customHeight="1">
      <c r="A144" s="60" t="s">
        <v>20</v>
      </c>
      <c r="B144" s="61">
        <v>20</v>
      </c>
      <c r="C144" s="144">
        <v>3175</v>
      </c>
      <c r="D144" s="158"/>
      <c r="E144" s="144">
        <f>3500+300</f>
        <v>3800</v>
      </c>
      <c r="F144" s="144">
        <v>3500</v>
      </c>
      <c r="G144" s="144">
        <v>3500</v>
      </c>
      <c r="H144" s="21"/>
      <c r="J144"/>
      <c r="K144"/>
    </row>
    <row r="145" spans="1:11" ht="21" customHeight="1">
      <c r="A145" s="33" t="s">
        <v>21</v>
      </c>
      <c r="B145" s="32"/>
      <c r="C145" s="144">
        <f t="shared" ref="C145" si="71">C146</f>
        <v>510</v>
      </c>
      <c r="D145" s="158"/>
      <c r="E145" s="144">
        <f t="shared" ref="E145:G145" si="72">E146</f>
        <v>500</v>
      </c>
      <c r="F145" s="144">
        <f t="shared" si="72"/>
        <v>500</v>
      </c>
      <c r="G145" s="144">
        <f t="shared" si="72"/>
        <v>500</v>
      </c>
      <c r="H145" s="15"/>
      <c r="J145"/>
      <c r="K145"/>
    </row>
    <row r="146" spans="1:11" ht="19.5" customHeight="1">
      <c r="A146" s="33" t="s">
        <v>22</v>
      </c>
      <c r="B146" s="32">
        <v>70</v>
      </c>
      <c r="C146" s="144">
        <v>510</v>
      </c>
      <c r="D146" s="158"/>
      <c r="E146" s="144">
        <v>500</v>
      </c>
      <c r="F146" s="144">
        <v>500</v>
      </c>
      <c r="G146" s="144">
        <v>500</v>
      </c>
      <c r="H146" s="21"/>
      <c r="J146"/>
      <c r="K146"/>
    </row>
    <row r="147" spans="1:11" ht="30" customHeight="1">
      <c r="A147" s="73" t="s">
        <v>53</v>
      </c>
      <c r="B147" s="70">
        <v>66.099999999999994</v>
      </c>
      <c r="C147" s="159">
        <f t="shared" ref="C147" si="73">C148</f>
        <v>3169.1099999999997</v>
      </c>
      <c r="D147" s="160">
        <f>D148</f>
        <v>0</v>
      </c>
      <c r="E147" s="159">
        <f t="shared" ref="E147:G147" si="74">E148</f>
        <v>3545</v>
      </c>
      <c r="F147" s="159">
        <f t="shared" si="74"/>
        <v>3500</v>
      </c>
      <c r="G147" s="159">
        <f t="shared" si="74"/>
        <v>3545</v>
      </c>
      <c r="H147" s="22"/>
      <c r="J147"/>
      <c r="K147"/>
    </row>
    <row r="148" spans="1:11" ht="21.75" customHeight="1">
      <c r="A148" s="71" t="s">
        <v>17</v>
      </c>
      <c r="B148" s="32"/>
      <c r="C148" s="106">
        <f t="shared" ref="C148" si="75">C149+C152</f>
        <v>3169.1099999999997</v>
      </c>
      <c r="D148" s="151">
        <f>D149</f>
        <v>0</v>
      </c>
      <c r="E148" s="106">
        <f t="shared" ref="E148:G148" si="76">E149+E152</f>
        <v>3545</v>
      </c>
      <c r="F148" s="106">
        <f t="shared" si="76"/>
        <v>3500</v>
      </c>
      <c r="G148" s="106">
        <f t="shared" si="76"/>
        <v>3545</v>
      </c>
      <c r="H148" s="15"/>
      <c r="J148"/>
      <c r="K148"/>
    </row>
    <row r="149" spans="1:11" ht="17.25" customHeight="1">
      <c r="A149" s="43" t="s">
        <v>18</v>
      </c>
      <c r="B149" s="32"/>
      <c r="C149" s="106">
        <f t="shared" ref="C149" si="77">C150+C151</f>
        <v>3069.1099999999997</v>
      </c>
      <c r="D149" s="151">
        <f>D150+D151</f>
        <v>0</v>
      </c>
      <c r="E149" s="106">
        <f t="shared" ref="E149:G149" si="78">E150+E151</f>
        <v>3400</v>
      </c>
      <c r="F149" s="106">
        <f t="shared" si="78"/>
        <v>3400</v>
      </c>
      <c r="G149" s="106">
        <f t="shared" si="78"/>
        <v>3400</v>
      </c>
      <c r="H149" s="15"/>
      <c r="I149" s="1"/>
      <c r="J149"/>
    </row>
    <row r="150" spans="1:11" ht="19.5" customHeight="1">
      <c r="A150" s="33" t="s">
        <v>19</v>
      </c>
      <c r="B150" s="32">
        <v>10</v>
      </c>
      <c r="C150" s="106">
        <v>1899.11</v>
      </c>
      <c r="D150" s="151"/>
      <c r="E150" s="106">
        <v>1900</v>
      </c>
      <c r="F150" s="106">
        <v>1900</v>
      </c>
      <c r="G150" s="106">
        <v>1900</v>
      </c>
      <c r="H150" s="21"/>
      <c r="J150" s="6"/>
      <c r="K150"/>
    </row>
    <row r="151" spans="1:11" ht="24" customHeight="1">
      <c r="A151" s="33" t="s">
        <v>20</v>
      </c>
      <c r="B151" s="32">
        <v>20</v>
      </c>
      <c r="C151" s="106">
        <v>1170</v>
      </c>
      <c r="D151" s="151"/>
      <c r="E151" s="106">
        <v>1500</v>
      </c>
      <c r="F151" s="106">
        <v>1500</v>
      </c>
      <c r="G151" s="106">
        <v>1500</v>
      </c>
      <c r="H151" s="21"/>
      <c r="J151"/>
      <c r="K151"/>
    </row>
    <row r="152" spans="1:11" ht="23.25" customHeight="1">
      <c r="A152" s="33" t="s">
        <v>21</v>
      </c>
      <c r="B152" s="32"/>
      <c r="C152" s="106">
        <f t="shared" ref="C152" si="79">C153</f>
        <v>100</v>
      </c>
      <c r="D152" s="151"/>
      <c r="E152" s="106">
        <f t="shared" ref="E152:G152" si="80">E153</f>
        <v>145</v>
      </c>
      <c r="F152" s="106">
        <f t="shared" si="80"/>
        <v>100</v>
      </c>
      <c r="G152" s="106">
        <f t="shared" si="80"/>
        <v>145</v>
      </c>
      <c r="H152" s="15"/>
      <c r="J152"/>
      <c r="K152"/>
    </row>
    <row r="153" spans="1:11" ht="21.75" customHeight="1">
      <c r="A153" s="33" t="s">
        <v>22</v>
      </c>
      <c r="B153" s="32">
        <v>70</v>
      </c>
      <c r="C153" s="106">
        <v>100</v>
      </c>
      <c r="D153" s="151"/>
      <c r="E153" s="106">
        <v>145</v>
      </c>
      <c r="F153" s="106">
        <f>145-45</f>
        <v>100</v>
      </c>
      <c r="G153" s="106">
        <v>145</v>
      </c>
      <c r="H153" s="21"/>
      <c r="J153"/>
      <c r="K153"/>
    </row>
    <row r="154" spans="1:11" ht="21" customHeight="1">
      <c r="A154" s="58" t="s">
        <v>75</v>
      </c>
      <c r="B154" s="74">
        <v>66.099999999999994</v>
      </c>
      <c r="C154" s="111">
        <f>C158+C162+C166+C170+C174</f>
        <v>2572</v>
      </c>
      <c r="D154" s="137"/>
      <c r="E154" s="108">
        <f>E158+E162+E166+E170+E174</f>
        <v>2700</v>
      </c>
      <c r="F154" s="108">
        <f t="shared" ref="F154:G154" si="81">F158+F162+F166+F170+F174</f>
        <v>2800</v>
      </c>
      <c r="G154" s="108">
        <f t="shared" si="81"/>
        <v>2900</v>
      </c>
      <c r="H154" s="21"/>
      <c r="J154"/>
      <c r="K154"/>
    </row>
    <row r="155" spans="1:11" ht="18.75" customHeight="1">
      <c r="A155" s="75" t="s">
        <v>18</v>
      </c>
      <c r="B155" s="59"/>
      <c r="C155" s="111">
        <f>C159+C163+C167+C171+C175</f>
        <v>2572</v>
      </c>
      <c r="D155" s="151"/>
      <c r="E155" s="108">
        <f>E159+E163+E167+E171+E175</f>
        <v>2700</v>
      </c>
      <c r="F155" s="108">
        <f t="shared" ref="F155:G155" si="82">F159+F163+F167+F171+F175</f>
        <v>2800</v>
      </c>
      <c r="G155" s="108">
        <f t="shared" si="82"/>
        <v>2900</v>
      </c>
      <c r="H155" s="21"/>
      <c r="J155"/>
      <c r="K155"/>
    </row>
    <row r="156" spans="1:11" ht="21" customHeight="1">
      <c r="A156" s="76" t="s">
        <v>19</v>
      </c>
      <c r="B156" s="59">
        <v>10</v>
      </c>
      <c r="C156" s="111">
        <f>C160+C164+C168+C172+C176</f>
        <v>2295</v>
      </c>
      <c r="D156" s="151"/>
      <c r="E156" s="108">
        <f>E160+E164+E168+E172+E176</f>
        <v>2407</v>
      </c>
      <c r="F156" s="108">
        <f t="shared" ref="F156:G156" si="83">F160+F164+F168+F172+F176</f>
        <v>2495</v>
      </c>
      <c r="G156" s="108">
        <f t="shared" si="83"/>
        <v>2585</v>
      </c>
      <c r="H156" s="21"/>
      <c r="J156"/>
      <c r="K156"/>
    </row>
    <row r="157" spans="1:11" ht="20.25" customHeight="1">
      <c r="A157" s="76" t="s">
        <v>20</v>
      </c>
      <c r="B157" s="59">
        <v>20</v>
      </c>
      <c r="C157" s="111">
        <f>C161+C165+C169+C173+C177</f>
        <v>277</v>
      </c>
      <c r="D157" s="151"/>
      <c r="E157" s="108">
        <f>E161+E165+E169+E173+E177</f>
        <v>293</v>
      </c>
      <c r="F157" s="108">
        <f t="shared" ref="F157:G157" si="84">F161+F165+F169+F173+F177</f>
        <v>305</v>
      </c>
      <c r="G157" s="108">
        <f t="shared" si="84"/>
        <v>315</v>
      </c>
      <c r="H157" s="21"/>
      <c r="J157"/>
      <c r="K157"/>
    </row>
    <row r="158" spans="1:11" ht="30.75" customHeight="1">
      <c r="A158" s="69" t="s">
        <v>87</v>
      </c>
      <c r="B158" s="70">
        <v>66.099999999999994</v>
      </c>
      <c r="C158" s="127">
        <f>C159</f>
        <v>650</v>
      </c>
      <c r="D158" s="137"/>
      <c r="E158" s="137">
        <f>E159</f>
        <v>685</v>
      </c>
      <c r="F158" s="137">
        <f t="shared" ref="F158:G158" si="85">F159</f>
        <v>710</v>
      </c>
      <c r="G158" s="137">
        <f t="shared" si="85"/>
        <v>736</v>
      </c>
      <c r="H158" s="21"/>
      <c r="J158"/>
      <c r="K158"/>
    </row>
    <row r="159" spans="1:11" ht="17.25" customHeight="1">
      <c r="A159" s="43" t="s">
        <v>18</v>
      </c>
      <c r="B159" s="32"/>
      <c r="C159" s="117">
        <f>C160+C161</f>
        <v>650</v>
      </c>
      <c r="D159" s="151"/>
      <c r="E159" s="106">
        <f>E160+E161</f>
        <v>685</v>
      </c>
      <c r="F159" s="106">
        <f t="shared" ref="F159:G159" si="86">F160+F161</f>
        <v>710</v>
      </c>
      <c r="G159" s="106">
        <f t="shared" si="86"/>
        <v>736</v>
      </c>
      <c r="H159" s="21"/>
      <c r="J159"/>
      <c r="K159"/>
    </row>
    <row r="160" spans="1:11" ht="17.25" customHeight="1">
      <c r="A160" s="33" t="s">
        <v>19</v>
      </c>
      <c r="B160" s="32">
        <v>10</v>
      </c>
      <c r="C160" s="106">
        <v>635</v>
      </c>
      <c r="D160" s="151"/>
      <c r="E160" s="106">
        <v>669</v>
      </c>
      <c r="F160" s="106">
        <v>693</v>
      </c>
      <c r="G160" s="106">
        <v>718</v>
      </c>
      <c r="H160" s="21"/>
      <c r="J160"/>
      <c r="K160"/>
    </row>
    <row r="161" spans="1:11" ht="17.25" customHeight="1">
      <c r="A161" s="33" t="s">
        <v>20</v>
      </c>
      <c r="B161" s="32">
        <v>20</v>
      </c>
      <c r="C161" s="106">
        <v>15</v>
      </c>
      <c r="D161" s="151"/>
      <c r="E161" s="106">
        <v>16</v>
      </c>
      <c r="F161" s="106">
        <v>17</v>
      </c>
      <c r="G161" s="106">
        <v>18</v>
      </c>
      <c r="H161" s="21"/>
      <c r="J161"/>
      <c r="K161"/>
    </row>
    <row r="162" spans="1:11" ht="34.5" customHeight="1">
      <c r="A162" s="69" t="s">
        <v>88</v>
      </c>
      <c r="B162" s="70">
        <v>66.099999999999994</v>
      </c>
      <c r="C162" s="127">
        <f>C163</f>
        <v>295</v>
      </c>
      <c r="D162" s="137"/>
      <c r="E162" s="137">
        <f>E163</f>
        <v>307</v>
      </c>
      <c r="F162" s="137">
        <f t="shared" ref="F162:G162" si="87">F163</f>
        <v>319</v>
      </c>
      <c r="G162" s="137">
        <f t="shared" si="87"/>
        <v>330</v>
      </c>
      <c r="H162" s="21"/>
      <c r="J162"/>
      <c r="K162"/>
    </row>
    <row r="163" spans="1:11" ht="18" customHeight="1">
      <c r="A163" s="43" t="s">
        <v>18</v>
      </c>
      <c r="B163" s="32"/>
      <c r="C163" s="117">
        <f>C164+C165</f>
        <v>295</v>
      </c>
      <c r="D163" s="151"/>
      <c r="E163" s="106">
        <f>E164+E165</f>
        <v>307</v>
      </c>
      <c r="F163" s="106">
        <f t="shared" ref="F163:G163" si="88">F164+F165</f>
        <v>319</v>
      </c>
      <c r="G163" s="106">
        <f t="shared" si="88"/>
        <v>330</v>
      </c>
      <c r="H163" s="21"/>
      <c r="J163"/>
      <c r="K163"/>
    </row>
    <row r="164" spans="1:11" ht="18" customHeight="1">
      <c r="A164" s="33" t="s">
        <v>19</v>
      </c>
      <c r="B164" s="32">
        <v>10</v>
      </c>
      <c r="C164" s="106">
        <v>250</v>
      </c>
      <c r="D164" s="151"/>
      <c r="E164" s="106">
        <v>260</v>
      </c>
      <c r="F164" s="106">
        <v>270</v>
      </c>
      <c r="G164" s="106">
        <v>280</v>
      </c>
      <c r="H164" s="21"/>
      <c r="J164"/>
      <c r="K164"/>
    </row>
    <row r="165" spans="1:11" ht="18" customHeight="1">
      <c r="A165" s="33" t="s">
        <v>20</v>
      </c>
      <c r="B165" s="32">
        <v>20</v>
      </c>
      <c r="C165" s="106">
        <v>45</v>
      </c>
      <c r="D165" s="151"/>
      <c r="E165" s="106">
        <v>47</v>
      </c>
      <c r="F165" s="106">
        <v>49</v>
      </c>
      <c r="G165" s="106">
        <v>50</v>
      </c>
      <c r="H165" s="21"/>
      <c r="J165"/>
      <c r="K165"/>
    </row>
    <row r="166" spans="1:11" ht="21.75" customHeight="1">
      <c r="A166" s="69" t="s">
        <v>89</v>
      </c>
      <c r="B166" s="70">
        <v>66.099999999999994</v>
      </c>
      <c r="C166" s="127">
        <f>C167</f>
        <v>1210</v>
      </c>
      <c r="D166" s="137"/>
      <c r="E166" s="137">
        <f>E167</f>
        <v>1270</v>
      </c>
      <c r="F166" s="137">
        <f t="shared" ref="F166:G166" si="89">F167</f>
        <v>1316</v>
      </c>
      <c r="G166" s="137">
        <f t="shared" si="89"/>
        <v>1362</v>
      </c>
      <c r="H166" s="21"/>
      <c r="J166"/>
      <c r="K166"/>
    </row>
    <row r="167" spans="1:11" ht="23.25" customHeight="1">
      <c r="A167" s="43" t="s">
        <v>18</v>
      </c>
      <c r="B167" s="32"/>
      <c r="C167" s="117">
        <f>C168+C169</f>
        <v>1210</v>
      </c>
      <c r="D167" s="151"/>
      <c r="E167" s="106">
        <f>E168+E169</f>
        <v>1270</v>
      </c>
      <c r="F167" s="106">
        <f t="shared" ref="F167:G167" si="90">F168+F169</f>
        <v>1316</v>
      </c>
      <c r="G167" s="106">
        <f t="shared" si="90"/>
        <v>1362</v>
      </c>
      <c r="H167" s="21"/>
      <c r="J167"/>
      <c r="K167"/>
    </row>
    <row r="168" spans="1:11" ht="18" customHeight="1">
      <c r="A168" s="33" t="s">
        <v>19</v>
      </c>
      <c r="B168" s="32">
        <v>10</v>
      </c>
      <c r="C168" s="106">
        <v>1050</v>
      </c>
      <c r="D168" s="151"/>
      <c r="E168" s="106">
        <v>1100</v>
      </c>
      <c r="F168" s="106">
        <v>1140</v>
      </c>
      <c r="G168" s="106">
        <v>1180</v>
      </c>
      <c r="H168" s="21"/>
      <c r="J168"/>
      <c r="K168"/>
    </row>
    <row r="169" spans="1:11" ht="20.25" customHeight="1">
      <c r="A169" s="33" t="s">
        <v>20</v>
      </c>
      <c r="B169" s="32">
        <v>20</v>
      </c>
      <c r="C169" s="106">
        <v>160</v>
      </c>
      <c r="D169" s="151"/>
      <c r="E169" s="106">
        <v>170</v>
      </c>
      <c r="F169" s="106">
        <v>176</v>
      </c>
      <c r="G169" s="106">
        <v>182</v>
      </c>
      <c r="H169" s="21"/>
      <c r="J169"/>
      <c r="K169"/>
    </row>
    <row r="170" spans="1:11" ht="27.75" customHeight="1">
      <c r="A170" s="77" t="s">
        <v>90</v>
      </c>
      <c r="B170" s="70">
        <v>66.099999999999994</v>
      </c>
      <c r="C170" s="127">
        <f>C171</f>
        <v>115</v>
      </c>
      <c r="D170" s="137"/>
      <c r="E170" s="137">
        <f>E171</f>
        <v>121</v>
      </c>
      <c r="F170" s="137">
        <f t="shared" ref="F170:G170" si="91">F171</f>
        <v>126</v>
      </c>
      <c r="G170" s="137">
        <f t="shared" si="91"/>
        <v>133</v>
      </c>
      <c r="H170" s="21"/>
      <c r="J170"/>
      <c r="K170"/>
    </row>
    <row r="171" spans="1:11" ht="17.25" customHeight="1">
      <c r="A171" s="43" t="s">
        <v>18</v>
      </c>
      <c r="B171" s="44"/>
      <c r="C171" s="117">
        <f>C172+C173</f>
        <v>115</v>
      </c>
      <c r="D171" s="151"/>
      <c r="E171" s="106">
        <f>E172+E173</f>
        <v>121</v>
      </c>
      <c r="F171" s="106">
        <f t="shared" ref="F171:G171" si="92">F172+F173</f>
        <v>126</v>
      </c>
      <c r="G171" s="106">
        <f t="shared" si="92"/>
        <v>133</v>
      </c>
      <c r="H171" s="21"/>
      <c r="J171"/>
      <c r="K171"/>
    </row>
    <row r="172" spans="1:11" ht="17.25" customHeight="1">
      <c r="A172" s="33" t="s">
        <v>19</v>
      </c>
      <c r="B172" s="32">
        <v>10</v>
      </c>
      <c r="C172" s="106">
        <v>100</v>
      </c>
      <c r="D172" s="151"/>
      <c r="E172" s="106">
        <v>105</v>
      </c>
      <c r="F172" s="106">
        <v>109</v>
      </c>
      <c r="G172" s="106">
        <v>115</v>
      </c>
      <c r="H172" s="21"/>
      <c r="J172"/>
      <c r="K172"/>
    </row>
    <row r="173" spans="1:11" ht="21" customHeight="1">
      <c r="A173" s="33" t="s">
        <v>20</v>
      </c>
      <c r="B173" s="32">
        <v>20</v>
      </c>
      <c r="C173" s="106">
        <v>15</v>
      </c>
      <c r="D173" s="151"/>
      <c r="E173" s="106">
        <v>16</v>
      </c>
      <c r="F173" s="106">
        <v>17</v>
      </c>
      <c r="G173" s="106">
        <v>18</v>
      </c>
      <c r="H173" s="21"/>
      <c r="J173"/>
      <c r="K173"/>
    </row>
    <row r="174" spans="1:11" ht="19.5" customHeight="1">
      <c r="A174" s="77" t="s">
        <v>91</v>
      </c>
      <c r="B174" s="70">
        <v>66.099999999999994</v>
      </c>
      <c r="C174" s="127">
        <f>C175</f>
        <v>302</v>
      </c>
      <c r="D174" s="137"/>
      <c r="E174" s="137">
        <f>E175</f>
        <v>317</v>
      </c>
      <c r="F174" s="137">
        <f t="shared" ref="F174:G174" si="93">F175</f>
        <v>329</v>
      </c>
      <c r="G174" s="137">
        <f t="shared" si="93"/>
        <v>339</v>
      </c>
      <c r="H174" s="21"/>
      <c r="J174"/>
      <c r="K174"/>
    </row>
    <row r="175" spans="1:11" ht="21" customHeight="1">
      <c r="A175" s="43" t="s">
        <v>18</v>
      </c>
      <c r="B175" s="44"/>
      <c r="C175" s="117">
        <f>C176+C177</f>
        <v>302</v>
      </c>
      <c r="D175" s="151"/>
      <c r="E175" s="106">
        <f>E176+E177</f>
        <v>317</v>
      </c>
      <c r="F175" s="106">
        <f t="shared" ref="F175:G175" si="94">F176+F177</f>
        <v>329</v>
      </c>
      <c r="G175" s="106">
        <f t="shared" si="94"/>
        <v>339</v>
      </c>
      <c r="H175" s="21"/>
      <c r="J175"/>
      <c r="K175"/>
    </row>
    <row r="176" spans="1:11" ht="21" customHeight="1">
      <c r="A176" s="33" t="s">
        <v>19</v>
      </c>
      <c r="B176" s="32">
        <v>10</v>
      </c>
      <c r="C176" s="106">
        <v>260</v>
      </c>
      <c r="D176" s="151"/>
      <c r="E176" s="106">
        <v>273</v>
      </c>
      <c r="F176" s="106">
        <v>283</v>
      </c>
      <c r="G176" s="106">
        <v>292</v>
      </c>
      <c r="H176" s="21"/>
      <c r="J176"/>
      <c r="K176"/>
    </row>
    <row r="177" spans="1:11" ht="23.25" customHeight="1">
      <c r="A177" s="33" t="s">
        <v>20</v>
      </c>
      <c r="B177" s="32">
        <v>20</v>
      </c>
      <c r="C177" s="106">
        <v>42</v>
      </c>
      <c r="D177" s="151"/>
      <c r="E177" s="106">
        <v>44</v>
      </c>
      <c r="F177" s="106">
        <v>46</v>
      </c>
      <c r="G177" s="106">
        <v>47</v>
      </c>
      <c r="H177" s="21"/>
      <c r="J177"/>
      <c r="K177"/>
    </row>
    <row r="178" spans="1:11" ht="21.75" customHeight="1">
      <c r="A178" s="78" t="s">
        <v>26</v>
      </c>
      <c r="B178" s="49" t="s">
        <v>27</v>
      </c>
      <c r="C178" s="108">
        <f>C187+C197+C204+C211+C218+C222+C229</f>
        <v>24587</v>
      </c>
      <c r="D178" s="108">
        <f>D187+D197+D204+D211+D218+D222+D229</f>
        <v>0</v>
      </c>
      <c r="E178" s="108">
        <f>E187+E197+E204+E211+E218+E222+E229</f>
        <v>24837</v>
      </c>
      <c r="F178" s="108">
        <f>F187+F197+F204+F211+F218+F222+F229</f>
        <v>25518</v>
      </c>
      <c r="G178" s="108">
        <f>G187+G197+G204+G211+G218+G222+G229</f>
        <v>26058</v>
      </c>
      <c r="H178" s="17"/>
      <c r="J178"/>
      <c r="K178"/>
    </row>
    <row r="179" spans="1:11" ht="27" customHeight="1">
      <c r="A179" s="50" t="s">
        <v>17</v>
      </c>
      <c r="B179" s="49"/>
      <c r="C179" s="108">
        <f>C188+C205+C212+C219+C223+C230+C198</f>
        <v>24587</v>
      </c>
      <c r="D179" s="108">
        <f t="shared" ref="D179:G179" si="95">D188+D205+D212+D219+D223+D230+D198</f>
        <v>0</v>
      </c>
      <c r="E179" s="108">
        <f t="shared" si="95"/>
        <v>24837</v>
      </c>
      <c r="F179" s="108">
        <f t="shared" si="95"/>
        <v>25518</v>
      </c>
      <c r="G179" s="108">
        <f t="shared" si="95"/>
        <v>26058</v>
      </c>
      <c r="H179" s="17"/>
      <c r="J179"/>
      <c r="K179"/>
    </row>
    <row r="180" spans="1:11" ht="22.5" customHeight="1">
      <c r="A180" s="48" t="s">
        <v>18</v>
      </c>
      <c r="B180" s="49"/>
      <c r="C180" s="108">
        <f>C189+C199+C206+C213+C219+C224+C230</f>
        <v>23791</v>
      </c>
      <c r="D180" s="108">
        <f>D189+D199+D206+D213+D219+D224+D230</f>
        <v>0</v>
      </c>
      <c r="E180" s="108">
        <f>E189+E199+E206+E213+E219+E224+E230</f>
        <v>24235</v>
      </c>
      <c r="F180" s="108">
        <f>F189+F199+F206+F213+F219+F224+F230</f>
        <v>24868</v>
      </c>
      <c r="G180" s="108">
        <f>G189+G199+G206+G213+G219+G224+G230</f>
        <v>25358</v>
      </c>
      <c r="H180" s="17"/>
      <c r="J180"/>
      <c r="K180"/>
    </row>
    <row r="181" spans="1:11" ht="21" customHeight="1">
      <c r="A181" s="68" t="s">
        <v>19</v>
      </c>
      <c r="B181" s="49">
        <v>10</v>
      </c>
      <c r="C181" s="108">
        <f>C190+C200+C207+C214+C220+C225+C231</f>
        <v>11600</v>
      </c>
      <c r="D181" s="108"/>
      <c r="E181" s="108">
        <f>E190+E200+E207+E214+E220+E225+E231</f>
        <v>12000</v>
      </c>
      <c r="F181" s="108">
        <f t="shared" ref="F181:G181" si="96">F190+F200+F207+F214+F220+F225+F231</f>
        <v>12320</v>
      </c>
      <c r="G181" s="108">
        <f t="shared" si="96"/>
        <v>12500</v>
      </c>
      <c r="H181" s="17"/>
      <c r="J181"/>
      <c r="K181"/>
    </row>
    <row r="182" spans="1:11" ht="18.75" customHeight="1">
      <c r="A182" s="68" t="s">
        <v>20</v>
      </c>
      <c r="B182" s="49">
        <v>20</v>
      </c>
      <c r="C182" s="108">
        <f>C191+C201+C208+C215+C221+C226+C232</f>
        <v>12191</v>
      </c>
      <c r="D182" s="108">
        <f>D191+D201+D208+D215+D221+D226+D232</f>
        <v>0</v>
      </c>
      <c r="E182" s="108">
        <f>E191+E201+E208+E215+E221+E226+E232</f>
        <v>12235</v>
      </c>
      <c r="F182" s="108">
        <f>F191+F201+F208+F215+F221+F226+F232</f>
        <v>12548</v>
      </c>
      <c r="G182" s="108">
        <f>G191+G201+G208+G215+G221+G226+G232</f>
        <v>12858</v>
      </c>
      <c r="H182" s="17"/>
      <c r="J182"/>
      <c r="K182"/>
    </row>
    <row r="183" spans="1:11" ht="18.75" customHeight="1">
      <c r="A183" s="68" t="s">
        <v>21</v>
      </c>
      <c r="B183" s="49"/>
      <c r="C183" s="108">
        <f>C192+C209+C216+C227+C202</f>
        <v>796</v>
      </c>
      <c r="D183" s="108">
        <f>D192+D227</f>
        <v>0</v>
      </c>
      <c r="E183" s="108">
        <f>E192+E227+E209+E216</f>
        <v>602</v>
      </c>
      <c r="F183" s="108">
        <f t="shared" ref="F183:G183" si="97">F192+F227+F209+F216</f>
        <v>650</v>
      </c>
      <c r="G183" s="108">
        <f t="shared" si="97"/>
        <v>700</v>
      </c>
      <c r="H183" s="17"/>
      <c r="J183"/>
      <c r="K183"/>
    </row>
    <row r="184" spans="1:11" ht="18.75" customHeight="1">
      <c r="A184" s="79" t="s">
        <v>84</v>
      </c>
      <c r="B184" s="80" t="s">
        <v>72</v>
      </c>
      <c r="C184" s="108">
        <f>C194</f>
        <v>90</v>
      </c>
      <c r="D184" s="108">
        <f t="shared" ref="D184:G184" si="98">D194</f>
        <v>0</v>
      </c>
      <c r="E184" s="108">
        <f t="shared" si="98"/>
        <v>90</v>
      </c>
      <c r="F184" s="108">
        <f t="shared" si="98"/>
        <v>0</v>
      </c>
      <c r="G184" s="108">
        <f t="shared" si="98"/>
        <v>0</v>
      </c>
      <c r="H184" s="17"/>
      <c r="J184"/>
      <c r="K184"/>
    </row>
    <row r="185" spans="1:11" ht="18.75" customHeight="1">
      <c r="A185" s="68" t="s">
        <v>78</v>
      </c>
      <c r="B185" s="49" t="s">
        <v>77</v>
      </c>
      <c r="C185" s="108">
        <f>C195</f>
        <v>62</v>
      </c>
      <c r="D185" s="108"/>
      <c r="E185" s="108">
        <f>E195</f>
        <v>62</v>
      </c>
      <c r="F185" s="108">
        <f t="shared" ref="F185:G185" si="99">F195</f>
        <v>0</v>
      </c>
      <c r="G185" s="108">
        <f t="shared" si="99"/>
        <v>0</v>
      </c>
      <c r="H185" s="17"/>
      <c r="J185"/>
      <c r="K185"/>
    </row>
    <row r="186" spans="1:11" ht="18.75" customHeight="1">
      <c r="A186" s="68" t="s">
        <v>22</v>
      </c>
      <c r="B186" s="49">
        <v>70</v>
      </c>
      <c r="C186" s="108">
        <f>C196+C203+C210+C217+C228</f>
        <v>644</v>
      </c>
      <c r="D186" s="108">
        <f t="shared" ref="D186:G186" si="100">D196+D210+D217+D228+D203</f>
        <v>0</v>
      </c>
      <c r="E186" s="108">
        <f t="shared" si="100"/>
        <v>450</v>
      </c>
      <c r="F186" s="108">
        <f t="shared" si="100"/>
        <v>650</v>
      </c>
      <c r="G186" s="108">
        <f t="shared" si="100"/>
        <v>700</v>
      </c>
      <c r="H186" s="17"/>
      <c r="J186"/>
      <c r="K186"/>
    </row>
    <row r="187" spans="1:11" ht="33" customHeight="1">
      <c r="A187" s="69" t="s">
        <v>102</v>
      </c>
      <c r="B187" s="81" t="s">
        <v>27</v>
      </c>
      <c r="C187" s="116">
        <f t="shared" ref="C187" si="101">C188</f>
        <v>3290</v>
      </c>
      <c r="D187" s="153">
        <f>D188</f>
        <v>0</v>
      </c>
      <c r="E187" s="116">
        <f t="shared" ref="E187:G187" si="102">E188</f>
        <v>3440</v>
      </c>
      <c r="F187" s="116">
        <f t="shared" si="102"/>
        <v>3540</v>
      </c>
      <c r="G187" s="116">
        <f t="shared" si="102"/>
        <v>3640</v>
      </c>
      <c r="H187" s="14"/>
      <c r="J187"/>
      <c r="K187"/>
    </row>
    <row r="188" spans="1:11" ht="32.25" customHeight="1">
      <c r="A188" s="71" t="s">
        <v>17</v>
      </c>
      <c r="B188" s="44"/>
      <c r="C188" s="113">
        <f t="shared" ref="C188" si="103">C189+C192</f>
        <v>3290</v>
      </c>
      <c r="D188" s="153">
        <f>D189+D192</f>
        <v>0</v>
      </c>
      <c r="E188" s="113">
        <f t="shared" ref="E188:G188" si="104">E189+E192</f>
        <v>3440</v>
      </c>
      <c r="F188" s="113">
        <f t="shared" si="104"/>
        <v>3540</v>
      </c>
      <c r="G188" s="113">
        <f t="shared" si="104"/>
        <v>3640</v>
      </c>
      <c r="H188" s="14"/>
      <c r="J188"/>
      <c r="K188"/>
    </row>
    <row r="189" spans="1:11" ht="18.75" customHeight="1">
      <c r="A189" s="43" t="s">
        <v>18</v>
      </c>
      <c r="B189" s="44"/>
      <c r="C189" s="113">
        <f>C190+C191</f>
        <v>3034</v>
      </c>
      <c r="D189" s="153">
        <f>D191</f>
        <v>0</v>
      </c>
      <c r="E189" s="113">
        <f>E190+E191</f>
        <v>3238</v>
      </c>
      <c r="F189" s="113">
        <f t="shared" ref="F189:G189" si="105">F190+F191</f>
        <v>3440</v>
      </c>
      <c r="G189" s="113">
        <f t="shared" si="105"/>
        <v>3640</v>
      </c>
      <c r="H189" s="14"/>
      <c r="J189"/>
      <c r="K189"/>
    </row>
    <row r="190" spans="1:11" ht="18" customHeight="1">
      <c r="A190" s="33" t="s">
        <v>19</v>
      </c>
      <c r="B190" s="32">
        <v>10</v>
      </c>
      <c r="C190" s="120">
        <v>1900</v>
      </c>
      <c r="D190" s="153"/>
      <c r="E190" s="120">
        <v>2000</v>
      </c>
      <c r="F190" s="120">
        <v>2100</v>
      </c>
      <c r="G190" s="120">
        <v>2200</v>
      </c>
      <c r="H190" s="14"/>
      <c r="J190"/>
      <c r="K190"/>
    </row>
    <row r="191" spans="1:11" ht="21" customHeight="1">
      <c r="A191" s="33" t="s">
        <v>20</v>
      </c>
      <c r="B191" s="32">
        <v>20</v>
      </c>
      <c r="C191" s="106">
        <f>34+1100</f>
        <v>1134</v>
      </c>
      <c r="D191" s="151"/>
      <c r="E191" s="145">
        <f>38+1200</f>
        <v>1238</v>
      </c>
      <c r="F191" s="145">
        <f>40+1300</f>
        <v>1340</v>
      </c>
      <c r="G191" s="145">
        <f>40+1400</f>
        <v>1440</v>
      </c>
      <c r="H191" s="23"/>
      <c r="J191"/>
      <c r="K191"/>
    </row>
    <row r="192" spans="1:11" ht="21" customHeight="1">
      <c r="A192" s="33" t="s">
        <v>21</v>
      </c>
      <c r="B192" s="32"/>
      <c r="C192" s="117">
        <f>C194+C195+C196</f>
        <v>256</v>
      </c>
      <c r="D192" s="117">
        <f t="shared" ref="D192" si="106">D196+D194</f>
        <v>0</v>
      </c>
      <c r="E192" s="117">
        <f>E194+E195+E196</f>
        <v>202</v>
      </c>
      <c r="F192" s="117">
        <f t="shared" ref="F192:G192" si="107">F194+F195+F196</f>
        <v>100</v>
      </c>
      <c r="G192" s="117">
        <f t="shared" si="107"/>
        <v>0</v>
      </c>
      <c r="H192" s="14"/>
      <c r="J192"/>
      <c r="K192"/>
    </row>
    <row r="193" spans="1:11" ht="17.25" customHeight="1">
      <c r="A193" s="31" t="s">
        <v>101</v>
      </c>
      <c r="B193" s="32"/>
      <c r="C193" s="117">
        <f>C194+C195</f>
        <v>152</v>
      </c>
      <c r="D193" s="117">
        <f t="shared" ref="D193:G193" si="108">D194+D195</f>
        <v>0</v>
      </c>
      <c r="E193" s="117">
        <f t="shared" si="108"/>
        <v>152</v>
      </c>
      <c r="F193" s="106">
        <f t="shared" si="108"/>
        <v>0</v>
      </c>
      <c r="G193" s="106">
        <f t="shared" si="108"/>
        <v>0</v>
      </c>
      <c r="H193" s="14"/>
      <c r="J193"/>
      <c r="K193"/>
    </row>
    <row r="194" spans="1:11" ht="21" customHeight="1">
      <c r="A194" s="33" t="s">
        <v>84</v>
      </c>
      <c r="B194" s="32" t="s">
        <v>72</v>
      </c>
      <c r="C194" s="106">
        <v>90</v>
      </c>
      <c r="D194" s="153"/>
      <c r="E194" s="106">
        <v>90</v>
      </c>
      <c r="F194" s="106">
        <v>0</v>
      </c>
      <c r="G194" s="106">
        <v>0</v>
      </c>
      <c r="H194" s="14"/>
      <c r="J194"/>
      <c r="K194"/>
    </row>
    <row r="195" spans="1:11" ht="21" customHeight="1">
      <c r="A195" s="33" t="s">
        <v>78</v>
      </c>
      <c r="B195" s="32" t="s">
        <v>77</v>
      </c>
      <c r="C195" s="106">
        <v>62</v>
      </c>
      <c r="D195" s="153"/>
      <c r="E195" s="106">
        <v>62</v>
      </c>
      <c r="F195" s="106">
        <v>0</v>
      </c>
      <c r="G195" s="106">
        <v>0</v>
      </c>
      <c r="H195" s="14"/>
      <c r="J195"/>
      <c r="K195"/>
    </row>
    <row r="196" spans="1:11" ht="18.75" customHeight="1">
      <c r="A196" s="33" t="s">
        <v>22</v>
      </c>
      <c r="B196" s="32">
        <v>70</v>
      </c>
      <c r="C196" s="106">
        <f>4+100</f>
        <v>104</v>
      </c>
      <c r="D196" s="151"/>
      <c r="E196" s="106">
        <v>50</v>
      </c>
      <c r="F196" s="106">
        <v>100</v>
      </c>
      <c r="G196" s="106">
        <v>0</v>
      </c>
      <c r="H196" s="21"/>
      <c r="J196"/>
      <c r="K196"/>
    </row>
    <row r="197" spans="1:11" ht="21" customHeight="1">
      <c r="A197" s="72" t="s">
        <v>73</v>
      </c>
      <c r="B197" s="81" t="s">
        <v>27</v>
      </c>
      <c r="C197" s="118">
        <f>C198</f>
        <v>4105</v>
      </c>
      <c r="D197" s="118">
        <f t="shared" ref="D197:G197" si="109">D198</f>
        <v>0</v>
      </c>
      <c r="E197" s="118">
        <f t="shared" si="109"/>
        <v>4255</v>
      </c>
      <c r="F197" s="118">
        <f t="shared" si="109"/>
        <v>4360</v>
      </c>
      <c r="G197" s="118">
        <f t="shared" si="109"/>
        <v>4360</v>
      </c>
      <c r="H197" s="9"/>
      <c r="J197"/>
      <c r="K197"/>
    </row>
    <row r="198" spans="1:11" ht="21" customHeight="1">
      <c r="A198" s="71" t="s">
        <v>17</v>
      </c>
      <c r="B198" s="82"/>
      <c r="C198" s="122">
        <f>C199+C202</f>
        <v>4105</v>
      </c>
      <c r="D198" s="122">
        <f t="shared" ref="D198:G198" si="110">D199+D202</f>
        <v>0</v>
      </c>
      <c r="E198" s="122">
        <f t="shared" si="110"/>
        <v>4255</v>
      </c>
      <c r="F198" s="122">
        <f t="shared" si="110"/>
        <v>4360</v>
      </c>
      <c r="G198" s="122">
        <f t="shared" si="110"/>
        <v>4360</v>
      </c>
      <c r="H198" s="9"/>
      <c r="J198"/>
      <c r="K198"/>
    </row>
    <row r="199" spans="1:11" ht="21.75" customHeight="1">
      <c r="A199" s="43" t="s">
        <v>18</v>
      </c>
      <c r="B199" s="44"/>
      <c r="C199" s="119">
        <f>C200+C201</f>
        <v>4025</v>
      </c>
      <c r="D199" s="157">
        <f>D201</f>
        <v>0</v>
      </c>
      <c r="E199" s="119">
        <f>E200+E201</f>
        <v>4255</v>
      </c>
      <c r="F199" s="119">
        <f t="shared" ref="F199:G199" si="111">F200+F201</f>
        <v>4360</v>
      </c>
      <c r="G199" s="119">
        <f t="shared" si="111"/>
        <v>4360</v>
      </c>
      <c r="H199" s="9"/>
      <c r="J199"/>
      <c r="K199"/>
    </row>
    <row r="200" spans="1:11" ht="20.25" customHeight="1">
      <c r="A200" s="33" t="s">
        <v>19</v>
      </c>
      <c r="B200" s="32">
        <v>10</v>
      </c>
      <c r="C200" s="121">
        <v>1900</v>
      </c>
      <c r="D200" s="157"/>
      <c r="E200" s="121">
        <v>2000</v>
      </c>
      <c r="F200" s="121">
        <v>2050</v>
      </c>
      <c r="G200" s="121">
        <v>2050</v>
      </c>
      <c r="H200" s="9"/>
      <c r="J200"/>
      <c r="K200"/>
    </row>
    <row r="201" spans="1:11" ht="21" customHeight="1">
      <c r="A201" s="33" t="s">
        <v>20</v>
      </c>
      <c r="B201" s="32">
        <v>20</v>
      </c>
      <c r="C201" s="106">
        <f>325+1800</f>
        <v>2125</v>
      </c>
      <c r="D201" s="151"/>
      <c r="E201" s="143">
        <f>405+1850</f>
        <v>2255</v>
      </c>
      <c r="F201" s="143">
        <f>410+1900</f>
        <v>2310</v>
      </c>
      <c r="G201" s="143">
        <f>410+1900</f>
        <v>2310</v>
      </c>
      <c r="H201" s="24"/>
      <c r="J201"/>
      <c r="K201"/>
    </row>
    <row r="202" spans="1:11" ht="21" customHeight="1">
      <c r="A202" s="33" t="s">
        <v>21</v>
      </c>
      <c r="B202" s="32"/>
      <c r="C202" s="117">
        <f>C203</f>
        <v>80</v>
      </c>
      <c r="D202" s="117">
        <f t="shared" ref="D202:G202" si="112">D203</f>
        <v>0</v>
      </c>
      <c r="E202" s="117">
        <f t="shared" si="112"/>
        <v>0</v>
      </c>
      <c r="F202" s="117">
        <f t="shared" si="112"/>
        <v>0</v>
      </c>
      <c r="G202" s="117">
        <f t="shared" si="112"/>
        <v>0</v>
      </c>
      <c r="H202" s="24"/>
      <c r="J202"/>
      <c r="K202"/>
    </row>
    <row r="203" spans="1:11" ht="21" customHeight="1">
      <c r="A203" s="33" t="s">
        <v>22</v>
      </c>
      <c r="B203" s="32">
        <v>70</v>
      </c>
      <c r="C203" s="106">
        <v>80</v>
      </c>
      <c r="D203" s="151"/>
      <c r="E203" s="143">
        <v>0</v>
      </c>
      <c r="F203" s="143">
        <v>0</v>
      </c>
      <c r="G203" s="143">
        <v>0</v>
      </c>
      <c r="H203" s="24"/>
      <c r="J203"/>
      <c r="K203"/>
    </row>
    <row r="204" spans="1:11" ht="27" customHeight="1">
      <c r="A204" s="69" t="s">
        <v>40</v>
      </c>
      <c r="B204" s="81" t="s">
        <v>27</v>
      </c>
      <c r="C204" s="118">
        <f>C206+C209</f>
        <v>5865</v>
      </c>
      <c r="D204" s="118">
        <f>D206</f>
        <v>0</v>
      </c>
      <c r="E204" s="118">
        <f>E205</f>
        <v>5668</v>
      </c>
      <c r="F204" s="118">
        <f t="shared" ref="F204:G204" si="113">F205</f>
        <v>5871</v>
      </c>
      <c r="G204" s="118">
        <f t="shared" si="113"/>
        <v>6025</v>
      </c>
      <c r="H204" s="9"/>
      <c r="J204"/>
      <c r="K204"/>
    </row>
    <row r="205" spans="1:11" ht="24.75" customHeight="1">
      <c r="A205" s="71" t="s">
        <v>17</v>
      </c>
      <c r="B205" s="82"/>
      <c r="C205" s="122">
        <f>C206+C209</f>
        <v>5865</v>
      </c>
      <c r="D205" s="118"/>
      <c r="E205" s="122">
        <f>E206+E209</f>
        <v>5668</v>
      </c>
      <c r="F205" s="122">
        <f t="shared" ref="F205:G205" si="114">F206+F209</f>
        <v>5871</v>
      </c>
      <c r="G205" s="122">
        <f t="shared" si="114"/>
        <v>6025</v>
      </c>
      <c r="H205" s="9"/>
      <c r="J205"/>
      <c r="K205"/>
    </row>
    <row r="206" spans="1:11" ht="17.25" customHeight="1">
      <c r="A206" s="43" t="s">
        <v>18</v>
      </c>
      <c r="B206" s="44"/>
      <c r="C206" s="119">
        <f>C207+C208</f>
        <v>5715</v>
      </c>
      <c r="D206" s="157">
        <f t="shared" ref="D206" si="115">D208</f>
        <v>0</v>
      </c>
      <c r="E206" s="121">
        <f>E207+E208</f>
        <v>5468</v>
      </c>
      <c r="F206" s="121">
        <f t="shared" ref="F206:G206" si="116">F207+F208</f>
        <v>5621</v>
      </c>
      <c r="G206" s="121">
        <f t="shared" si="116"/>
        <v>5725</v>
      </c>
      <c r="H206" s="9"/>
      <c r="J206"/>
      <c r="K206"/>
    </row>
    <row r="207" spans="1:11" ht="17.25" customHeight="1">
      <c r="A207" s="33" t="s">
        <v>19</v>
      </c>
      <c r="B207" s="32">
        <v>10</v>
      </c>
      <c r="C207" s="121">
        <v>2600</v>
      </c>
      <c r="D207" s="157"/>
      <c r="E207" s="121">
        <v>2650</v>
      </c>
      <c r="F207" s="121">
        <v>2700</v>
      </c>
      <c r="G207" s="121">
        <v>2700</v>
      </c>
      <c r="H207" s="9"/>
      <c r="J207"/>
      <c r="K207"/>
    </row>
    <row r="208" spans="1:11" ht="17.25" customHeight="1">
      <c r="A208" s="33" t="s">
        <v>20</v>
      </c>
      <c r="B208" s="32">
        <v>20</v>
      </c>
      <c r="C208" s="106">
        <f>115+3000</f>
        <v>3115</v>
      </c>
      <c r="D208" s="151"/>
      <c r="E208" s="143">
        <f>118+2700</f>
        <v>2818</v>
      </c>
      <c r="F208" s="143">
        <f>121+2800</f>
        <v>2921</v>
      </c>
      <c r="G208" s="143">
        <f>125+2900</f>
        <v>3025</v>
      </c>
      <c r="H208" s="10"/>
      <c r="J208"/>
      <c r="K208"/>
    </row>
    <row r="209" spans="1:11" ht="17.25" customHeight="1">
      <c r="A209" s="33" t="s">
        <v>21</v>
      </c>
      <c r="B209" s="32"/>
      <c r="C209" s="117">
        <f>C210</f>
        <v>150</v>
      </c>
      <c r="D209" s="151"/>
      <c r="E209" s="143">
        <f>E210</f>
        <v>200</v>
      </c>
      <c r="F209" s="143">
        <f t="shared" ref="F209:G209" si="117">F210</f>
        <v>250</v>
      </c>
      <c r="G209" s="143">
        <f t="shared" si="117"/>
        <v>300</v>
      </c>
      <c r="H209" s="10"/>
      <c r="J209"/>
      <c r="K209"/>
    </row>
    <row r="210" spans="1:11" ht="17.25" customHeight="1">
      <c r="A210" s="33" t="s">
        <v>22</v>
      </c>
      <c r="B210" s="32">
        <v>70</v>
      </c>
      <c r="C210" s="106">
        <v>150</v>
      </c>
      <c r="D210" s="151"/>
      <c r="E210" s="143">
        <v>200</v>
      </c>
      <c r="F210" s="143">
        <v>250</v>
      </c>
      <c r="G210" s="143">
        <v>300</v>
      </c>
      <c r="H210" s="10"/>
      <c r="J210"/>
      <c r="K210"/>
    </row>
    <row r="211" spans="1:11" ht="27.75" customHeight="1">
      <c r="A211" s="69" t="s">
        <v>44</v>
      </c>
      <c r="B211" s="70">
        <v>67.099999999999994</v>
      </c>
      <c r="C211" s="118">
        <f>C213+C216</f>
        <v>6278</v>
      </c>
      <c r="D211" s="118">
        <f>D213</f>
        <v>0</v>
      </c>
      <c r="E211" s="118">
        <f>E212</f>
        <v>6150</v>
      </c>
      <c r="F211" s="118">
        <f t="shared" ref="F211:G211" si="118">F212</f>
        <v>6350</v>
      </c>
      <c r="G211" s="118">
        <f t="shared" si="118"/>
        <v>6500</v>
      </c>
      <c r="H211" s="9"/>
      <c r="J211"/>
      <c r="K211"/>
    </row>
    <row r="212" spans="1:11" ht="27" customHeight="1">
      <c r="A212" s="71" t="s">
        <v>17</v>
      </c>
      <c r="B212" s="83"/>
      <c r="C212" s="122">
        <f>C213+C216</f>
        <v>6278</v>
      </c>
      <c r="D212" s="118"/>
      <c r="E212" s="122">
        <f>E213+E216</f>
        <v>6150</v>
      </c>
      <c r="F212" s="122">
        <f t="shared" ref="F212:G212" si="119">F213+F216</f>
        <v>6350</v>
      </c>
      <c r="G212" s="122">
        <f t="shared" si="119"/>
        <v>6500</v>
      </c>
      <c r="H212" s="9"/>
      <c r="J212"/>
      <c r="K212"/>
    </row>
    <row r="213" spans="1:11" ht="21" customHeight="1">
      <c r="A213" s="43" t="s">
        <v>18</v>
      </c>
      <c r="B213" s="44"/>
      <c r="C213" s="119">
        <f>C214+C215</f>
        <v>5978</v>
      </c>
      <c r="D213" s="157">
        <f>D215</f>
        <v>0</v>
      </c>
      <c r="E213" s="121">
        <f>E214+E215</f>
        <v>5950</v>
      </c>
      <c r="F213" s="121">
        <f t="shared" ref="F213:G213" si="120">F214+F215</f>
        <v>6050</v>
      </c>
      <c r="G213" s="121">
        <f t="shared" si="120"/>
        <v>6100</v>
      </c>
      <c r="H213" s="9"/>
      <c r="J213"/>
      <c r="K213"/>
    </row>
    <row r="214" spans="1:11" ht="21" customHeight="1">
      <c r="A214" s="33" t="s">
        <v>19</v>
      </c>
      <c r="B214" s="32">
        <v>10</v>
      </c>
      <c r="C214" s="121">
        <v>3300</v>
      </c>
      <c r="D214" s="157"/>
      <c r="E214" s="121">
        <v>3350</v>
      </c>
      <c r="F214" s="121">
        <v>3400</v>
      </c>
      <c r="G214" s="121">
        <v>3400</v>
      </c>
      <c r="H214" s="9"/>
      <c r="J214"/>
      <c r="K214"/>
    </row>
    <row r="215" spans="1:11" ht="19.5" customHeight="1">
      <c r="A215" s="33" t="s">
        <v>20</v>
      </c>
      <c r="B215" s="32">
        <v>20</v>
      </c>
      <c r="C215" s="106">
        <f>378+2300</f>
        <v>2678</v>
      </c>
      <c r="D215" s="151"/>
      <c r="E215" s="143">
        <f>400+2200</f>
        <v>2600</v>
      </c>
      <c r="F215" s="143">
        <f>400+2250</f>
        <v>2650</v>
      </c>
      <c r="G215" s="143">
        <f>400+2300</f>
        <v>2700</v>
      </c>
      <c r="H215" s="10"/>
      <c r="J215"/>
      <c r="K215"/>
    </row>
    <row r="216" spans="1:11" ht="19.5" customHeight="1">
      <c r="A216" s="33" t="s">
        <v>21</v>
      </c>
      <c r="B216" s="32"/>
      <c r="C216" s="106">
        <f>C217</f>
        <v>300</v>
      </c>
      <c r="D216" s="151"/>
      <c r="E216" s="143">
        <f>E217</f>
        <v>200</v>
      </c>
      <c r="F216" s="143">
        <f t="shared" ref="F216:G216" si="121">F217</f>
        <v>300</v>
      </c>
      <c r="G216" s="143">
        <f t="shared" si="121"/>
        <v>400</v>
      </c>
      <c r="H216" s="10"/>
      <c r="J216"/>
      <c r="K216"/>
    </row>
    <row r="217" spans="1:11" ht="19.5" customHeight="1">
      <c r="A217" s="33" t="s">
        <v>22</v>
      </c>
      <c r="B217" s="32">
        <v>70</v>
      </c>
      <c r="C217" s="106">
        <v>300</v>
      </c>
      <c r="D217" s="151"/>
      <c r="E217" s="143">
        <v>200</v>
      </c>
      <c r="F217" s="143">
        <v>300</v>
      </c>
      <c r="G217" s="143">
        <v>400</v>
      </c>
      <c r="H217" s="10"/>
      <c r="J217"/>
      <c r="K217"/>
    </row>
    <row r="218" spans="1:11" s="5" customFormat="1" ht="28.5" customHeight="1">
      <c r="A218" s="77" t="s">
        <v>41</v>
      </c>
      <c r="B218" s="70">
        <v>67.099999999999994</v>
      </c>
      <c r="C218" s="123">
        <f t="shared" ref="C218:G218" si="122">C219</f>
        <v>1674</v>
      </c>
      <c r="D218" s="123">
        <f t="shared" si="122"/>
        <v>0</v>
      </c>
      <c r="E218" s="123">
        <f t="shared" si="122"/>
        <v>1859</v>
      </c>
      <c r="F218" s="123">
        <f t="shared" si="122"/>
        <v>1880</v>
      </c>
      <c r="G218" s="123">
        <f t="shared" si="122"/>
        <v>1961</v>
      </c>
      <c r="H218" s="9"/>
    </row>
    <row r="219" spans="1:11" s="5" customFormat="1" ht="24.75" customHeight="1">
      <c r="A219" s="84" t="s">
        <v>18</v>
      </c>
      <c r="B219" s="82"/>
      <c r="C219" s="122">
        <f>C220+C221</f>
        <v>1674</v>
      </c>
      <c r="D219" s="157">
        <f>D221</f>
        <v>0</v>
      </c>
      <c r="E219" s="122">
        <f>E220+E221</f>
        <v>1859</v>
      </c>
      <c r="F219" s="122">
        <f t="shared" ref="F219:G219" si="123">F220+F221</f>
        <v>1880</v>
      </c>
      <c r="G219" s="122">
        <f t="shared" si="123"/>
        <v>1961</v>
      </c>
      <c r="H219" s="9"/>
    </row>
    <row r="220" spans="1:11" s="5" customFormat="1" ht="18.75" customHeight="1">
      <c r="A220" s="33" t="s">
        <v>19</v>
      </c>
      <c r="B220" s="32">
        <v>10</v>
      </c>
      <c r="C220" s="124">
        <v>650</v>
      </c>
      <c r="D220" s="157"/>
      <c r="E220" s="124">
        <v>700</v>
      </c>
      <c r="F220" s="124">
        <v>720</v>
      </c>
      <c r="G220" s="124">
        <v>750</v>
      </c>
      <c r="H220" s="9"/>
    </row>
    <row r="221" spans="1:11" s="5" customFormat="1" ht="21" customHeight="1">
      <c r="A221" s="85" t="s">
        <v>20</v>
      </c>
      <c r="B221" s="82">
        <v>20</v>
      </c>
      <c r="C221" s="125">
        <f>424+600</f>
        <v>1024</v>
      </c>
      <c r="D221" s="151"/>
      <c r="E221" s="146">
        <f>509+650</f>
        <v>1159</v>
      </c>
      <c r="F221" s="146">
        <f>510+650</f>
        <v>1160</v>
      </c>
      <c r="G221" s="146">
        <f>511+700</f>
        <v>1211</v>
      </c>
      <c r="H221" s="10"/>
    </row>
    <row r="222" spans="1:11" ht="38.25" customHeight="1">
      <c r="A222" s="69" t="s">
        <v>42</v>
      </c>
      <c r="B222" s="70">
        <v>67.099999999999994</v>
      </c>
      <c r="C222" s="118">
        <f t="shared" ref="C222" si="124">C223</f>
        <v>2157</v>
      </c>
      <c r="D222" s="157">
        <f>D223</f>
        <v>0</v>
      </c>
      <c r="E222" s="118">
        <f t="shared" ref="E222:G222" si="125">E223</f>
        <v>2197</v>
      </c>
      <c r="F222" s="118">
        <f t="shared" si="125"/>
        <v>2247</v>
      </c>
      <c r="G222" s="118">
        <f t="shared" si="125"/>
        <v>2297</v>
      </c>
      <c r="H222" s="9"/>
      <c r="J222"/>
      <c r="K222"/>
    </row>
    <row r="223" spans="1:11" ht="31.5" customHeight="1">
      <c r="A223" s="71" t="s">
        <v>17</v>
      </c>
      <c r="B223" s="44"/>
      <c r="C223" s="119">
        <f>C224+C227</f>
        <v>2157</v>
      </c>
      <c r="D223" s="119">
        <f t="shared" ref="D223:G223" si="126">D224+D227</f>
        <v>0</v>
      </c>
      <c r="E223" s="119">
        <f t="shared" si="126"/>
        <v>2197</v>
      </c>
      <c r="F223" s="119">
        <f t="shared" si="126"/>
        <v>2247</v>
      </c>
      <c r="G223" s="119">
        <f t="shared" si="126"/>
        <v>2297</v>
      </c>
      <c r="H223" s="9"/>
      <c r="J223"/>
      <c r="K223"/>
    </row>
    <row r="224" spans="1:11" ht="18.75" customHeight="1">
      <c r="A224" s="43" t="s">
        <v>18</v>
      </c>
      <c r="B224" s="44"/>
      <c r="C224" s="119">
        <f>C225+C226</f>
        <v>2147</v>
      </c>
      <c r="D224" s="157">
        <f>D226</f>
        <v>0</v>
      </c>
      <c r="E224" s="119">
        <f>E225+E226</f>
        <v>2197</v>
      </c>
      <c r="F224" s="119">
        <f t="shared" ref="F224:G224" si="127">F225+F226</f>
        <v>2247</v>
      </c>
      <c r="G224" s="119">
        <f t="shared" si="127"/>
        <v>2297</v>
      </c>
      <c r="H224" s="9"/>
      <c r="J224"/>
      <c r="K224"/>
    </row>
    <row r="225" spans="1:11" ht="18.75" customHeight="1">
      <c r="A225" s="33" t="s">
        <v>19</v>
      </c>
      <c r="B225" s="32">
        <v>10</v>
      </c>
      <c r="C225" s="121">
        <v>1050</v>
      </c>
      <c r="D225" s="157"/>
      <c r="E225" s="121">
        <v>1100</v>
      </c>
      <c r="F225" s="121">
        <v>1150</v>
      </c>
      <c r="G225" s="121">
        <v>1200</v>
      </c>
      <c r="H225" s="9"/>
      <c r="J225"/>
      <c r="K225"/>
    </row>
    <row r="226" spans="1:11" ht="21" customHeight="1">
      <c r="A226" s="33" t="s">
        <v>20</v>
      </c>
      <c r="B226" s="32">
        <v>20</v>
      </c>
      <c r="C226" s="106">
        <f>97+1000</f>
        <v>1097</v>
      </c>
      <c r="D226" s="151"/>
      <c r="E226" s="143">
        <f>97+1000</f>
        <v>1097</v>
      </c>
      <c r="F226" s="143">
        <f>97+1000</f>
        <v>1097</v>
      </c>
      <c r="G226" s="143">
        <f>97+1000</f>
        <v>1097</v>
      </c>
      <c r="H226" s="10"/>
      <c r="J226"/>
      <c r="K226"/>
    </row>
    <row r="227" spans="1:11" ht="21" customHeight="1">
      <c r="A227" s="33" t="s">
        <v>21</v>
      </c>
      <c r="B227" s="32"/>
      <c r="C227" s="106">
        <f t="shared" ref="C227:G227" si="128">C228</f>
        <v>10</v>
      </c>
      <c r="D227" s="106">
        <f t="shared" si="128"/>
        <v>0</v>
      </c>
      <c r="E227" s="106">
        <f t="shared" si="128"/>
        <v>0</v>
      </c>
      <c r="F227" s="106">
        <f t="shared" si="128"/>
        <v>0</v>
      </c>
      <c r="G227" s="106">
        <f t="shared" si="128"/>
        <v>0</v>
      </c>
      <c r="H227" s="15"/>
      <c r="J227"/>
      <c r="K227"/>
    </row>
    <row r="228" spans="1:11" ht="21" customHeight="1">
      <c r="A228" s="33" t="s">
        <v>22</v>
      </c>
      <c r="B228" s="32">
        <v>70</v>
      </c>
      <c r="C228" s="106">
        <v>10</v>
      </c>
      <c r="D228" s="151"/>
      <c r="E228" s="143">
        <v>0</v>
      </c>
      <c r="F228" s="143">
        <v>0</v>
      </c>
      <c r="G228" s="143">
        <v>0</v>
      </c>
      <c r="H228" s="10"/>
      <c r="J228"/>
      <c r="K228"/>
    </row>
    <row r="229" spans="1:11" ht="21.75" customHeight="1">
      <c r="A229" s="69" t="s">
        <v>43</v>
      </c>
      <c r="B229" s="70">
        <v>67.099999999999994</v>
      </c>
      <c r="C229" s="118">
        <f t="shared" ref="C229:G229" si="129">C230</f>
        <v>1218</v>
      </c>
      <c r="D229" s="118">
        <f t="shared" si="129"/>
        <v>0</v>
      </c>
      <c r="E229" s="118">
        <f t="shared" si="129"/>
        <v>1268</v>
      </c>
      <c r="F229" s="118">
        <f t="shared" si="129"/>
        <v>1270</v>
      </c>
      <c r="G229" s="118">
        <f t="shared" si="129"/>
        <v>1275</v>
      </c>
      <c r="H229" s="9"/>
      <c r="J229"/>
      <c r="K229"/>
    </row>
    <row r="230" spans="1:11" ht="23.25" customHeight="1">
      <c r="A230" s="43" t="s">
        <v>18</v>
      </c>
      <c r="B230" s="44"/>
      <c r="C230" s="119">
        <f>C231+C232</f>
        <v>1218</v>
      </c>
      <c r="D230" s="157">
        <f>D232</f>
        <v>0</v>
      </c>
      <c r="E230" s="119">
        <f>E231+E232</f>
        <v>1268</v>
      </c>
      <c r="F230" s="119">
        <f t="shared" ref="F230:G230" si="130">F231+F232</f>
        <v>1270</v>
      </c>
      <c r="G230" s="119">
        <f t="shared" si="130"/>
        <v>1275</v>
      </c>
      <c r="H230" s="9"/>
      <c r="J230"/>
      <c r="K230"/>
    </row>
    <row r="231" spans="1:11" ht="18.75" customHeight="1">
      <c r="A231" s="33" t="s">
        <v>19</v>
      </c>
      <c r="B231" s="32">
        <v>10</v>
      </c>
      <c r="C231" s="121">
        <f>200</f>
        <v>200</v>
      </c>
      <c r="D231" s="157"/>
      <c r="E231" s="121">
        <v>200</v>
      </c>
      <c r="F231" s="121">
        <v>200</v>
      </c>
      <c r="G231" s="121">
        <v>200</v>
      </c>
      <c r="H231" s="9"/>
      <c r="J231"/>
      <c r="K231"/>
    </row>
    <row r="232" spans="1:11" ht="19.5" customHeight="1">
      <c r="A232" s="33" t="s">
        <v>20</v>
      </c>
      <c r="B232" s="32">
        <v>20</v>
      </c>
      <c r="C232" s="106">
        <f>118+900</f>
        <v>1018</v>
      </c>
      <c r="D232" s="151"/>
      <c r="E232" s="143">
        <f>118+950</f>
        <v>1068</v>
      </c>
      <c r="F232" s="143">
        <f>120+950</f>
        <v>1070</v>
      </c>
      <c r="G232" s="143">
        <f>125+950</f>
        <v>1075</v>
      </c>
      <c r="H232" s="10"/>
      <c r="J232"/>
      <c r="K232"/>
    </row>
    <row r="233" spans="1:11" ht="21" customHeight="1">
      <c r="A233" s="86" t="s">
        <v>28</v>
      </c>
      <c r="B233" s="87">
        <v>68.099999999999994</v>
      </c>
      <c r="C233" s="115">
        <f t="shared" ref="C233:G235" si="131">C240+C261</f>
        <v>10713</v>
      </c>
      <c r="D233" s="161">
        <f t="shared" si="131"/>
        <v>0</v>
      </c>
      <c r="E233" s="162">
        <f t="shared" si="131"/>
        <v>10207</v>
      </c>
      <c r="F233" s="162">
        <f t="shared" si="131"/>
        <v>9895</v>
      </c>
      <c r="G233" s="162">
        <f t="shared" si="131"/>
        <v>9940</v>
      </c>
      <c r="H233" s="17"/>
      <c r="J233"/>
      <c r="K233"/>
    </row>
    <row r="234" spans="1:11" ht="27.75" customHeight="1">
      <c r="A234" s="64" t="s">
        <v>17</v>
      </c>
      <c r="B234" s="62"/>
      <c r="C234" s="115">
        <f t="shared" si="131"/>
        <v>10713</v>
      </c>
      <c r="D234" s="108">
        <f t="shared" si="131"/>
        <v>0</v>
      </c>
      <c r="E234" s="162">
        <f t="shared" si="131"/>
        <v>10207</v>
      </c>
      <c r="F234" s="162">
        <f t="shared" si="131"/>
        <v>9895</v>
      </c>
      <c r="G234" s="162">
        <f t="shared" si="131"/>
        <v>9940</v>
      </c>
      <c r="H234" s="17"/>
      <c r="J234"/>
      <c r="K234"/>
    </row>
    <row r="235" spans="1:11" ht="20.25" customHeight="1">
      <c r="A235" s="65" t="s">
        <v>18</v>
      </c>
      <c r="B235" s="62"/>
      <c r="C235" s="115">
        <f t="shared" si="131"/>
        <v>9325</v>
      </c>
      <c r="D235" s="108">
        <f t="shared" si="131"/>
        <v>0</v>
      </c>
      <c r="E235" s="162">
        <f t="shared" si="131"/>
        <v>9862</v>
      </c>
      <c r="F235" s="162">
        <f t="shared" si="131"/>
        <v>9895</v>
      </c>
      <c r="G235" s="162">
        <f t="shared" si="131"/>
        <v>9940</v>
      </c>
      <c r="H235" s="17"/>
      <c r="J235"/>
      <c r="K235"/>
    </row>
    <row r="236" spans="1:11" ht="20.25" customHeight="1">
      <c r="A236" s="88" t="s">
        <v>19</v>
      </c>
      <c r="B236" s="89">
        <v>10</v>
      </c>
      <c r="C236" s="115">
        <f>C264</f>
        <v>4050</v>
      </c>
      <c r="D236" s="108"/>
      <c r="E236" s="162">
        <f>E264</f>
        <v>4350</v>
      </c>
      <c r="F236" s="162">
        <f t="shared" ref="F236:G236" si="132">F264</f>
        <v>4350</v>
      </c>
      <c r="G236" s="162">
        <f t="shared" si="132"/>
        <v>4350</v>
      </c>
      <c r="H236" s="17"/>
      <c r="J236"/>
      <c r="K236"/>
    </row>
    <row r="237" spans="1:11" ht="18" customHeight="1">
      <c r="A237" s="66" t="s">
        <v>20</v>
      </c>
      <c r="B237" s="62">
        <v>20</v>
      </c>
      <c r="C237" s="115">
        <f t="shared" ref="C237:G239" si="133">C243+C265</f>
        <v>5275</v>
      </c>
      <c r="D237" s="108">
        <f t="shared" si="133"/>
        <v>0</v>
      </c>
      <c r="E237" s="162">
        <f t="shared" si="133"/>
        <v>5512</v>
      </c>
      <c r="F237" s="162">
        <f t="shared" si="133"/>
        <v>5545</v>
      </c>
      <c r="G237" s="162">
        <f t="shared" si="133"/>
        <v>5590</v>
      </c>
      <c r="H237" s="17"/>
      <c r="J237"/>
      <c r="K237"/>
    </row>
    <row r="238" spans="1:11" ht="19.5" customHeight="1">
      <c r="A238" s="66" t="s">
        <v>21</v>
      </c>
      <c r="B238" s="62"/>
      <c r="C238" s="115">
        <f t="shared" si="133"/>
        <v>1388</v>
      </c>
      <c r="D238" s="108">
        <f t="shared" si="133"/>
        <v>0</v>
      </c>
      <c r="E238" s="162">
        <f t="shared" si="133"/>
        <v>345</v>
      </c>
      <c r="F238" s="162">
        <f t="shared" si="133"/>
        <v>0</v>
      </c>
      <c r="G238" s="162">
        <f t="shared" si="133"/>
        <v>0</v>
      </c>
      <c r="H238" s="17"/>
      <c r="J238"/>
      <c r="K238"/>
    </row>
    <row r="239" spans="1:11" ht="20.25" customHeight="1">
      <c r="A239" s="66" t="s">
        <v>22</v>
      </c>
      <c r="B239" s="62">
        <v>70</v>
      </c>
      <c r="C239" s="115">
        <f t="shared" si="133"/>
        <v>1388</v>
      </c>
      <c r="D239" s="108">
        <f t="shared" si="133"/>
        <v>0</v>
      </c>
      <c r="E239" s="162">
        <f t="shared" si="133"/>
        <v>345</v>
      </c>
      <c r="F239" s="162">
        <f t="shared" si="133"/>
        <v>0</v>
      </c>
      <c r="G239" s="162">
        <f t="shared" si="133"/>
        <v>0</v>
      </c>
      <c r="H239" s="17"/>
      <c r="J239"/>
      <c r="K239"/>
    </row>
    <row r="240" spans="1:11" ht="19.5" customHeight="1">
      <c r="A240" s="78" t="s">
        <v>79</v>
      </c>
      <c r="B240" s="74">
        <v>68.099999999999994</v>
      </c>
      <c r="C240" s="108">
        <f t="shared" ref="C240:G241" si="134">C246+C252+C255+C258</f>
        <v>1945</v>
      </c>
      <c r="D240" s="116">
        <f t="shared" si="134"/>
        <v>0</v>
      </c>
      <c r="E240" s="108">
        <f t="shared" si="134"/>
        <v>1662</v>
      </c>
      <c r="F240" s="108">
        <f t="shared" si="134"/>
        <v>1685</v>
      </c>
      <c r="G240" s="108">
        <f t="shared" si="134"/>
        <v>1710</v>
      </c>
      <c r="H240" s="14"/>
      <c r="J240"/>
      <c r="K240"/>
    </row>
    <row r="241" spans="1:11" ht="20.25" customHeight="1">
      <c r="A241" s="50" t="s">
        <v>17</v>
      </c>
      <c r="B241" s="49"/>
      <c r="C241" s="108">
        <f t="shared" si="134"/>
        <v>1945</v>
      </c>
      <c r="D241" s="117">
        <f t="shared" si="134"/>
        <v>0</v>
      </c>
      <c r="E241" s="108">
        <f t="shared" si="134"/>
        <v>1662</v>
      </c>
      <c r="F241" s="108">
        <f t="shared" si="134"/>
        <v>1685</v>
      </c>
      <c r="G241" s="108">
        <f t="shared" si="134"/>
        <v>1710</v>
      </c>
      <c r="H241" s="14"/>
      <c r="J241"/>
      <c r="K241"/>
    </row>
    <row r="242" spans="1:11" ht="22.5" customHeight="1">
      <c r="A242" s="48" t="s">
        <v>18</v>
      </c>
      <c r="B242" s="49"/>
      <c r="C242" s="108">
        <f t="shared" ref="C242:G243" si="135">C248+C253+C256+C259</f>
        <v>1881</v>
      </c>
      <c r="D242" s="117">
        <f t="shared" si="135"/>
        <v>0</v>
      </c>
      <c r="E242" s="108">
        <f t="shared" si="135"/>
        <v>1662</v>
      </c>
      <c r="F242" s="108">
        <f t="shared" si="135"/>
        <v>1685</v>
      </c>
      <c r="G242" s="108">
        <f t="shared" si="135"/>
        <v>1710</v>
      </c>
      <c r="H242" s="14"/>
      <c r="J242"/>
      <c r="K242"/>
    </row>
    <row r="243" spans="1:11" ht="22.5" customHeight="1">
      <c r="A243" s="68" t="s">
        <v>20</v>
      </c>
      <c r="B243" s="49">
        <v>20</v>
      </c>
      <c r="C243" s="108">
        <f t="shared" si="135"/>
        <v>1881</v>
      </c>
      <c r="D243" s="117">
        <f t="shared" si="135"/>
        <v>0</v>
      </c>
      <c r="E243" s="108">
        <f t="shared" si="135"/>
        <v>1662</v>
      </c>
      <c r="F243" s="108">
        <f t="shared" si="135"/>
        <v>1685</v>
      </c>
      <c r="G243" s="108">
        <f t="shared" si="135"/>
        <v>1710</v>
      </c>
      <c r="H243" s="14"/>
      <c r="J243"/>
      <c r="K243"/>
    </row>
    <row r="244" spans="1:11" ht="21" customHeight="1">
      <c r="A244" s="68" t="s">
        <v>21</v>
      </c>
      <c r="B244" s="49"/>
      <c r="C244" s="108">
        <f t="shared" ref="C244:G244" si="136">C245</f>
        <v>64</v>
      </c>
      <c r="D244" s="117">
        <f t="shared" si="136"/>
        <v>0</v>
      </c>
      <c r="E244" s="108">
        <f t="shared" si="136"/>
        <v>0</v>
      </c>
      <c r="F244" s="108">
        <f t="shared" si="136"/>
        <v>0</v>
      </c>
      <c r="G244" s="108">
        <f t="shared" si="136"/>
        <v>0</v>
      </c>
      <c r="H244" s="14"/>
      <c r="J244"/>
      <c r="K244"/>
    </row>
    <row r="245" spans="1:11" ht="19.5" customHeight="1">
      <c r="A245" s="68" t="s">
        <v>22</v>
      </c>
      <c r="B245" s="49">
        <v>70</v>
      </c>
      <c r="C245" s="108">
        <f t="shared" ref="C245:G245" si="137">C251</f>
        <v>64</v>
      </c>
      <c r="D245" s="117">
        <f t="shared" si="137"/>
        <v>0</v>
      </c>
      <c r="E245" s="108">
        <f t="shared" si="137"/>
        <v>0</v>
      </c>
      <c r="F245" s="108">
        <f t="shared" si="137"/>
        <v>0</v>
      </c>
      <c r="G245" s="108">
        <f t="shared" si="137"/>
        <v>0</v>
      </c>
      <c r="H245" s="14"/>
      <c r="J245"/>
      <c r="K245"/>
    </row>
    <row r="246" spans="1:11" ht="26.25" customHeight="1">
      <c r="A246" s="69" t="s">
        <v>96</v>
      </c>
      <c r="B246" s="90">
        <v>68.099999999999994</v>
      </c>
      <c r="C246" s="116">
        <f t="shared" ref="C246:G246" si="138">C247</f>
        <v>1047</v>
      </c>
      <c r="D246" s="153">
        <f t="shared" si="138"/>
        <v>0</v>
      </c>
      <c r="E246" s="116">
        <f t="shared" si="138"/>
        <v>950</v>
      </c>
      <c r="F246" s="116">
        <f t="shared" si="138"/>
        <v>950</v>
      </c>
      <c r="G246" s="116">
        <f t="shared" si="138"/>
        <v>950</v>
      </c>
      <c r="H246" s="14"/>
      <c r="J246"/>
      <c r="K246"/>
    </row>
    <row r="247" spans="1:11" ht="34.5" customHeight="1">
      <c r="A247" s="71" t="s">
        <v>17</v>
      </c>
      <c r="B247" s="44"/>
      <c r="C247" s="113">
        <f t="shared" ref="C247:G247" si="139">C248+C250</f>
        <v>1047</v>
      </c>
      <c r="D247" s="113">
        <f t="shared" si="139"/>
        <v>0</v>
      </c>
      <c r="E247" s="113">
        <f t="shared" si="139"/>
        <v>950</v>
      </c>
      <c r="F247" s="113">
        <f t="shared" si="139"/>
        <v>950</v>
      </c>
      <c r="G247" s="113">
        <f t="shared" si="139"/>
        <v>950</v>
      </c>
      <c r="H247" s="25"/>
      <c r="J247"/>
      <c r="K247"/>
    </row>
    <row r="248" spans="1:11" ht="22.5" customHeight="1">
      <c r="A248" s="43" t="s">
        <v>18</v>
      </c>
      <c r="B248" s="44"/>
      <c r="C248" s="113">
        <f t="shared" ref="C248:G248" si="140">C249</f>
        <v>983</v>
      </c>
      <c r="D248" s="153">
        <f t="shared" si="140"/>
        <v>0</v>
      </c>
      <c r="E248" s="113">
        <f t="shared" si="140"/>
        <v>950</v>
      </c>
      <c r="F248" s="113">
        <f t="shared" si="140"/>
        <v>950</v>
      </c>
      <c r="G248" s="113">
        <f t="shared" si="140"/>
        <v>950</v>
      </c>
      <c r="H248" s="14"/>
      <c r="I248" s="1"/>
      <c r="J248"/>
    </row>
    <row r="249" spans="1:11" ht="20.25" customHeight="1">
      <c r="A249" s="33" t="s">
        <v>20</v>
      </c>
      <c r="B249" s="32">
        <v>20</v>
      </c>
      <c r="C249" s="106">
        <v>983</v>
      </c>
      <c r="D249" s="151"/>
      <c r="E249" s="147">
        <v>950</v>
      </c>
      <c r="F249" s="147">
        <v>950</v>
      </c>
      <c r="G249" s="147">
        <v>950</v>
      </c>
      <c r="H249" s="10"/>
      <c r="J249"/>
    </row>
    <row r="250" spans="1:11" ht="19.5" customHeight="1">
      <c r="A250" s="33" t="s">
        <v>21</v>
      </c>
      <c r="B250" s="32"/>
      <c r="C250" s="117">
        <f t="shared" ref="C250:G250" si="141">C251</f>
        <v>64</v>
      </c>
      <c r="D250" s="153">
        <f t="shared" si="141"/>
        <v>0</v>
      </c>
      <c r="E250" s="117">
        <f t="shared" si="141"/>
        <v>0</v>
      </c>
      <c r="F250" s="117">
        <f t="shared" si="141"/>
        <v>0</v>
      </c>
      <c r="G250" s="117">
        <f t="shared" si="141"/>
        <v>0</v>
      </c>
      <c r="H250" s="14"/>
      <c r="J250"/>
      <c r="K250"/>
    </row>
    <row r="251" spans="1:11" ht="18" customHeight="1">
      <c r="A251" s="33" t="s">
        <v>22</v>
      </c>
      <c r="B251" s="32">
        <v>70</v>
      </c>
      <c r="C251" s="106">
        <v>64</v>
      </c>
      <c r="D251" s="151"/>
      <c r="E251" s="120">
        <v>0</v>
      </c>
      <c r="F251" s="120">
        <v>0</v>
      </c>
      <c r="G251" s="120">
        <v>0</v>
      </c>
      <c r="H251" s="21"/>
    </row>
    <row r="252" spans="1:11" ht="24" customHeight="1">
      <c r="A252" s="69" t="s">
        <v>92</v>
      </c>
      <c r="B252" s="90">
        <v>68.099999999999994</v>
      </c>
      <c r="C252" s="116">
        <f t="shared" ref="C252:G253" si="142">C253</f>
        <v>463</v>
      </c>
      <c r="D252" s="116">
        <f t="shared" si="142"/>
        <v>0</v>
      </c>
      <c r="E252" s="116">
        <f t="shared" si="142"/>
        <v>380</v>
      </c>
      <c r="F252" s="116">
        <f t="shared" si="142"/>
        <v>380</v>
      </c>
      <c r="G252" s="116">
        <f t="shared" si="142"/>
        <v>380</v>
      </c>
      <c r="H252" s="25"/>
    </row>
    <row r="253" spans="1:11" ht="18" customHeight="1">
      <c r="A253" s="43" t="s">
        <v>18</v>
      </c>
      <c r="B253" s="44"/>
      <c r="C253" s="113">
        <f t="shared" si="142"/>
        <v>463</v>
      </c>
      <c r="D253" s="153">
        <f t="shared" si="142"/>
        <v>0</v>
      </c>
      <c r="E253" s="113">
        <f t="shared" si="142"/>
        <v>380</v>
      </c>
      <c r="F253" s="113">
        <f t="shared" si="142"/>
        <v>380</v>
      </c>
      <c r="G253" s="113">
        <f t="shared" si="142"/>
        <v>380</v>
      </c>
      <c r="H253" s="14"/>
    </row>
    <row r="254" spans="1:11" ht="21.75" customHeight="1">
      <c r="A254" s="33" t="s">
        <v>20</v>
      </c>
      <c r="B254" s="32">
        <v>20</v>
      </c>
      <c r="C254" s="125">
        <v>463</v>
      </c>
      <c r="D254" s="151"/>
      <c r="E254" s="147">
        <v>380</v>
      </c>
      <c r="F254" s="147">
        <v>380</v>
      </c>
      <c r="G254" s="147">
        <v>380</v>
      </c>
      <c r="H254" s="10"/>
      <c r="I254" s="1"/>
    </row>
    <row r="255" spans="1:11" ht="30.75" customHeight="1">
      <c r="A255" s="69" t="s">
        <v>93</v>
      </c>
      <c r="B255" s="90">
        <v>68.099999999999994</v>
      </c>
      <c r="C255" s="116">
        <f t="shared" ref="C255:G256" si="143">C256</f>
        <v>255</v>
      </c>
      <c r="D255" s="116">
        <f t="shared" si="143"/>
        <v>0</v>
      </c>
      <c r="E255" s="116">
        <f t="shared" si="143"/>
        <v>132</v>
      </c>
      <c r="F255" s="116">
        <f t="shared" si="143"/>
        <v>135</v>
      </c>
      <c r="G255" s="116">
        <f t="shared" si="143"/>
        <v>140</v>
      </c>
      <c r="H255" s="25"/>
      <c r="K255" s="2"/>
    </row>
    <row r="256" spans="1:11" ht="18" customHeight="1">
      <c r="A256" s="43" t="s">
        <v>18</v>
      </c>
      <c r="B256" s="44"/>
      <c r="C256" s="113">
        <f t="shared" si="143"/>
        <v>255</v>
      </c>
      <c r="D256" s="153">
        <f>D257</f>
        <v>0</v>
      </c>
      <c r="E256" s="113">
        <f t="shared" si="143"/>
        <v>132</v>
      </c>
      <c r="F256" s="113">
        <f t="shared" si="143"/>
        <v>135</v>
      </c>
      <c r="G256" s="113">
        <f t="shared" si="143"/>
        <v>140</v>
      </c>
      <c r="H256" s="14"/>
      <c r="I256" s="1"/>
    </row>
    <row r="257" spans="1:11" ht="21.75" customHeight="1">
      <c r="A257" s="33" t="s">
        <v>20</v>
      </c>
      <c r="B257" s="32">
        <v>20</v>
      </c>
      <c r="C257" s="106">
        <f>130+125</f>
        <v>255</v>
      </c>
      <c r="D257" s="151"/>
      <c r="E257" s="147">
        <v>132</v>
      </c>
      <c r="F257" s="147">
        <v>135</v>
      </c>
      <c r="G257" s="147">
        <v>140</v>
      </c>
      <c r="H257" s="10"/>
      <c r="K257" s="3"/>
    </row>
    <row r="258" spans="1:11" ht="26.25" customHeight="1">
      <c r="A258" s="77" t="s">
        <v>36</v>
      </c>
      <c r="B258" s="90">
        <v>68.099999999999994</v>
      </c>
      <c r="C258" s="127">
        <f t="shared" ref="C258:G259" si="144">C259</f>
        <v>180</v>
      </c>
      <c r="D258" s="127">
        <f t="shared" si="144"/>
        <v>0</v>
      </c>
      <c r="E258" s="127">
        <f t="shared" si="144"/>
        <v>200</v>
      </c>
      <c r="F258" s="127">
        <f t="shared" si="144"/>
        <v>220</v>
      </c>
      <c r="G258" s="127">
        <f t="shared" si="144"/>
        <v>240</v>
      </c>
      <c r="H258" s="25"/>
      <c r="K258"/>
    </row>
    <row r="259" spans="1:11" ht="26.25" customHeight="1">
      <c r="A259" s="43" t="s">
        <v>18</v>
      </c>
      <c r="B259" s="44"/>
      <c r="C259" s="117">
        <f t="shared" si="144"/>
        <v>180</v>
      </c>
      <c r="D259" s="153">
        <f t="shared" si="144"/>
        <v>0</v>
      </c>
      <c r="E259" s="117">
        <f t="shared" si="144"/>
        <v>200</v>
      </c>
      <c r="F259" s="117">
        <f t="shared" si="144"/>
        <v>220</v>
      </c>
      <c r="G259" s="117">
        <f t="shared" si="144"/>
        <v>240</v>
      </c>
      <c r="H259" s="14"/>
      <c r="K259"/>
    </row>
    <row r="260" spans="1:11" ht="22.5" customHeight="1">
      <c r="A260" s="33" t="s">
        <v>20</v>
      </c>
      <c r="B260" s="32">
        <v>20</v>
      </c>
      <c r="C260" s="125">
        <v>180</v>
      </c>
      <c r="D260" s="151"/>
      <c r="E260" s="147">
        <v>200</v>
      </c>
      <c r="F260" s="147">
        <v>220</v>
      </c>
      <c r="G260" s="147">
        <v>240</v>
      </c>
      <c r="H260" s="10"/>
      <c r="K260"/>
    </row>
    <row r="261" spans="1:11" ht="26.25" customHeight="1">
      <c r="A261" s="91" t="s">
        <v>29</v>
      </c>
      <c r="B261" s="92">
        <v>68.099999999999994</v>
      </c>
      <c r="C261" s="126">
        <f>C268+C272+C279+C286+C290</f>
        <v>8768</v>
      </c>
      <c r="D261" s="163">
        <f>D268+D272+D279+D286+D290</f>
        <v>0</v>
      </c>
      <c r="E261" s="163">
        <f>E268+E272+E279+E286+E290</f>
        <v>8545</v>
      </c>
      <c r="F261" s="163">
        <f>F268+F272+F279+F286+F290</f>
        <v>8210</v>
      </c>
      <c r="G261" s="163">
        <f>G268+G272+G279+G286+G290</f>
        <v>8230</v>
      </c>
      <c r="H261" s="9"/>
      <c r="K261"/>
    </row>
    <row r="262" spans="1:11" ht="30" customHeight="1">
      <c r="A262" s="93" t="s">
        <v>17</v>
      </c>
      <c r="B262" s="94"/>
      <c r="C262" s="126">
        <f>C269+C273+C280+C287+C291</f>
        <v>8768</v>
      </c>
      <c r="D262" s="163">
        <f>D269+D274+D280+D287+D292</f>
        <v>0</v>
      </c>
      <c r="E262" s="163">
        <f>E269+E273+E280+E287+E291</f>
        <v>8545</v>
      </c>
      <c r="F262" s="163">
        <f t="shared" ref="F262:G262" si="145">F269+F273+F280+F287+F291</f>
        <v>8210</v>
      </c>
      <c r="G262" s="163">
        <f t="shared" si="145"/>
        <v>8230</v>
      </c>
      <c r="H262" s="9"/>
      <c r="K262"/>
    </row>
    <row r="263" spans="1:11" ht="21" customHeight="1">
      <c r="A263" s="95" t="s">
        <v>18</v>
      </c>
      <c r="B263" s="94"/>
      <c r="C263" s="126">
        <f>C269+C274++C281+C287+C292</f>
        <v>7444</v>
      </c>
      <c r="D263" s="163">
        <f>D269+D274+D281+D287+D292</f>
        <v>0</v>
      </c>
      <c r="E263" s="163">
        <f>E269+E274+E281+E287+E292</f>
        <v>8200</v>
      </c>
      <c r="F263" s="163">
        <f>F269+F274+F281+F287+F292</f>
        <v>8210</v>
      </c>
      <c r="G263" s="163">
        <f>G269+G274+G281+G287+G292</f>
        <v>8230</v>
      </c>
      <c r="H263" s="9"/>
      <c r="K263"/>
    </row>
    <row r="264" spans="1:11" ht="21" customHeight="1">
      <c r="A264" s="96" t="s">
        <v>19</v>
      </c>
      <c r="B264" s="94">
        <v>10</v>
      </c>
      <c r="C264" s="126">
        <f>C270+C275+C282+C288+C293</f>
        <v>4050</v>
      </c>
      <c r="D264" s="163"/>
      <c r="E264" s="163">
        <f>E270+E275+E282+E293+E288</f>
        <v>4350</v>
      </c>
      <c r="F264" s="163">
        <f t="shared" ref="F264:G264" si="146">F270+F275+F282+F293+F288</f>
        <v>4350</v>
      </c>
      <c r="G264" s="163">
        <f t="shared" si="146"/>
        <v>4350</v>
      </c>
      <c r="H264" s="9"/>
      <c r="K264"/>
    </row>
    <row r="265" spans="1:11" ht="17.25" customHeight="1">
      <c r="A265" s="96" t="s">
        <v>20</v>
      </c>
      <c r="B265" s="94">
        <v>20</v>
      </c>
      <c r="C265" s="126">
        <f>C271+C276+C283+C289+C294</f>
        <v>3394</v>
      </c>
      <c r="D265" s="163">
        <f>D271+D276+D283+D289+D294</f>
        <v>0</v>
      </c>
      <c r="E265" s="163">
        <f>E271+E276+E283+E289+E294</f>
        <v>3850</v>
      </c>
      <c r="F265" s="163">
        <f t="shared" ref="F265:G265" si="147">F271+F276+F283+F289+F294</f>
        <v>3860</v>
      </c>
      <c r="G265" s="163">
        <f t="shared" si="147"/>
        <v>3880</v>
      </c>
      <c r="H265" s="9"/>
      <c r="K265"/>
    </row>
    <row r="266" spans="1:11" ht="17.25" customHeight="1">
      <c r="A266" s="96" t="s">
        <v>21</v>
      </c>
      <c r="B266" s="94"/>
      <c r="C266" s="126">
        <f>C277+C284+C295</f>
        <v>1324</v>
      </c>
      <c r="D266" s="163">
        <f t="shared" ref="D266:D267" si="148">D284</f>
        <v>0</v>
      </c>
      <c r="E266" s="163">
        <f>E277+E295</f>
        <v>345</v>
      </c>
      <c r="F266" s="163">
        <f t="shared" ref="F266:G266" si="149">F277+F295</f>
        <v>0</v>
      </c>
      <c r="G266" s="163">
        <f t="shared" si="149"/>
        <v>0</v>
      </c>
      <c r="H266" s="9"/>
      <c r="K266"/>
    </row>
    <row r="267" spans="1:11" ht="18.75" customHeight="1">
      <c r="A267" s="96" t="s">
        <v>22</v>
      </c>
      <c r="B267" s="94">
        <v>70</v>
      </c>
      <c r="C267" s="126">
        <f>C278+C285+C296</f>
        <v>1324</v>
      </c>
      <c r="D267" s="163">
        <f t="shared" si="148"/>
        <v>0</v>
      </c>
      <c r="E267" s="163">
        <f>E278+E296</f>
        <v>345</v>
      </c>
      <c r="F267" s="163">
        <f t="shared" ref="F267:G267" si="150">F278+F296</f>
        <v>0</v>
      </c>
      <c r="G267" s="163">
        <f t="shared" si="150"/>
        <v>0</v>
      </c>
      <c r="H267" s="9"/>
      <c r="K267"/>
    </row>
    <row r="268" spans="1:11" ht="30.75" customHeight="1">
      <c r="A268" s="69" t="s">
        <v>87</v>
      </c>
      <c r="B268" s="90">
        <v>68.099999999999994</v>
      </c>
      <c r="C268" s="118">
        <f t="shared" ref="C268:G268" si="151">C269</f>
        <v>1214</v>
      </c>
      <c r="D268" s="118">
        <f t="shared" si="151"/>
        <v>0</v>
      </c>
      <c r="E268" s="118">
        <f t="shared" si="151"/>
        <v>1220</v>
      </c>
      <c r="F268" s="118">
        <f t="shared" si="151"/>
        <v>1230</v>
      </c>
      <c r="G268" s="118">
        <f t="shared" si="151"/>
        <v>1250</v>
      </c>
      <c r="H268" s="9"/>
      <c r="K268"/>
    </row>
    <row r="269" spans="1:11" ht="17.25" customHeight="1">
      <c r="A269" s="43" t="s">
        <v>18</v>
      </c>
      <c r="B269" s="44"/>
      <c r="C269" s="119">
        <f>C270+C271</f>
        <v>1214</v>
      </c>
      <c r="D269" s="157">
        <f>D271</f>
        <v>0</v>
      </c>
      <c r="E269" s="121">
        <f>E270+E271</f>
        <v>1220</v>
      </c>
      <c r="F269" s="121">
        <f t="shared" ref="F269:G269" si="152">F270+F271</f>
        <v>1230</v>
      </c>
      <c r="G269" s="121">
        <f t="shared" si="152"/>
        <v>1250</v>
      </c>
      <c r="H269" s="9"/>
      <c r="J269"/>
      <c r="K269"/>
    </row>
    <row r="270" spans="1:11" ht="17.25" customHeight="1">
      <c r="A270" s="33" t="s">
        <v>19</v>
      </c>
      <c r="B270" s="32">
        <v>10</v>
      </c>
      <c r="C270" s="121">
        <v>700</v>
      </c>
      <c r="D270" s="157"/>
      <c r="E270" s="121">
        <v>700</v>
      </c>
      <c r="F270" s="121">
        <v>700</v>
      </c>
      <c r="G270" s="121">
        <v>700</v>
      </c>
      <c r="H270" s="9"/>
      <c r="J270"/>
      <c r="K270"/>
    </row>
    <row r="271" spans="1:11" ht="18.75" customHeight="1">
      <c r="A271" s="33" t="s">
        <v>20</v>
      </c>
      <c r="B271" s="32">
        <v>20</v>
      </c>
      <c r="C271" s="106">
        <f>264+250</f>
        <v>514</v>
      </c>
      <c r="D271" s="151"/>
      <c r="E271" s="106">
        <f>270+250</f>
        <v>520</v>
      </c>
      <c r="F271" s="143">
        <f>280+250</f>
        <v>530</v>
      </c>
      <c r="G271" s="143">
        <f>300+250</f>
        <v>550</v>
      </c>
      <c r="H271" s="10"/>
      <c r="J271"/>
      <c r="K271"/>
    </row>
    <row r="272" spans="1:11" ht="31.5" customHeight="1">
      <c r="A272" s="69" t="s">
        <v>88</v>
      </c>
      <c r="B272" s="90">
        <v>68.099999999999994</v>
      </c>
      <c r="C272" s="118">
        <f>C274+C277</f>
        <v>1740</v>
      </c>
      <c r="D272" s="118">
        <f>D276</f>
        <v>0</v>
      </c>
      <c r="E272" s="118">
        <f>E273</f>
        <v>1615</v>
      </c>
      <c r="F272" s="118">
        <f t="shared" ref="F272:G272" si="153">F273</f>
        <v>1340</v>
      </c>
      <c r="G272" s="118">
        <f t="shared" si="153"/>
        <v>1340</v>
      </c>
      <c r="H272" s="9"/>
      <c r="J272"/>
      <c r="K272"/>
    </row>
    <row r="273" spans="1:11" ht="30" customHeight="1">
      <c r="A273" s="71" t="s">
        <v>17</v>
      </c>
      <c r="B273" s="82"/>
      <c r="C273" s="122">
        <f>C274+C277</f>
        <v>1740</v>
      </c>
      <c r="D273" s="118"/>
      <c r="E273" s="122">
        <f>E274+E277</f>
        <v>1615</v>
      </c>
      <c r="F273" s="122">
        <f t="shared" ref="F273:G273" si="154">F274+F277</f>
        <v>1340</v>
      </c>
      <c r="G273" s="122">
        <f t="shared" si="154"/>
        <v>1340</v>
      </c>
      <c r="H273" s="9"/>
      <c r="J273"/>
      <c r="K273"/>
    </row>
    <row r="274" spans="1:11" ht="21.75" customHeight="1">
      <c r="A274" s="43" t="s">
        <v>18</v>
      </c>
      <c r="B274" s="44"/>
      <c r="C274" s="119">
        <f>C275+C276</f>
        <v>1340</v>
      </c>
      <c r="D274" s="157">
        <f>D276</f>
        <v>0</v>
      </c>
      <c r="E274" s="121">
        <f>E275+E276</f>
        <v>1340</v>
      </c>
      <c r="F274" s="121">
        <f t="shared" ref="F274:G274" si="155">F275+F276</f>
        <v>1340</v>
      </c>
      <c r="G274" s="121">
        <f t="shared" si="155"/>
        <v>1340</v>
      </c>
      <c r="H274" s="9"/>
      <c r="J274"/>
      <c r="K274"/>
    </row>
    <row r="275" spans="1:11" ht="21.75" customHeight="1">
      <c r="A275" s="33" t="s">
        <v>19</v>
      </c>
      <c r="B275" s="32">
        <v>10</v>
      </c>
      <c r="C275" s="121">
        <v>700</v>
      </c>
      <c r="D275" s="157"/>
      <c r="E275" s="121">
        <v>700</v>
      </c>
      <c r="F275" s="121">
        <v>700</v>
      </c>
      <c r="G275" s="121">
        <v>700</v>
      </c>
      <c r="H275" s="9"/>
      <c r="J275"/>
      <c r="K275"/>
    </row>
    <row r="276" spans="1:11" ht="21" customHeight="1">
      <c r="A276" s="33" t="s">
        <v>20</v>
      </c>
      <c r="B276" s="32">
        <v>20</v>
      </c>
      <c r="C276" s="106">
        <f>160+480</f>
        <v>640</v>
      </c>
      <c r="D276" s="151"/>
      <c r="E276" s="143">
        <f>160+480</f>
        <v>640</v>
      </c>
      <c r="F276" s="143">
        <f>160+480</f>
        <v>640</v>
      </c>
      <c r="G276" s="143">
        <f>160+480</f>
        <v>640</v>
      </c>
      <c r="H276" s="10"/>
      <c r="J276"/>
      <c r="K276"/>
    </row>
    <row r="277" spans="1:11" ht="21" customHeight="1">
      <c r="A277" s="33" t="s">
        <v>21</v>
      </c>
      <c r="B277" s="32"/>
      <c r="C277" s="106">
        <f>C278</f>
        <v>400</v>
      </c>
      <c r="D277" s="151"/>
      <c r="E277" s="143">
        <f>E278</f>
        <v>275</v>
      </c>
      <c r="F277" s="143">
        <f t="shared" ref="F277:G277" si="156">F278</f>
        <v>0</v>
      </c>
      <c r="G277" s="143">
        <f t="shared" si="156"/>
        <v>0</v>
      </c>
      <c r="H277" s="10"/>
      <c r="J277"/>
      <c r="K277"/>
    </row>
    <row r="278" spans="1:11" ht="21" customHeight="1">
      <c r="A278" s="33" t="s">
        <v>22</v>
      </c>
      <c r="B278" s="32">
        <v>70</v>
      </c>
      <c r="C278" s="106">
        <v>400</v>
      </c>
      <c r="D278" s="151"/>
      <c r="E278" s="143">
        <v>275</v>
      </c>
      <c r="F278" s="143">
        <v>0</v>
      </c>
      <c r="G278" s="143">
        <v>0</v>
      </c>
      <c r="H278" s="10"/>
      <c r="J278"/>
      <c r="K278"/>
    </row>
    <row r="279" spans="1:11" ht="23.25" customHeight="1">
      <c r="A279" s="69" t="s">
        <v>89</v>
      </c>
      <c r="B279" s="90">
        <v>68.099999999999994</v>
      </c>
      <c r="C279" s="116">
        <f>C280</f>
        <v>3814</v>
      </c>
      <c r="D279" s="153">
        <f t="shared" ref="D279" si="157">D283+D285</f>
        <v>0</v>
      </c>
      <c r="E279" s="116">
        <f>E280</f>
        <v>3250</v>
      </c>
      <c r="F279" s="116">
        <f t="shared" ref="F279:G279" si="158">F280</f>
        <v>3250</v>
      </c>
      <c r="G279" s="116">
        <f t="shared" si="158"/>
        <v>3250</v>
      </c>
      <c r="H279" s="14"/>
      <c r="J279"/>
      <c r="K279"/>
    </row>
    <row r="280" spans="1:11" ht="32.25" customHeight="1">
      <c r="A280" s="71" t="s">
        <v>17</v>
      </c>
      <c r="B280" s="44"/>
      <c r="C280" s="113">
        <f>C281+C284</f>
        <v>3814</v>
      </c>
      <c r="D280" s="153">
        <f t="shared" ref="D280" si="159">D281+D284</f>
        <v>0</v>
      </c>
      <c r="E280" s="113">
        <f>E281+E284</f>
        <v>3250</v>
      </c>
      <c r="F280" s="113">
        <f>F281+F284</f>
        <v>3250</v>
      </c>
      <c r="G280" s="113">
        <f>G281+G284</f>
        <v>3250</v>
      </c>
      <c r="H280" s="14"/>
      <c r="J280"/>
      <c r="K280"/>
    </row>
    <row r="281" spans="1:11" ht="18" customHeight="1">
      <c r="A281" s="43" t="s">
        <v>18</v>
      </c>
      <c r="B281" s="44"/>
      <c r="C281" s="113">
        <f>C282+C283</f>
        <v>3190</v>
      </c>
      <c r="D281" s="153">
        <f t="shared" ref="D281" si="160">D283</f>
        <v>0</v>
      </c>
      <c r="E281" s="120">
        <f>E282+E283</f>
        <v>3250</v>
      </c>
      <c r="F281" s="120">
        <f t="shared" ref="F281:G281" si="161">F282+F283</f>
        <v>3250</v>
      </c>
      <c r="G281" s="120">
        <f t="shared" si="161"/>
        <v>3250</v>
      </c>
      <c r="H281" s="14"/>
      <c r="J281"/>
      <c r="K281"/>
    </row>
    <row r="282" spans="1:11" ht="18" customHeight="1">
      <c r="A282" s="33" t="s">
        <v>19</v>
      </c>
      <c r="B282" s="32">
        <v>10</v>
      </c>
      <c r="C282" s="120">
        <v>1750</v>
      </c>
      <c r="D282" s="153"/>
      <c r="E282" s="120">
        <v>1750</v>
      </c>
      <c r="F282" s="120">
        <v>1750</v>
      </c>
      <c r="G282" s="120">
        <v>1750</v>
      </c>
      <c r="H282" s="14"/>
      <c r="J282"/>
      <c r="K282"/>
    </row>
    <row r="283" spans="1:11" ht="18.75" customHeight="1">
      <c r="A283" s="33" t="s">
        <v>20</v>
      </c>
      <c r="B283" s="32">
        <v>20</v>
      </c>
      <c r="C283" s="125">
        <f>740+700</f>
        <v>1440</v>
      </c>
      <c r="D283" s="151"/>
      <c r="E283" s="143">
        <f>800+700</f>
        <v>1500</v>
      </c>
      <c r="F283" s="143">
        <f>800+700</f>
        <v>1500</v>
      </c>
      <c r="G283" s="143">
        <f>800+700</f>
        <v>1500</v>
      </c>
      <c r="H283" s="10"/>
      <c r="J283"/>
      <c r="K283"/>
    </row>
    <row r="284" spans="1:11" ht="15.75" customHeight="1">
      <c r="A284" s="33" t="s">
        <v>21</v>
      </c>
      <c r="B284" s="32"/>
      <c r="C284" s="106">
        <f t="shared" ref="C284:G284" si="162">C285</f>
        <v>624</v>
      </c>
      <c r="D284" s="153">
        <f t="shared" si="162"/>
        <v>0</v>
      </c>
      <c r="E284" s="106">
        <f t="shared" si="162"/>
        <v>0</v>
      </c>
      <c r="F284" s="106">
        <f t="shared" si="162"/>
        <v>0</v>
      </c>
      <c r="G284" s="106">
        <f t="shared" si="162"/>
        <v>0</v>
      </c>
      <c r="H284" s="14"/>
      <c r="J284"/>
      <c r="K284"/>
    </row>
    <row r="285" spans="1:11" ht="18" customHeight="1">
      <c r="A285" s="33" t="s">
        <v>22</v>
      </c>
      <c r="B285" s="32">
        <v>70</v>
      </c>
      <c r="C285" s="106">
        <f>40+584</f>
        <v>624</v>
      </c>
      <c r="D285" s="151"/>
      <c r="E285" s="143">
        <v>0</v>
      </c>
      <c r="F285" s="143">
        <v>0</v>
      </c>
      <c r="G285" s="143">
        <v>0</v>
      </c>
      <c r="H285" s="10"/>
      <c r="J285"/>
      <c r="K285"/>
    </row>
    <row r="286" spans="1:11" ht="32.25" customHeight="1">
      <c r="A286" s="77" t="s">
        <v>90</v>
      </c>
      <c r="B286" s="90">
        <v>68.099999999999994</v>
      </c>
      <c r="C286" s="127">
        <f t="shared" ref="C286:G286" si="163">C287</f>
        <v>550</v>
      </c>
      <c r="D286" s="127">
        <f t="shared" si="163"/>
        <v>0</v>
      </c>
      <c r="E286" s="127">
        <f t="shared" si="163"/>
        <v>1100</v>
      </c>
      <c r="F286" s="127">
        <f t="shared" si="163"/>
        <v>1100</v>
      </c>
      <c r="G286" s="127">
        <f t="shared" si="163"/>
        <v>1100</v>
      </c>
      <c r="H286" s="14"/>
      <c r="J286"/>
      <c r="K286"/>
    </row>
    <row r="287" spans="1:11" ht="25.5" customHeight="1">
      <c r="A287" s="43" t="s">
        <v>18</v>
      </c>
      <c r="B287" s="44"/>
      <c r="C287" s="106">
        <f>C288+C289</f>
        <v>550</v>
      </c>
      <c r="D287" s="106">
        <f t="shared" ref="D287" si="164">D289</f>
        <v>0</v>
      </c>
      <c r="E287" s="106">
        <f>E288+E289</f>
        <v>1100</v>
      </c>
      <c r="F287" s="106">
        <f t="shared" ref="F287:G287" si="165">F288+F289</f>
        <v>1100</v>
      </c>
      <c r="G287" s="106">
        <f t="shared" si="165"/>
        <v>1100</v>
      </c>
      <c r="H287" s="15"/>
      <c r="J287"/>
      <c r="K287"/>
    </row>
    <row r="288" spans="1:11" ht="22.5" customHeight="1">
      <c r="A288" s="33" t="s">
        <v>19</v>
      </c>
      <c r="B288" s="32">
        <v>10</v>
      </c>
      <c r="C288" s="106">
        <v>300</v>
      </c>
      <c r="D288" s="106"/>
      <c r="E288" s="106">
        <v>500</v>
      </c>
      <c r="F288" s="106">
        <v>500</v>
      </c>
      <c r="G288" s="106">
        <v>500</v>
      </c>
      <c r="H288" s="15"/>
      <c r="J288"/>
      <c r="K288"/>
    </row>
    <row r="289" spans="1:11" ht="26.25" customHeight="1">
      <c r="A289" s="33" t="s">
        <v>20</v>
      </c>
      <c r="B289" s="32">
        <v>20</v>
      </c>
      <c r="C289" s="106">
        <f>250+0</f>
        <v>250</v>
      </c>
      <c r="D289" s="151"/>
      <c r="E289" s="143">
        <f>200+400</f>
        <v>600</v>
      </c>
      <c r="F289" s="143">
        <f>200+400</f>
        <v>600</v>
      </c>
      <c r="G289" s="143">
        <f>200+400</f>
        <v>600</v>
      </c>
      <c r="H289" s="10"/>
      <c r="J289"/>
      <c r="K289"/>
    </row>
    <row r="290" spans="1:11" ht="26.25" customHeight="1">
      <c r="A290" s="77" t="s">
        <v>91</v>
      </c>
      <c r="B290" s="90">
        <v>68.099999999999994</v>
      </c>
      <c r="C290" s="127">
        <f>C291</f>
        <v>1450</v>
      </c>
      <c r="D290" s="127">
        <f t="shared" ref="D290" si="166">D292</f>
        <v>0</v>
      </c>
      <c r="E290" s="127">
        <f>E291</f>
        <v>1360</v>
      </c>
      <c r="F290" s="127">
        <f t="shared" ref="F290:G290" si="167">F291</f>
        <v>1290</v>
      </c>
      <c r="G290" s="127">
        <f t="shared" si="167"/>
        <v>1290</v>
      </c>
      <c r="H290" s="14"/>
      <c r="J290"/>
      <c r="K290"/>
    </row>
    <row r="291" spans="1:11" ht="27" customHeight="1">
      <c r="A291" s="71" t="s">
        <v>17</v>
      </c>
      <c r="B291" s="83"/>
      <c r="C291" s="128">
        <f>C292+C295</f>
        <v>1450</v>
      </c>
      <c r="D291" s="127"/>
      <c r="E291" s="128">
        <f>E292+E295</f>
        <v>1360</v>
      </c>
      <c r="F291" s="128">
        <f t="shared" ref="F291:G291" si="168">F292+F295</f>
        <v>1290</v>
      </c>
      <c r="G291" s="128">
        <f t="shared" si="168"/>
        <v>1290</v>
      </c>
      <c r="H291" s="14"/>
      <c r="J291"/>
      <c r="K291"/>
    </row>
    <row r="292" spans="1:11" ht="18" customHeight="1">
      <c r="A292" s="43" t="s">
        <v>18</v>
      </c>
      <c r="B292" s="44"/>
      <c r="C292" s="106">
        <f>C293+C294</f>
        <v>1150</v>
      </c>
      <c r="D292" s="106">
        <f t="shared" ref="D292" si="169">D294</f>
        <v>0</v>
      </c>
      <c r="E292" s="106">
        <f>E293+E294</f>
        <v>1290</v>
      </c>
      <c r="F292" s="106">
        <f t="shared" ref="F292:G292" si="170">F293+F294</f>
        <v>1290</v>
      </c>
      <c r="G292" s="106">
        <f t="shared" si="170"/>
        <v>1290</v>
      </c>
      <c r="H292" s="15"/>
      <c r="J292"/>
      <c r="K292"/>
    </row>
    <row r="293" spans="1:11" ht="18" customHeight="1">
      <c r="A293" s="33" t="s">
        <v>19</v>
      </c>
      <c r="B293" s="32">
        <v>10</v>
      </c>
      <c r="C293" s="106">
        <v>600</v>
      </c>
      <c r="D293" s="106"/>
      <c r="E293" s="106">
        <v>700</v>
      </c>
      <c r="F293" s="106">
        <v>700</v>
      </c>
      <c r="G293" s="106">
        <v>700</v>
      </c>
      <c r="H293" s="15"/>
      <c r="J293"/>
      <c r="K293"/>
    </row>
    <row r="294" spans="1:11" ht="18" customHeight="1">
      <c r="A294" s="33" t="s">
        <v>20</v>
      </c>
      <c r="B294" s="32">
        <v>20</v>
      </c>
      <c r="C294" s="106">
        <f>200+350</f>
        <v>550</v>
      </c>
      <c r="D294" s="151"/>
      <c r="E294" s="143">
        <f>240+350</f>
        <v>590</v>
      </c>
      <c r="F294" s="143">
        <f>240+350</f>
        <v>590</v>
      </c>
      <c r="G294" s="143">
        <f>240+350</f>
        <v>590</v>
      </c>
      <c r="H294" s="10"/>
      <c r="J294"/>
      <c r="K294"/>
    </row>
    <row r="295" spans="1:11" ht="18" customHeight="1">
      <c r="A295" s="33" t="s">
        <v>21</v>
      </c>
      <c r="B295" s="32"/>
      <c r="C295" s="106">
        <f>C296</f>
        <v>300</v>
      </c>
      <c r="D295" s="151"/>
      <c r="E295" s="143">
        <f>E296</f>
        <v>70</v>
      </c>
      <c r="F295" s="143">
        <f t="shared" ref="F295:G295" si="171">F296</f>
        <v>0</v>
      </c>
      <c r="G295" s="143">
        <f t="shared" si="171"/>
        <v>0</v>
      </c>
      <c r="H295" s="10"/>
      <c r="J295"/>
      <c r="K295"/>
    </row>
    <row r="296" spans="1:11" ht="18" customHeight="1">
      <c r="A296" s="33" t="s">
        <v>22</v>
      </c>
      <c r="B296" s="32">
        <v>70</v>
      </c>
      <c r="C296" s="106">
        <v>300</v>
      </c>
      <c r="D296" s="151"/>
      <c r="E296" s="143">
        <v>70</v>
      </c>
      <c r="F296" s="143">
        <v>0</v>
      </c>
      <c r="G296" s="143">
        <v>0</v>
      </c>
      <c r="H296" s="10"/>
      <c r="J296"/>
      <c r="K296"/>
    </row>
    <row r="297" spans="1:11" ht="24.75" customHeight="1">
      <c r="A297" s="54" t="s">
        <v>30</v>
      </c>
      <c r="B297" s="97">
        <v>83.1</v>
      </c>
      <c r="C297" s="110">
        <f t="shared" ref="C297:G299" si="172">C298</f>
        <v>1030</v>
      </c>
      <c r="D297" s="164">
        <f t="shared" si="172"/>
        <v>0</v>
      </c>
      <c r="E297" s="110">
        <f t="shared" si="172"/>
        <v>1030</v>
      </c>
      <c r="F297" s="110">
        <f t="shared" si="172"/>
        <v>1030</v>
      </c>
      <c r="G297" s="110">
        <f t="shared" si="172"/>
        <v>1030</v>
      </c>
      <c r="H297" s="19"/>
      <c r="J297"/>
      <c r="K297"/>
    </row>
    <row r="298" spans="1:11" ht="20.25" customHeight="1">
      <c r="A298" s="49" t="s">
        <v>80</v>
      </c>
      <c r="B298" s="49" t="s">
        <v>86</v>
      </c>
      <c r="C298" s="108">
        <f t="shared" si="172"/>
        <v>1030</v>
      </c>
      <c r="D298" s="161">
        <f t="shared" si="172"/>
        <v>0</v>
      </c>
      <c r="E298" s="108">
        <f t="shared" si="172"/>
        <v>1030</v>
      </c>
      <c r="F298" s="108">
        <f t="shared" si="172"/>
        <v>1030</v>
      </c>
      <c r="G298" s="108">
        <f t="shared" si="172"/>
        <v>1030</v>
      </c>
      <c r="H298" s="17"/>
      <c r="J298"/>
      <c r="K298"/>
    </row>
    <row r="299" spans="1:11" ht="24.75" customHeight="1">
      <c r="A299" s="50" t="s">
        <v>17</v>
      </c>
      <c r="B299" s="49"/>
      <c r="C299" s="108">
        <f t="shared" si="172"/>
        <v>1030</v>
      </c>
      <c r="D299" s="161">
        <f t="shared" si="172"/>
        <v>0</v>
      </c>
      <c r="E299" s="108">
        <f t="shared" si="172"/>
        <v>1030</v>
      </c>
      <c r="F299" s="108">
        <f t="shared" si="172"/>
        <v>1030</v>
      </c>
      <c r="G299" s="108">
        <f t="shared" si="172"/>
        <v>1030</v>
      </c>
      <c r="H299" s="17"/>
      <c r="J299"/>
      <c r="K299"/>
    </row>
    <row r="300" spans="1:11" ht="21.75" customHeight="1">
      <c r="A300" s="48" t="s">
        <v>18</v>
      </c>
      <c r="B300" s="49"/>
      <c r="C300" s="108">
        <f t="shared" ref="C300:G300" si="173">C301+C302</f>
        <v>1030</v>
      </c>
      <c r="D300" s="161">
        <f t="shared" si="173"/>
        <v>0</v>
      </c>
      <c r="E300" s="108">
        <f t="shared" si="173"/>
        <v>1030</v>
      </c>
      <c r="F300" s="108">
        <f t="shared" si="173"/>
        <v>1030</v>
      </c>
      <c r="G300" s="108">
        <f t="shared" si="173"/>
        <v>1030</v>
      </c>
      <c r="H300" s="17"/>
      <c r="J300"/>
      <c r="K300"/>
    </row>
    <row r="301" spans="1:11" ht="19.5" customHeight="1">
      <c r="A301" s="68" t="s">
        <v>19</v>
      </c>
      <c r="B301" s="49">
        <v>10</v>
      </c>
      <c r="C301" s="108">
        <f>50+850</f>
        <v>900</v>
      </c>
      <c r="D301" s="161"/>
      <c r="E301" s="108">
        <f>50+850</f>
        <v>900</v>
      </c>
      <c r="F301" s="108">
        <f>50+850</f>
        <v>900</v>
      </c>
      <c r="G301" s="108">
        <f>50+850</f>
        <v>900</v>
      </c>
      <c r="H301" s="26"/>
      <c r="J301"/>
      <c r="K301"/>
    </row>
    <row r="302" spans="1:11" ht="22.5" customHeight="1">
      <c r="A302" s="68" t="s">
        <v>20</v>
      </c>
      <c r="B302" s="49">
        <v>20</v>
      </c>
      <c r="C302" s="108">
        <f>80+50</f>
        <v>130</v>
      </c>
      <c r="D302" s="161"/>
      <c r="E302" s="108">
        <f>80+50</f>
        <v>130</v>
      </c>
      <c r="F302" s="108">
        <f>80+50</f>
        <v>130</v>
      </c>
      <c r="G302" s="108">
        <f>80+50</f>
        <v>130</v>
      </c>
      <c r="H302" s="26"/>
      <c r="J302"/>
      <c r="K302"/>
    </row>
    <row r="303" spans="1:11" ht="39" customHeight="1">
      <c r="A303" s="98" t="s">
        <v>31</v>
      </c>
      <c r="B303" s="54" t="s">
        <v>32</v>
      </c>
      <c r="C303" s="110">
        <f t="shared" ref="C303:G303" si="174">C304</f>
        <v>3884</v>
      </c>
      <c r="D303" s="110">
        <f t="shared" si="174"/>
        <v>0</v>
      </c>
      <c r="E303" s="110">
        <f t="shared" si="174"/>
        <v>3850</v>
      </c>
      <c r="F303" s="110">
        <f t="shared" si="174"/>
        <v>3970</v>
      </c>
      <c r="G303" s="110">
        <f t="shared" si="174"/>
        <v>4100</v>
      </c>
      <c r="H303" s="19"/>
      <c r="J303"/>
      <c r="K303"/>
    </row>
    <row r="304" spans="1:11" ht="21.75" customHeight="1">
      <c r="A304" s="48" t="s">
        <v>18</v>
      </c>
      <c r="B304" s="49"/>
      <c r="C304" s="108">
        <f t="shared" ref="C304:G304" si="175">C305+C306</f>
        <v>3884</v>
      </c>
      <c r="D304" s="108">
        <f t="shared" si="175"/>
        <v>0</v>
      </c>
      <c r="E304" s="108">
        <f t="shared" si="175"/>
        <v>3850</v>
      </c>
      <c r="F304" s="108">
        <f t="shared" si="175"/>
        <v>3970</v>
      </c>
      <c r="G304" s="108">
        <f t="shared" si="175"/>
        <v>4100</v>
      </c>
      <c r="H304" s="17"/>
      <c r="I304" s="1"/>
      <c r="J304"/>
    </row>
    <row r="305" spans="1:11" ht="21.75" customHeight="1">
      <c r="A305" s="68" t="s">
        <v>19</v>
      </c>
      <c r="B305" s="49">
        <v>10</v>
      </c>
      <c r="C305" s="108">
        <v>2884</v>
      </c>
      <c r="D305" s="161"/>
      <c r="E305" s="108">
        <v>3000</v>
      </c>
      <c r="F305" s="108">
        <v>3100</v>
      </c>
      <c r="G305" s="108">
        <v>3200</v>
      </c>
      <c r="H305" s="26"/>
      <c r="J305"/>
      <c r="K305"/>
    </row>
    <row r="306" spans="1:11" ht="19.5" customHeight="1">
      <c r="A306" s="68" t="s">
        <v>20</v>
      </c>
      <c r="B306" s="49">
        <v>20</v>
      </c>
      <c r="C306" s="108">
        <v>1000</v>
      </c>
      <c r="D306" s="161"/>
      <c r="E306" s="108">
        <v>850</v>
      </c>
      <c r="F306" s="108">
        <v>870</v>
      </c>
      <c r="G306" s="108">
        <v>900</v>
      </c>
      <c r="H306" s="26"/>
      <c r="J306"/>
      <c r="K306"/>
    </row>
    <row r="307" spans="1:11" ht="19.5" customHeight="1">
      <c r="A307" s="99" t="s">
        <v>81</v>
      </c>
      <c r="B307" s="100"/>
      <c r="C307" s="165">
        <f>C33-C54</f>
        <v>-5235.9699999999721</v>
      </c>
      <c r="D307" s="165">
        <f>D33-D54</f>
        <v>0</v>
      </c>
      <c r="E307" s="165">
        <f>E33-E54</f>
        <v>0</v>
      </c>
      <c r="F307" s="165">
        <f>F33-F54</f>
        <v>0</v>
      </c>
      <c r="G307" s="165">
        <f>G33-G54</f>
        <v>0</v>
      </c>
      <c r="H307" s="27"/>
      <c r="J307"/>
      <c r="K307"/>
    </row>
    <row r="308" spans="1:11" ht="18.75" customHeight="1">
      <c r="A308" s="99" t="s">
        <v>82</v>
      </c>
      <c r="B308" s="100"/>
      <c r="C308" s="165">
        <f>C47-C58</f>
        <v>-1186</v>
      </c>
      <c r="D308" s="165">
        <f>D47-D58</f>
        <v>0</v>
      </c>
      <c r="E308" s="165">
        <f>E47-E58</f>
        <v>0</v>
      </c>
      <c r="F308" s="165">
        <f>F47-F58</f>
        <v>0</v>
      </c>
      <c r="G308" s="165">
        <f>G47-G58</f>
        <v>0</v>
      </c>
      <c r="H308" s="27"/>
      <c r="J308"/>
      <c r="K308"/>
    </row>
    <row r="309" spans="1:11" ht="17.25" customHeight="1">
      <c r="A309" s="99" t="s">
        <v>83</v>
      </c>
      <c r="B309" s="33"/>
      <c r="C309" s="165">
        <f>C15-C52</f>
        <v>-6421.9699999999721</v>
      </c>
      <c r="D309" s="166">
        <f>D15-D52</f>
        <v>0</v>
      </c>
      <c r="E309" s="166">
        <f>E15-E52</f>
        <v>0</v>
      </c>
      <c r="F309" s="166">
        <f>F15-F52</f>
        <v>0</v>
      </c>
      <c r="G309" s="166">
        <f>G15-G52</f>
        <v>0</v>
      </c>
      <c r="H309" s="28"/>
      <c r="J309"/>
      <c r="K309"/>
    </row>
    <row r="310" spans="1:11" ht="17.25" customHeight="1">
      <c r="A310" s="101"/>
      <c r="B310" s="102"/>
      <c r="C310" s="103"/>
      <c r="D310" s="138"/>
      <c r="E310" s="138"/>
      <c r="F310" s="138"/>
      <c r="G310" s="138"/>
      <c r="H310" s="28"/>
      <c r="J310"/>
      <c r="K310"/>
    </row>
    <row r="311" spans="1:11" ht="17.25" customHeight="1">
      <c r="A311" s="101"/>
      <c r="B311" s="102"/>
      <c r="C311" s="103"/>
      <c r="D311" s="138"/>
      <c r="E311" s="138"/>
      <c r="F311" s="138"/>
      <c r="G311" s="138"/>
      <c r="H311" s="28"/>
      <c r="J311"/>
      <c r="K311"/>
    </row>
    <row r="312" spans="1:11" ht="17.25" customHeight="1">
      <c r="A312" s="101"/>
      <c r="B312" s="102"/>
      <c r="C312" s="103"/>
      <c r="D312" s="138"/>
      <c r="E312" s="138"/>
      <c r="F312" s="138"/>
      <c r="G312" s="138"/>
      <c r="H312" s="28"/>
      <c r="J312"/>
      <c r="K312"/>
    </row>
    <row r="313" spans="1:11" ht="17.25" customHeight="1">
      <c r="A313" s="101"/>
      <c r="B313" s="102"/>
      <c r="C313" s="103"/>
      <c r="D313" s="138"/>
      <c r="E313" s="138"/>
      <c r="F313" s="138"/>
      <c r="G313" s="138"/>
      <c r="H313" s="28"/>
      <c r="J313"/>
      <c r="K313"/>
    </row>
    <row r="314" spans="1:11" ht="17.25" customHeight="1">
      <c r="A314" s="101"/>
      <c r="B314" s="102"/>
      <c r="C314" s="103"/>
      <c r="D314" s="138"/>
      <c r="E314" s="138"/>
      <c r="F314" s="138"/>
      <c r="G314" s="138"/>
      <c r="H314" s="28"/>
      <c r="J314"/>
      <c r="K314"/>
    </row>
    <row r="315" spans="1:11" ht="17.25" customHeight="1">
      <c r="A315" s="101"/>
      <c r="B315" s="102"/>
      <c r="C315" s="103"/>
      <c r="D315" s="138"/>
      <c r="E315" s="138"/>
      <c r="F315" s="138"/>
      <c r="G315" s="138"/>
      <c r="H315" s="28"/>
      <c r="J315"/>
      <c r="K315"/>
    </row>
    <row r="316" spans="1:11" ht="17.25" customHeight="1">
      <c r="A316" s="101"/>
      <c r="B316" s="102"/>
      <c r="C316" s="103"/>
      <c r="D316" s="138"/>
      <c r="E316" s="138"/>
      <c r="F316" s="138"/>
      <c r="G316" s="138"/>
      <c r="H316" s="28"/>
      <c r="J316"/>
      <c r="K316"/>
    </row>
    <row r="317" spans="1:11" ht="17.25" customHeight="1">
      <c r="A317" s="101"/>
      <c r="B317" s="102"/>
      <c r="C317" s="103"/>
      <c r="D317" s="138"/>
      <c r="E317" s="138"/>
      <c r="F317" s="138"/>
      <c r="G317" s="138"/>
      <c r="H317" s="28"/>
      <c r="J317"/>
      <c r="K317"/>
    </row>
    <row r="318" spans="1:11" ht="17.25" customHeight="1">
      <c r="A318" s="101"/>
      <c r="B318" s="102"/>
      <c r="C318" s="103"/>
      <c r="D318" s="138"/>
      <c r="E318" s="138"/>
      <c r="F318" s="138"/>
      <c r="G318" s="138"/>
      <c r="H318" s="28"/>
      <c r="J318"/>
      <c r="K318"/>
    </row>
    <row r="319" spans="1:11" ht="17.25" customHeight="1">
      <c r="A319" s="101"/>
      <c r="B319" s="102"/>
      <c r="C319" s="103"/>
      <c r="D319" s="138"/>
      <c r="E319" s="138"/>
      <c r="F319" s="138"/>
      <c r="G319" s="138"/>
      <c r="H319" s="28"/>
      <c r="J319"/>
      <c r="K319"/>
    </row>
    <row r="320" spans="1:11" ht="17.25" customHeight="1">
      <c r="A320" s="101"/>
      <c r="B320" s="102"/>
      <c r="C320" s="103"/>
      <c r="D320" s="138"/>
      <c r="E320" s="138"/>
      <c r="F320" s="138"/>
      <c r="G320" s="138"/>
      <c r="H320" s="28"/>
      <c r="J320"/>
      <c r="K320"/>
    </row>
    <row r="321" spans="1:11" ht="17.25" customHeight="1">
      <c r="A321" s="101"/>
      <c r="B321" s="102"/>
      <c r="C321" s="103"/>
      <c r="D321" s="138"/>
      <c r="E321" s="138"/>
      <c r="F321" s="138"/>
      <c r="G321" s="138"/>
      <c r="H321" s="28"/>
      <c r="J321"/>
      <c r="K321"/>
    </row>
    <row r="322" spans="1:11" ht="17.25" customHeight="1">
      <c r="A322" s="101"/>
      <c r="B322" s="102"/>
      <c r="C322" s="103"/>
      <c r="D322" s="138"/>
      <c r="E322" s="138"/>
      <c r="F322" s="138"/>
      <c r="G322" s="138"/>
      <c r="H322" s="28"/>
      <c r="J322"/>
      <c r="K322"/>
    </row>
    <row r="323" spans="1:11" ht="17.25" customHeight="1">
      <c r="A323" s="101"/>
      <c r="B323" s="102"/>
      <c r="C323" s="103"/>
      <c r="D323" s="138"/>
      <c r="E323" s="138"/>
      <c r="F323" s="138"/>
      <c r="G323" s="138"/>
      <c r="H323" s="28"/>
      <c r="J323"/>
      <c r="K323"/>
    </row>
    <row r="324" spans="1:11" ht="17.25" customHeight="1">
      <c r="A324" s="101"/>
      <c r="B324" s="102"/>
      <c r="C324" s="103"/>
      <c r="D324" s="138"/>
      <c r="E324" s="138"/>
      <c r="F324" s="138"/>
      <c r="G324" s="138"/>
      <c r="H324" s="28"/>
      <c r="J324"/>
      <c r="K324"/>
    </row>
    <row r="325" spans="1:11" ht="17.25" customHeight="1">
      <c r="A325" s="101"/>
      <c r="B325" s="102"/>
      <c r="C325" s="103"/>
      <c r="D325" s="138"/>
      <c r="E325" s="138"/>
      <c r="F325" s="138"/>
      <c r="G325" s="138"/>
      <c r="H325" s="28"/>
      <c r="J325"/>
      <c r="K325"/>
    </row>
    <row r="326" spans="1:11" ht="17.25" customHeight="1">
      <c r="A326" s="101"/>
      <c r="B326" s="102"/>
      <c r="C326" s="103"/>
      <c r="D326" s="138"/>
      <c r="E326" s="138"/>
      <c r="F326" s="138"/>
      <c r="G326" s="138"/>
      <c r="H326" s="28"/>
      <c r="J326"/>
      <c r="K326"/>
    </row>
    <row r="327" spans="1:11" ht="17.25" customHeight="1">
      <c r="A327" s="101"/>
      <c r="B327" s="102"/>
      <c r="C327" s="103"/>
      <c r="D327" s="138"/>
      <c r="E327" s="138"/>
      <c r="F327" s="138"/>
      <c r="G327" s="138"/>
      <c r="H327" s="28"/>
      <c r="J327"/>
      <c r="K327"/>
    </row>
    <row r="328" spans="1:11" ht="17.25" customHeight="1">
      <c r="A328" s="101"/>
      <c r="B328" s="102"/>
      <c r="C328" s="103"/>
      <c r="D328" s="138"/>
      <c r="E328" s="138"/>
      <c r="F328" s="138"/>
      <c r="G328" s="138"/>
      <c r="H328" s="28"/>
      <c r="J328"/>
      <c r="K328"/>
    </row>
    <row r="329" spans="1:11" ht="17.25" customHeight="1">
      <c r="A329" s="101"/>
      <c r="B329" s="102"/>
      <c r="C329" s="103"/>
      <c r="D329" s="138"/>
      <c r="E329" s="138"/>
      <c r="F329" s="138"/>
      <c r="G329" s="138"/>
      <c r="H329" s="28"/>
      <c r="J329"/>
      <c r="K329"/>
    </row>
    <row r="330" spans="1:11" ht="17.25" customHeight="1">
      <c r="A330" s="101"/>
      <c r="B330" s="102"/>
      <c r="C330" s="103"/>
      <c r="D330" s="138"/>
      <c r="E330" s="138"/>
      <c r="F330" s="138"/>
      <c r="G330" s="138"/>
      <c r="H330" s="28"/>
      <c r="J330"/>
      <c r="K330"/>
    </row>
    <row r="331" spans="1:11" ht="17.25" customHeight="1">
      <c r="A331" s="101"/>
      <c r="B331" s="102"/>
      <c r="C331" s="103"/>
      <c r="D331" s="138"/>
      <c r="E331" s="138"/>
      <c r="F331" s="138"/>
      <c r="G331" s="138"/>
      <c r="H331" s="28"/>
      <c r="J331"/>
      <c r="K331"/>
    </row>
    <row r="332" spans="1:11" ht="17.25" customHeight="1">
      <c r="A332" s="101"/>
      <c r="B332" s="102"/>
      <c r="C332" s="103"/>
      <c r="D332" s="138"/>
      <c r="E332" s="138"/>
      <c r="F332" s="138"/>
      <c r="G332" s="138"/>
      <c r="H332" s="28"/>
      <c r="J332"/>
      <c r="K332"/>
    </row>
    <row r="333" spans="1:11" ht="17.25" customHeight="1">
      <c r="A333" s="101"/>
      <c r="B333" s="102"/>
      <c r="C333" s="103"/>
      <c r="D333" s="138"/>
      <c r="E333" s="138"/>
      <c r="F333" s="138"/>
      <c r="G333" s="138"/>
      <c r="H333" s="28"/>
      <c r="J333"/>
      <c r="K333"/>
    </row>
    <row r="334" spans="1:11" ht="17.25" customHeight="1">
      <c r="A334" s="101"/>
      <c r="B334" s="102"/>
      <c r="C334" s="103"/>
      <c r="D334" s="138"/>
      <c r="E334" s="138"/>
      <c r="F334" s="138"/>
      <c r="G334" s="138"/>
      <c r="H334" s="28"/>
      <c r="J334"/>
      <c r="K334"/>
    </row>
    <row r="335" spans="1:11" ht="17.25" customHeight="1">
      <c r="A335" s="101"/>
      <c r="B335" s="102"/>
      <c r="C335" s="103"/>
      <c r="D335" s="138"/>
      <c r="E335" s="138"/>
      <c r="F335" s="138"/>
      <c r="G335" s="138"/>
      <c r="H335" s="28"/>
      <c r="J335"/>
      <c r="K335"/>
    </row>
    <row r="336" spans="1:11" ht="17.25" customHeight="1">
      <c r="A336" s="101"/>
      <c r="B336" s="102"/>
      <c r="C336" s="103"/>
      <c r="D336" s="138"/>
      <c r="E336" s="138"/>
      <c r="F336" s="138"/>
      <c r="G336" s="138"/>
      <c r="H336" s="28"/>
      <c r="J336"/>
      <c r="K336"/>
    </row>
    <row r="337" spans="1:11" ht="17.25" customHeight="1">
      <c r="A337" s="101"/>
      <c r="B337" s="102"/>
      <c r="C337" s="103"/>
      <c r="D337" s="138"/>
      <c r="E337" s="138"/>
      <c r="F337" s="138"/>
      <c r="G337" s="138"/>
      <c r="H337" s="28"/>
      <c r="J337"/>
      <c r="K337"/>
    </row>
    <row r="338" spans="1:11" ht="17.25" customHeight="1">
      <c r="A338" s="101"/>
      <c r="B338" s="102"/>
      <c r="C338" s="103"/>
      <c r="D338" s="138"/>
      <c r="E338" s="138"/>
      <c r="F338" s="138"/>
      <c r="G338" s="138"/>
      <c r="H338" s="28"/>
      <c r="J338"/>
      <c r="K338"/>
    </row>
    <row r="339" spans="1:11" ht="17.25" customHeight="1">
      <c r="A339" s="101"/>
      <c r="B339" s="102"/>
      <c r="C339" s="103"/>
      <c r="D339" s="138"/>
      <c r="E339" s="138"/>
      <c r="F339" s="138"/>
      <c r="G339" s="138"/>
      <c r="H339" s="28"/>
      <c r="J339"/>
      <c r="K339"/>
    </row>
    <row r="340" spans="1:11" ht="17.25" customHeight="1">
      <c r="A340" s="101"/>
      <c r="B340" s="102"/>
      <c r="C340" s="103"/>
      <c r="D340" s="138"/>
      <c r="E340" s="138"/>
      <c r="F340" s="138"/>
      <c r="G340" s="138"/>
      <c r="H340" s="28"/>
      <c r="J340"/>
      <c r="K340"/>
    </row>
    <row r="341" spans="1:11" ht="17.25" customHeight="1">
      <c r="A341" s="101"/>
      <c r="B341" s="102"/>
      <c r="C341" s="103"/>
      <c r="D341" s="138"/>
      <c r="E341" s="138"/>
      <c r="F341" s="138"/>
      <c r="G341" s="138"/>
      <c r="H341" s="28"/>
      <c r="J341"/>
      <c r="K341"/>
    </row>
    <row r="342" spans="1:11" ht="17.25" customHeight="1">
      <c r="A342" s="104"/>
      <c r="B342" s="102"/>
      <c r="C342" s="103"/>
      <c r="D342" s="138"/>
      <c r="E342" s="138"/>
      <c r="F342" s="138"/>
      <c r="G342" s="138"/>
      <c r="H342" s="28"/>
      <c r="J342"/>
      <c r="K342"/>
    </row>
    <row r="343" spans="1:11" ht="17.25" customHeight="1">
      <c r="A343" s="104"/>
      <c r="B343" s="102"/>
      <c r="C343" s="103"/>
      <c r="D343" s="138"/>
      <c r="E343" s="138"/>
      <c r="F343" s="138"/>
      <c r="G343" s="138"/>
      <c r="H343" s="28"/>
      <c r="J343"/>
      <c r="K343"/>
    </row>
    <row r="344" spans="1:11" ht="17.25" customHeight="1">
      <c r="A344" s="104"/>
      <c r="B344" s="102"/>
      <c r="C344" s="103"/>
      <c r="D344" s="138"/>
      <c r="E344" s="138"/>
      <c r="F344" s="138"/>
      <c r="G344" s="138"/>
      <c r="H344" s="28"/>
      <c r="J344"/>
      <c r="K344"/>
    </row>
    <row r="345" spans="1:11" ht="17.25" customHeight="1">
      <c r="A345" s="104"/>
      <c r="B345" s="102"/>
      <c r="C345" s="103"/>
      <c r="D345" s="138"/>
      <c r="E345" s="138"/>
      <c r="F345" s="138"/>
      <c r="G345" s="138"/>
      <c r="H345" s="28"/>
      <c r="J345"/>
      <c r="K345"/>
    </row>
    <row r="346" spans="1:11" ht="17.25" customHeight="1">
      <c r="A346" s="104"/>
      <c r="B346" s="102"/>
      <c r="C346" s="103"/>
      <c r="D346" s="138"/>
      <c r="E346" s="138"/>
      <c r="F346" s="138"/>
      <c r="G346" s="138"/>
      <c r="H346" s="28"/>
      <c r="J346"/>
      <c r="K346"/>
    </row>
    <row r="347" spans="1:11">
      <c r="E347" s="139"/>
      <c r="F347" s="139"/>
      <c r="G347" s="140"/>
      <c r="H347" s="29"/>
      <c r="J347"/>
      <c r="K347"/>
    </row>
    <row r="348" spans="1:11">
      <c r="E348" s="139"/>
      <c r="F348" s="139"/>
      <c r="G348" s="140"/>
      <c r="H348" s="29"/>
      <c r="J348"/>
      <c r="K348"/>
    </row>
    <row r="349" spans="1:11">
      <c r="E349" s="139"/>
      <c r="F349" s="139"/>
      <c r="G349" s="141"/>
      <c r="H349" s="30"/>
      <c r="J349"/>
      <c r="K349"/>
    </row>
    <row r="350" spans="1:11">
      <c r="E350" s="139"/>
      <c r="F350" s="139"/>
      <c r="G350" s="139"/>
      <c r="J350"/>
      <c r="K350"/>
    </row>
    <row r="351" spans="1:11">
      <c r="E351" s="139"/>
      <c r="F351" s="139"/>
      <c r="G351" s="139"/>
      <c r="J351"/>
      <c r="K351"/>
    </row>
  </sheetData>
  <mergeCells count="7">
    <mergeCell ref="A7:G7"/>
    <mergeCell ref="A8:G8"/>
    <mergeCell ref="A12:A13"/>
    <mergeCell ref="B12:B13"/>
    <mergeCell ref="C12:C13"/>
    <mergeCell ref="D12:D13"/>
    <mergeCell ref="E12:G12"/>
  </mergeCells>
  <pageMargins left="0.86" right="0.27559055118110198" top="0.35433070866141703" bottom="0.23622047244094499" header="0.31496062992126" footer="0.196850393700787"/>
  <pageSetup paperSize="9" orientation="landscape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cu estimari</vt:lpstr>
      <vt:lpstr>'TOTAL cu estimari'!Print_Titles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2016-01-29T08:29:39Z</cp:lastPrinted>
  <dcterms:created xsi:type="dcterms:W3CDTF">2012-01-03T09:20:27Z</dcterms:created>
  <dcterms:modified xsi:type="dcterms:W3CDTF">2016-01-29T08:31:07Z</dcterms:modified>
</cp:coreProperties>
</file>